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5195" windowHeight="9555" tabRatio="659" activeTab="12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2013 COP Forecast" sheetId="28" r:id="rId11"/>
    <sheet name="2014 COP Forecast" sheetId="29" r:id="rId12"/>
    <sheet name="2013 COP Forecast JAN 2014" sheetId="34" r:id="rId13"/>
    <sheet name="2014 COP Forecast JAN 2014" sheetId="3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12">'2013 COP Forecast JAN 2014'!$A$1:$J$96</definedName>
    <definedName name="_xlnm.Print_Area" localSheetId="13">'2014 COP Forecast JAN 2014'!$B$3:$O$97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C94" i="34" l="1"/>
  <c r="F36" i="34" l="1"/>
  <c r="F35" i="34"/>
  <c r="F34" i="34"/>
  <c r="F33" i="34"/>
  <c r="F32" i="34"/>
  <c r="F31" i="34"/>
  <c r="F30" i="34"/>
  <c r="J30" i="34"/>
  <c r="D60" i="34"/>
  <c r="D59" i="34"/>
  <c r="E58" i="34"/>
  <c r="G58" i="34" s="1"/>
  <c r="D58" i="34"/>
  <c r="D57" i="34"/>
  <c r="E56" i="34"/>
  <c r="G56" i="34" s="1"/>
  <c r="D56" i="34"/>
  <c r="D55" i="34"/>
  <c r="D54" i="34"/>
  <c r="D53" i="34"/>
  <c r="E48" i="34"/>
  <c r="E60" i="34" s="1"/>
  <c r="G60" i="34" s="1"/>
  <c r="E46" i="34"/>
  <c r="G46" i="34" s="1"/>
  <c r="E44" i="34"/>
  <c r="G44" i="34" s="1"/>
  <c r="E43" i="34"/>
  <c r="E55" i="34" s="1"/>
  <c r="G55" i="34" s="1"/>
  <c r="D36" i="34"/>
  <c r="D35" i="34"/>
  <c r="D34" i="34"/>
  <c r="D33" i="34"/>
  <c r="B33" i="34"/>
  <c r="B45" i="34" s="1"/>
  <c r="B57" i="34" s="1"/>
  <c r="B69" i="34" s="1"/>
  <c r="B81" i="34" s="1"/>
  <c r="D32" i="34"/>
  <c r="C32" i="34"/>
  <c r="E32" i="34" s="1"/>
  <c r="G32" i="34" s="1"/>
  <c r="D31" i="34"/>
  <c r="D30" i="34"/>
  <c r="D29" i="34"/>
  <c r="C22" i="34"/>
  <c r="E22" i="34" s="1"/>
  <c r="B22" i="34"/>
  <c r="B34" i="34" s="1"/>
  <c r="B46" i="34" s="1"/>
  <c r="B58" i="34" s="1"/>
  <c r="B70" i="34" s="1"/>
  <c r="B82" i="34" s="1"/>
  <c r="B21" i="34"/>
  <c r="C20" i="34"/>
  <c r="E20" i="34" s="1"/>
  <c r="B20" i="34"/>
  <c r="B32" i="34" s="1"/>
  <c r="B44" i="34" s="1"/>
  <c r="B56" i="34" s="1"/>
  <c r="B68" i="34" s="1"/>
  <c r="B80" i="34" s="1"/>
  <c r="B18" i="34"/>
  <c r="B30" i="34" s="1"/>
  <c r="B42" i="34" s="1"/>
  <c r="B54" i="34" s="1"/>
  <c r="B66" i="34" s="1"/>
  <c r="B78" i="34" s="1"/>
  <c r="D11" i="34"/>
  <c r="C11" i="34"/>
  <c r="B11" i="34"/>
  <c r="B24" i="34" s="1"/>
  <c r="B36" i="34" s="1"/>
  <c r="B48" i="34" s="1"/>
  <c r="B60" i="34" s="1"/>
  <c r="B72" i="34" s="1"/>
  <c r="B84" i="34" s="1"/>
  <c r="D10" i="34"/>
  <c r="C10" i="34"/>
  <c r="B10" i="34"/>
  <c r="B23" i="34" s="1"/>
  <c r="B35" i="34" s="1"/>
  <c r="B47" i="34" s="1"/>
  <c r="B59" i="34" s="1"/>
  <c r="B71" i="34" s="1"/>
  <c r="B83" i="34" s="1"/>
  <c r="D9" i="34"/>
  <c r="C9" i="34"/>
  <c r="B9" i="34"/>
  <c r="D8" i="34"/>
  <c r="E45" i="34" s="1"/>
  <c r="C8" i="34"/>
  <c r="C21" i="34" s="1"/>
  <c r="E21" i="34" s="1"/>
  <c r="B8" i="34"/>
  <c r="D7" i="34"/>
  <c r="C7" i="34"/>
  <c r="B7" i="34"/>
  <c r="D6" i="34"/>
  <c r="D12" i="34" s="1"/>
  <c r="C6" i="34"/>
  <c r="C19" i="34" s="1"/>
  <c r="E19" i="34" s="1"/>
  <c r="B6" i="34"/>
  <c r="B19" i="34" s="1"/>
  <c r="B31" i="34" s="1"/>
  <c r="B43" i="34" s="1"/>
  <c r="B55" i="34" s="1"/>
  <c r="B67" i="34" s="1"/>
  <c r="B79" i="34" s="1"/>
  <c r="C5" i="34"/>
  <c r="B5" i="34"/>
  <c r="C4" i="34"/>
  <c r="C17" i="34" s="1"/>
  <c r="B4" i="34"/>
  <c r="B17" i="34" s="1"/>
  <c r="B29" i="34" s="1"/>
  <c r="B41" i="34" s="1"/>
  <c r="B53" i="34" s="1"/>
  <c r="B65" i="34" s="1"/>
  <c r="B77" i="34" s="1"/>
  <c r="J34" i="33"/>
  <c r="F37" i="33"/>
  <c r="F36" i="33"/>
  <c r="F35" i="33"/>
  <c r="F34" i="33"/>
  <c r="F33" i="33"/>
  <c r="F32" i="33"/>
  <c r="F31" i="33"/>
  <c r="G19" i="34" l="1"/>
  <c r="E68" i="34"/>
  <c r="G20" i="34"/>
  <c r="E17" i="34"/>
  <c r="C25" i="34"/>
  <c r="C29" i="34"/>
  <c r="C35" i="34"/>
  <c r="E35" i="34" s="1"/>
  <c r="G21" i="34"/>
  <c r="G22" i="34"/>
  <c r="E70" i="34"/>
  <c r="E57" i="34"/>
  <c r="G57" i="34" s="1"/>
  <c r="G45" i="34"/>
  <c r="C36" i="34"/>
  <c r="E36" i="34" s="1"/>
  <c r="G36" i="34" s="1"/>
  <c r="C18" i="34"/>
  <c r="E18" i="34" s="1"/>
  <c r="C24" i="34"/>
  <c r="E24" i="34" s="1"/>
  <c r="C34" i="34"/>
  <c r="E34" i="34" s="1"/>
  <c r="G34" i="34" s="1"/>
  <c r="G48" i="34"/>
  <c r="C12" i="34"/>
  <c r="C31" i="34"/>
  <c r="E31" i="34" s="1"/>
  <c r="G31" i="34" s="1"/>
  <c r="G43" i="34"/>
  <c r="C33" i="34"/>
  <c r="E33" i="34" s="1"/>
  <c r="G33" i="34" s="1"/>
  <c r="C23" i="34"/>
  <c r="E23" i="34" s="1"/>
  <c r="F25" i="33"/>
  <c r="F24" i="33"/>
  <c r="F23" i="33"/>
  <c r="F22" i="33"/>
  <c r="F21" i="33"/>
  <c r="F20" i="33"/>
  <c r="F19" i="33"/>
  <c r="E47" i="34" l="1"/>
  <c r="G35" i="34"/>
  <c r="E29" i="34"/>
  <c r="E82" i="34"/>
  <c r="G82" i="34" s="1"/>
  <c r="G70" i="34"/>
  <c r="E65" i="34"/>
  <c r="E41" i="34"/>
  <c r="E25" i="34"/>
  <c r="G17" i="34"/>
  <c r="E80" i="34"/>
  <c r="G80" i="34" s="1"/>
  <c r="G68" i="34"/>
  <c r="G24" i="34"/>
  <c r="E72" i="34"/>
  <c r="E69" i="34"/>
  <c r="E71" i="34"/>
  <c r="G23" i="34"/>
  <c r="G18" i="34"/>
  <c r="C30" i="34"/>
  <c r="E30" i="34" s="1"/>
  <c r="G30" i="34" s="1"/>
  <c r="E67" i="34"/>
  <c r="D12" i="33"/>
  <c r="E49" i="33" s="1"/>
  <c r="D10" i="33"/>
  <c r="D9" i="33"/>
  <c r="D8" i="33"/>
  <c r="D7" i="33"/>
  <c r="C12" i="33"/>
  <c r="C11" i="33"/>
  <c r="C10" i="33"/>
  <c r="C23" i="33" s="1"/>
  <c r="E23" i="33" s="1"/>
  <c r="C9" i="33"/>
  <c r="C8" i="33"/>
  <c r="C7" i="33"/>
  <c r="C6" i="33"/>
  <c r="C5" i="33"/>
  <c r="B12" i="33"/>
  <c r="B11" i="33"/>
  <c r="B24" i="33" s="1"/>
  <c r="B36" i="33" s="1"/>
  <c r="B48" i="33" s="1"/>
  <c r="B60" i="33" s="1"/>
  <c r="B72" i="33" s="1"/>
  <c r="B84" i="33" s="1"/>
  <c r="B10" i="33"/>
  <c r="B9" i="33"/>
  <c r="B22" i="33" s="1"/>
  <c r="B34" i="33" s="1"/>
  <c r="B46" i="33" s="1"/>
  <c r="B58" i="33" s="1"/>
  <c r="B70" i="33" s="1"/>
  <c r="B82" i="33" s="1"/>
  <c r="B8" i="33"/>
  <c r="B7" i="33"/>
  <c r="B6" i="33"/>
  <c r="B19" i="33" s="1"/>
  <c r="B31" i="33" s="1"/>
  <c r="B43" i="33" s="1"/>
  <c r="B55" i="33" s="1"/>
  <c r="B67" i="33" s="1"/>
  <c r="B79" i="33" s="1"/>
  <c r="B5" i="33"/>
  <c r="B18" i="33" s="1"/>
  <c r="B30" i="33" s="1"/>
  <c r="B42" i="33" s="1"/>
  <c r="B54" i="33" s="1"/>
  <c r="B66" i="33" s="1"/>
  <c r="B78" i="33" s="1"/>
  <c r="D85" i="33"/>
  <c r="D84" i="33"/>
  <c r="D83" i="33"/>
  <c r="D82" i="33"/>
  <c r="D81" i="33"/>
  <c r="D80" i="33"/>
  <c r="D79" i="33"/>
  <c r="D78" i="33"/>
  <c r="D61" i="33"/>
  <c r="D60" i="33"/>
  <c r="D59" i="33"/>
  <c r="D58" i="33"/>
  <c r="D57" i="33"/>
  <c r="D56" i="33"/>
  <c r="D55" i="33"/>
  <c r="D54" i="33"/>
  <c r="E46" i="33"/>
  <c r="E58" i="33" s="1"/>
  <c r="G58" i="33" s="1"/>
  <c r="E44" i="33"/>
  <c r="G44" i="33" s="1"/>
  <c r="D37" i="33"/>
  <c r="D36" i="33"/>
  <c r="C36" i="33"/>
  <c r="E36" i="33" s="1"/>
  <c r="D35" i="33"/>
  <c r="D34" i="33"/>
  <c r="D33" i="33"/>
  <c r="D32" i="33"/>
  <c r="C32" i="33"/>
  <c r="E32" i="33" s="1"/>
  <c r="G32" i="33" s="1"/>
  <c r="D31" i="33"/>
  <c r="D30" i="33"/>
  <c r="C25" i="33"/>
  <c r="E25" i="33" s="1"/>
  <c r="C24" i="33"/>
  <c r="E24" i="33" s="1"/>
  <c r="C20" i="33"/>
  <c r="E20" i="33" s="1"/>
  <c r="B20" i="33"/>
  <c r="B32" i="33" s="1"/>
  <c r="B44" i="33" s="1"/>
  <c r="B56" i="33" s="1"/>
  <c r="B68" i="33" s="1"/>
  <c r="B80" i="33" s="1"/>
  <c r="C19" i="33"/>
  <c r="E19" i="33" s="1"/>
  <c r="C18" i="33"/>
  <c r="E18" i="33" s="1"/>
  <c r="C37" i="33"/>
  <c r="E37" i="33" s="1"/>
  <c r="G37" i="33" s="1"/>
  <c r="B25" i="33"/>
  <c r="B37" i="33" s="1"/>
  <c r="B49" i="33" s="1"/>
  <c r="B61" i="33" s="1"/>
  <c r="B73" i="33" s="1"/>
  <c r="B85" i="33" s="1"/>
  <c r="L11" i="33"/>
  <c r="K11" i="33"/>
  <c r="J11" i="33"/>
  <c r="I11" i="33"/>
  <c r="L10" i="33"/>
  <c r="K10" i="33"/>
  <c r="J10" i="33"/>
  <c r="I10" i="33"/>
  <c r="E47" i="33"/>
  <c r="B23" i="33"/>
  <c r="B35" i="33" s="1"/>
  <c r="B47" i="33" s="1"/>
  <c r="B59" i="33" s="1"/>
  <c r="B71" i="33" s="1"/>
  <c r="B83" i="33" s="1"/>
  <c r="L9" i="33"/>
  <c r="I9" i="33" s="1"/>
  <c r="K9" i="33"/>
  <c r="J9" i="33"/>
  <c r="L8" i="33"/>
  <c r="K8" i="33"/>
  <c r="I8" i="33" s="1"/>
  <c r="J8" i="33"/>
  <c r="E45" i="33"/>
  <c r="B21" i="33"/>
  <c r="B33" i="33" s="1"/>
  <c r="B45" i="33" s="1"/>
  <c r="B57" i="33" s="1"/>
  <c r="B69" i="33" s="1"/>
  <c r="B81" i="33" s="1"/>
  <c r="L7" i="33"/>
  <c r="K7" i="33"/>
  <c r="J7" i="33"/>
  <c r="I7" i="33" s="1"/>
  <c r="L6" i="33"/>
  <c r="K6" i="33"/>
  <c r="I6" i="33" s="1"/>
  <c r="J6" i="33"/>
  <c r="L5" i="33"/>
  <c r="K5" i="33"/>
  <c r="J5" i="33"/>
  <c r="I5" i="33"/>
  <c r="C13" i="33"/>
  <c r="E83" i="34" l="1"/>
  <c r="G83" i="34" s="1"/>
  <c r="G71" i="34"/>
  <c r="E53" i="34"/>
  <c r="G53" i="34" s="1"/>
  <c r="G41" i="34"/>
  <c r="E81" i="34"/>
  <c r="G81" i="34" s="1"/>
  <c r="G69" i="34"/>
  <c r="G65" i="34"/>
  <c r="E73" i="34"/>
  <c r="E77" i="34"/>
  <c r="E79" i="34"/>
  <c r="G79" i="34" s="1"/>
  <c r="G67" i="34"/>
  <c r="E84" i="34"/>
  <c r="G84" i="34" s="1"/>
  <c r="G72" i="34"/>
  <c r="E66" i="34"/>
  <c r="C37" i="34"/>
  <c r="G29" i="34"/>
  <c r="G37" i="34" s="1"/>
  <c r="E37" i="34"/>
  <c r="E42" i="34"/>
  <c r="G25" i="34"/>
  <c r="G47" i="34"/>
  <c r="E59" i="34"/>
  <c r="G59" i="34" s="1"/>
  <c r="D13" i="33"/>
  <c r="G20" i="33"/>
  <c r="E68" i="33"/>
  <c r="G45" i="33"/>
  <c r="E57" i="33"/>
  <c r="G57" i="33" s="1"/>
  <c r="G49" i="33"/>
  <c r="E61" i="33"/>
  <c r="G61" i="33" s="1"/>
  <c r="E72" i="33"/>
  <c r="G24" i="33"/>
  <c r="E73" i="33"/>
  <c r="G25" i="33"/>
  <c r="E48" i="33"/>
  <c r="G36" i="33"/>
  <c r="G23" i="33"/>
  <c r="G47" i="33"/>
  <c r="E59" i="33"/>
  <c r="G59" i="33" s="1"/>
  <c r="G18" i="33"/>
  <c r="C34" i="33"/>
  <c r="E34" i="33" s="1"/>
  <c r="G34" i="33" s="1"/>
  <c r="G19" i="33"/>
  <c r="G46" i="33"/>
  <c r="C31" i="33"/>
  <c r="E31" i="33" s="1"/>
  <c r="G31" i="33" s="1"/>
  <c r="C35" i="33"/>
  <c r="E35" i="33" s="1"/>
  <c r="G35" i="33" s="1"/>
  <c r="C22" i="33"/>
  <c r="E22" i="33" s="1"/>
  <c r="E56" i="33"/>
  <c r="G56" i="33" s="1"/>
  <c r="C30" i="33"/>
  <c r="C21" i="33"/>
  <c r="E78" i="34" l="1"/>
  <c r="G78" i="34" s="1"/>
  <c r="G66" i="34"/>
  <c r="G73" i="34" s="1"/>
  <c r="C90" i="34" s="1"/>
  <c r="C89" i="34"/>
  <c r="E54" i="34"/>
  <c r="G54" i="34" s="1"/>
  <c r="G61" i="34" s="1"/>
  <c r="C92" i="34" s="1"/>
  <c r="G42" i="34"/>
  <c r="G49" i="34" s="1"/>
  <c r="C91" i="34" s="1"/>
  <c r="G77" i="34"/>
  <c r="G85" i="34" s="1"/>
  <c r="C93" i="34" s="1"/>
  <c r="E43" i="33"/>
  <c r="E67" i="33"/>
  <c r="E80" i="33"/>
  <c r="G80" i="33" s="1"/>
  <c r="G68" i="33"/>
  <c r="E85" i="33"/>
  <c r="G85" i="33" s="1"/>
  <c r="G73" i="33"/>
  <c r="E21" i="33"/>
  <c r="C26" i="33"/>
  <c r="E55" i="33"/>
  <c r="G55" i="33" s="1"/>
  <c r="G43" i="33"/>
  <c r="E30" i="33"/>
  <c r="G67" i="33"/>
  <c r="E79" i="33"/>
  <c r="G79" i="33" s="1"/>
  <c r="E71" i="33"/>
  <c r="E84" i="33"/>
  <c r="G84" i="33" s="1"/>
  <c r="G72" i="33"/>
  <c r="E70" i="33"/>
  <c r="G22" i="33"/>
  <c r="C33" i="33"/>
  <c r="E33" i="33" s="1"/>
  <c r="G33" i="33" s="1"/>
  <c r="G48" i="33"/>
  <c r="E60" i="33"/>
  <c r="G60" i="33" s="1"/>
  <c r="C96" i="34" l="1"/>
  <c r="E85" i="34"/>
  <c r="E38" i="33"/>
  <c r="G30" i="33"/>
  <c r="G38" i="33" s="1"/>
  <c r="E66" i="33"/>
  <c r="E42" i="33"/>
  <c r="G70" i="33"/>
  <c r="E82" i="33"/>
  <c r="G82" i="33" s="1"/>
  <c r="G71" i="33"/>
  <c r="E83" i="33"/>
  <c r="G83" i="33" s="1"/>
  <c r="G21" i="33"/>
  <c r="G26" i="33" s="1"/>
  <c r="E69" i="33"/>
  <c r="E26" i="33"/>
  <c r="C38" i="33"/>
  <c r="E81" i="33" l="1"/>
  <c r="G81" i="33" s="1"/>
  <c r="G69" i="33"/>
  <c r="C90" i="33"/>
  <c r="G42" i="33"/>
  <c r="G50" i="33" s="1"/>
  <c r="C92" i="33" s="1"/>
  <c r="E54" i="33"/>
  <c r="G54" i="33" s="1"/>
  <c r="G62" i="33" s="1"/>
  <c r="C93" i="33" s="1"/>
  <c r="E78" i="33"/>
  <c r="G66" i="33"/>
  <c r="E74" i="33"/>
  <c r="G74" i="33" l="1"/>
  <c r="C91" i="33" s="1"/>
  <c r="G78" i="33"/>
  <c r="G86" i="33" s="1"/>
  <c r="C94" i="33" s="1"/>
  <c r="E86" i="33"/>
  <c r="C97" i="33" l="1"/>
  <c r="C94" i="28" l="1"/>
  <c r="D84" i="29" l="1"/>
  <c r="D83" i="29"/>
  <c r="D82" i="29"/>
  <c r="D81" i="29"/>
  <c r="D80" i="29"/>
  <c r="D79" i="29"/>
  <c r="D78" i="29"/>
  <c r="D77" i="29"/>
  <c r="M5" i="29" l="1"/>
  <c r="M10" i="29"/>
  <c r="M9" i="29"/>
  <c r="M8" i="29"/>
  <c r="M7" i="29"/>
  <c r="M6" i="29"/>
  <c r="M4" i="29"/>
  <c r="L5" i="29"/>
  <c r="L10" i="29"/>
  <c r="L9" i="29"/>
  <c r="L8" i="29"/>
  <c r="L7" i="29"/>
  <c r="L6" i="29"/>
  <c r="L4" i="29"/>
  <c r="K5" i="29"/>
  <c r="K10" i="29"/>
  <c r="K9" i="29"/>
  <c r="K8" i="29"/>
  <c r="K7" i="29"/>
  <c r="K6" i="29"/>
  <c r="K4" i="29"/>
  <c r="J10" i="29"/>
  <c r="J5" i="29"/>
  <c r="J9" i="29"/>
  <c r="J8" i="29"/>
  <c r="J7" i="29"/>
  <c r="J6" i="29"/>
  <c r="J4" i="29"/>
  <c r="I4" i="29" l="1"/>
  <c r="I6" i="29"/>
  <c r="I5" i="29"/>
  <c r="I7" i="29"/>
  <c r="I8" i="29"/>
  <c r="I9" i="29"/>
  <c r="I10" i="29"/>
  <c r="F30" i="29"/>
  <c r="F31" i="29"/>
  <c r="F32" i="29"/>
  <c r="F33" i="29"/>
  <c r="F34" i="29"/>
  <c r="F35" i="29"/>
  <c r="F36" i="29"/>
  <c r="F29" i="29"/>
  <c r="F60" i="29" l="1"/>
  <c r="F59" i="29"/>
  <c r="F58" i="29"/>
  <c r="F57" i="29"/>
  <c r="F56" i="29"/>
  <c r="F55" i="29"/>
  <c r="F54" i="29"/>
  <c r="F53" i="29"/>
  <c r="F48" i="29"/>
  <c r="F47" i="29"/>
  <c r="F46" i="29"/>
  <c r="F45" i="29"/>
  <c r="F44" i="29"/>
  <c r="F43" i="29"/>
  <c r="F42" i="29"/>
  <c r="F41" i="29"/>
  <c r="D391" i="30" l="1"/>
  <c r="D392" i="30"/>
  <c r="D393" i="30"/>
  <c r="F391" i="30"/>
  <c r="G391" i="30"/>
  <c r="F392" i="30"/>
  <c r="G392" i="30"/>
  <c r="F393" i="30"/>
  <c r="G393" i="30"/>
  <c r="E392" i="30"/>
  <c r="E393" i="30"/>
  <c r="F387" i="30"/>
  <c r="G387" i="30"/>
  <c r="F388" i="30"/>
  <c r="G388" i="30"/>
  <c r="F389" i="30"/>
  <c r="G389" i="30"/>
  <c r="E388" i="30"/>
  <c r="E389" i="30"/>
  <c r="D385" i="30"/>
  <c r="F378" i="30"/>
  <c r="G378" i="30"/>
  <c r="H378" i="30"/>
  <c r="I378" i="30"/>
  <c r="F379" i="30"/>
  <c r="G379" i="30"/>
  <c r="F380" i="30"/>
  <c r="G380" i="30"/>
  <c r="E379" i="30"/>
  <c r="E380" i="30"/>
  <c r="E378" i="30"/>
  <c r="D378" i="30"/>
  <c r="A379" i="30"/>
  <c r="A380" i="30"/>
  <c r="A378" i="30"/>
  <c r="A377" i="30"/>
  <c r="F374" i="30"/>
  <c r="G374" i="30"/>
  <c r="H374" i="30"/>
  <c r="I374" i="30"/>
  <c r="F375" i="30"/>
  <c r="G375" i="30"/>
  <c r="E375" i="30"/>
  <c r="E374" i="30"/>
  <c r="D374" i="30"/>
  <c r="A373" i="30"/>
  <c r="F369" i="30"/>
  <c r="G369" i="30"/>
  <c r="F370" i="30"/>
  <c r="G370" i="30"/>
  <c r="F371" i="30"/>
  <c r="G371" i="30"/>
  <c r="E370" i="30"/>
  <c r="E371" i="30"/>
  <c r="D369" i="30"/>
  <c r="A369" i="30"/>
  <c r="A368" i="30"/>
  <c r="F363" i="30"/>
  <c r="G363" i="30"/>
  <c r="H363" i="30"/>
  <c r="I363" i="30"/>
  <c r="F364" i="30"/>
  <c r="G364" i="30"/>
  <c r="F365" i="30"/>
  <c r="F385" i="30" s="1"/>
  <c r="G365" i="30"/>
  <c r="E364" i="30"/>
  <c r="E365" i="30"/>
  <c r="E363" i="30"/>
  <c r="F359" i="30"/>
  <c r="G359" i="30"/>
  <c r="H359" i="30"/>
  <c r="I359" i="30"/>
  <c r="F360" i="30"/>
  <c r="G360" i="30"/>
  <c r="F361" i="30"/>
  <c r="G361" i="30"/>
  <c r="E360" i="30"/>
  <c r="E361" i="30"/>
  <c r="E359" i="30"/>
  <c r="D359" i="30"/>
  <c r="A363" i="30"/>
  <c r="A359" i="30"/>
  <c r="A364" i="30" s="1"/>
  <c r="A358" i="30"/>
  <c r="A354" i="30"/>
  <c r="F354" i="30"/>
  <c r="G354" i="30"/>
  <c r="H354" i="30"/>
  <c r="I354" i="30"/>
  <c r="F355" i="30"/>
  <c r="G355" i="30"/>
  <c r="G384" i="30" s="1"/>
  <c r="F356" i="30"/>
  <c r="G356" i="30"/>
  <c r="E355" i="30"/>
  <c r="E356" i="30"/>
  <c r="E354" i="30"/>
  <c r="D354" i="30"/>
  <c r="K345" i="30"/>
  <c r="F351" i="30"/>
  <c r="G351" i="30"/>
  <c r="G385" i="30" s="1"/>
  <c r="E351" i="30"/>
  <c r="E385" i="30" s="1"/>
  <c r="F350" i="30"/>
  <c r="G350" i="30"/>
  <c r="E350" i="30"/>
  <c r="F349" i="30"/>
  <c r="G349" i="30"/>
  <c r="H349" i="30"/>
  <c r="I349" i="30"/>
  <c r="E349" i="30"/>
  <c r="D349" i="30"/>
  <c r="F346" i="30"/>
  <c r="G346" i="30"/>
  <c r="E346" i="30"/>
  <c r="F345" i="30"/>
  <c r="F383" i="30" s="1"/>
  <c r="G345" i="30"/>
  <c r="H345" i="30"/>
  <c r="I345" i="30"/>
  <c r="E345" i="30"/>
  <c r="D345" i="30"/>
  <c r="F342" i="30"/>
  <c r="F384" i="30" s="1"/>
  <c r="G342" i="30"/>
  <c r="E342" i="30"/>
  <c r="E384" i="30" s="1"/>
  <c r="F341" i="30"/>
  <c r="G341" i="30"/>
  <c r="G383" i="30" s="1"/>
  <c r="H341" i="30"/>
  <c r="I341" i="30"/>
  <c r="E341" i="30"/>
  <c r="J324" i="30"/>
  <c r="I317" i="30"/>
  <c r="I318" i="30"/>
  <c r="I319" i="30"/>
  <c r="I320" i="30"/>
  <c r="I321" i="30"/>
  <c r="E311" i="30"/>
  <c r="F311" i="30"/>
  <c r="H311" i="30"/>
  <c r="E312" i="30"/>
  <c r="F312" i="30"/>
  <c r="H312" i="30"/>
  <c r="E313" i="30"/>
  <c r="F313" i="30"/>
  <c r="H313" i="30"/>
  <c r="E314" i="30"/>
  <c r="F314" i="30"/>
  <c r="G314" i="30"/>
  <c r="H314" i="30"/>
  <c r="E315" i="30"/>
  <c r="F315" i="30"/>
  <c r="G315" i="30"/>
  <c r="H315" i="30"/>
  <c r="E316" i="30"/>
  <c r="F316" i="30"/>
  <c r="G316" i="30"/>
  <c r="H316" i="30"/>
  <c r="E317" i="30"/>
  <c r="F317" i="30"/>
  <c r="G317" i="30"/>
  <c r="H317" i="30"/>
  <c r="E318" i="30"/>
  <c r="F318" i="30"/>
  <c r="G318" i="30"/>
  <c r="H318" i="30"/>
  <c r="E319" i="30"/>
  <c r="F319" i="30"/>
  <c r="G319" i="30"/>
  <c r="H319" i="30"/>
  <c r="E320" i="30"/>
  <c r="F320" i="30"/>
  <c r="G320" i="30"/>
  <c r="H320" i="30"/>
  <c r="E321" i="30"/>
  <c r="F321" i="30"/>
  <c r="G321" i="30"/>
  <c r="H321" i="30"/>
  <c r="D321" i="30"/>
  <c r="D312" i="30"/>
  <c r="D313" i="30"/>
  <c r="D314" i="30"/>
  <c r="D315" i="30"/>
  <c r="D316" i="30"/>
  <c r="D317" i="30"/>
  <c r="D318" i="30"/>
  <c r="D319" i="30"/>
  <c r="D320" i="30"/>
  <c r="D311" i="30"/>
  <c r="L298" i="30"/>
  <c r="L299" i="30"/>
  <c r="L300" i="30"/>
  <c r="L301" i="30"/>
  <c r="L302" i="30"/>
  <c r="L303" i="30"/>
  <c r="L304" i="30"/>
  <c r="L305" i="30"/>
  <c r="L306" i="30"/>
  <c r="L297" i="30"/>
  <c r="D306" i="30"/>
  <c r="E306" i="30"/>
  <c r="F306" i="30"/>
  <c r="G306" i="30"/>
  <c r="H306" i="30"/>
  <c r="I306" i="30"/>
  <c r="D298" i="30"/>
  <c r="E298" i="30"/>
  <c r="F298" i="30"/>
  <c r="G298" i="30"/>
  <c r="H298" i="30"/>
  <c r="I298" i="30"/>
  <c r="D299" i="30"/>
  <c r="E299" i="30"/>
  <c r="F299" i="30"/>
  <c r="G299" i="30"/>
  <c r="H299" i="30"/>
  <c r="I299" i="30"/>
  <c r="D300" i="30"/>
  <c r="E300" i="30"/>
  <c r="F300" i="30"/>
  <c r="G300" i="30"/>
  <c r="H300" i="30"/>
  <c r="I300" i="30"/>
  <c r="D301" i="30"/>
  <c r="E301" i="30"/>
  <c r="F301" i="30"/>
  <c r="G301" i="30"/>
  <c r="H301" i="30"/>
  <c r="I301" i="30"/>
  <c r="D302" i="30"/>
  <c r="E302" i="30"/>
  <c r="F302" i="30"/>
  <c r="G302" i="30"/>
  <c r="H302" i="30"/>
  <c r="I302" i="30"/>
  <c r="D303" i="30"/>
  <c r="E303" i="30"/>
  <c r="F303" i="30"/>
  <c r="G303" i="30"/>
  <c r="H303" i="30"/>
  <c r="I303" i="30"/>
  <c r="D304" i="30"/>
  <c r="E304" i="30"/>
  <c r="F304" i="30"/>
  <c r="G304" i="30"/>
  <c r="H304" i="30"/>
  <c r="I304" i="30"/>
  <c r="D305" i="30"/>
  <c r="E305" i="30"/>
  <c r="F305" i="30"/>
  <c r="G305" i="30"/>
  <c r="H305" i="30"/>
  <c r="I305" i="30"/>
  <c r="I297" i="30"/>
  <c r="E297" i="30"/>
  <c r="F297" i="30"/>
  <c r="G297" i="30"/>
  <c r="H297" i="30"/>
  <c r="D297" i="30"/>
  <c r="L288" i="30"/>
  <c r="L289" i="30"/>
  <c r="J269" i="30"/>
  <c r="K269" i="30"/>
  <c r="L269" i="30"/>
  <c r="M269" i="30"/>
  <c r="J270" i="30"/>
  <c r="K270" i="30"/>
  <c r="L270" i="30"/>
  <c r="M270" i="30"/>
  <c r="J271" i="30"/>
  <c r="K271" i="30"/>
  <c r="L271" i="30"/>
  <c r="M271" i="30"/>
  <c r="J272" i="30"/>
  <c r="K272" i="30"/>
  <c r="L272" i="30"/>
  <c r="M272" i="30"/>
  <c r="K268" i="30"/>
  <c r="L268" i="30"/>
  <c r="M268" i="30"/>
  <c r="J268" i="30"/>
  <c r="G262" i="30"/>
  <c r="F262" i="30"/>
  <c r="E262" i="30"/>
  <c r="D262" i="30"/>
  <c r="B260" i="30"/>
  <c r="G255" i="30"/>
  <c r="H255" i="30"/>
  <c r="I255" i="30"/>
  <c r="J255" i="30"/>
  <c r="K255" i="30"/>
  <c r="L255" i="30"/>
  <c r="D255" i="30"/>
  <c r="E255" i="30"/>
  <c r="F255" i="30"/>
  <c r="V236" i="30"/>
  <c r="V237" i="30"/>
  <c r="V235" i="30"/>
  <c r="O227" i="30"/>
  <c r="P227" i="30"/>
  <c r="Q227" i="30"/>
  <c r="R227" i="30"/>
  <c r="O228" i="30"/>
  <c r="P228" i="30"/>
  <c r="Q228" i="30"/>
  <c r="R228" i="30"/>
  <c r="O229" i="30"/>
  <c r="P229" i="30"/>
  <c r="Q229" i="30"/>
  <c r="R229" i="30"/>
  <c r="T229" i="30"/>
  <c r="O230" i="30"/>
  <c r="P230" i="30"/>
  <c r="Q230" i="30"/>
  <c r="R230" i="30"/>
  <c r="T230" i="30"/>
  <c r="O231" i="30"/>
  <c r="P231" i="30"/>
  <c r="Q231" i="30"/>
  <c r="R231" i="30"/>
  <c r="T231" i="30"/>
  <c r="O232" i="30"/>
  <c r="P232" i="30"/>
  <c r="Q232" i="30"/>
  <c r="R232" i="30"/>
  <c r="S232" i="30"/>
  <c r="T232" i="30"/>
  <c r="U232" i="30"/>
  <c r="O233" i="30"/>
  <c r="P233" i="30"/>
  <c r="Q233" i="30"/>
  <c r="R233" i="30"/>
  <c r="S233" i="30"/>
  <c r="T233" i="30"/>
  <c r="U233" i="30"/>
  <c r="O234" i="30"/>
  <c r="P234" i="30"/>
  <c r="Q234" i="30"/>
  <c r="R234" i="30"/>
  <c r="S234" i="30"/>
  <c r="U234" i="30"/>
  <c r="O235" i="30"/>
  <c r="P235" i="30"/>
  <c r="Q235" i="30"/>
  <c r="R235" i="30"/>
  <c r="S235" i="30"/>
  <c r="U235" i="30"/>
  <c r="O236" i="30"/>
  <c r="P236" i="30"/>
  <c r="Q236" i="30"/>
  <c r="R236" i="30"/>
  <c r="S236" i="30"/>
  <c r="U236" i="30"/>
  <c r="O237" i="30"/>
  <c r="P237" i="30"/>
  <c r="Q237" i="30"/>
  <c r="R237" i="30"/>
  <c r="S237" i="30"/>
  <c r="T237" i="30"/>
  <c r="U237" i="30"/>
  <c r="N228" i="30"/>
  <c r="N229" i="30"/>
  <c r="N230" i="30"/>
  <c r="N231" i="30"/>
  <c r="N232" i="30"/>
  <c r="N233" i="30"/>
  <c r="N234" i="30"/>
  <c r="N235" i="30"/>
  <c r="N236" i="30"/>
  <c r="N237" i="30"/>
  <c r="N227" i="30"/>
  <c r="E238" i="30"/>
  <c r="F238" i="30"/>
  <c r="G238" i="30"/>
  <c r="H238" i="30"/>
  <c r="I238" i="30"/>
  <c r="K238" i="30"/>
  <c r="D238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U191" i="30"/>
  <c r="P192" i="30"/>
  <c r="Q192" i="30"/>
  <c r="R192" i="30"/>
  <c r="S192" i="30"/>
  <c r="U192" i="30"/>
  <c r="P193" i="30"/>
  <c r="Q193" i="30"/>
  <c r="R193" i="30"/>
  <c r="S193" i="30"/>
  <c r="T193" i="30"/>
  <c r="U193" i="30"/>
  <c r="V193" i="30"/>
  <c r="P194" i="30"/>
  <c r="Q194" i="30"/>
  <c r="R194" i="30"/>
  <c r="S194" i="30"/>
  <c r="T194" i="30"/>
  <c r="U194" i="30"/>
  <c r="V194" i="30"/>
  <c r="P195" i="30"/>
  <c r="Q195" i="30"/>
  <c r="R195" i="30"/>
  <c r="S195" i="30"/>
  <c r="T195" i="30"/>
  <c r="V195" i="30"/>
  <c r="P196" i="30"/>
  <c r="Q196" i="30"/>
  <c r="R196" i="30"/>
  <c r="S196" i="30"/>
  <c r="T196" i="30"/>
  <c r="V196" i="30"/>
  <c r="W196" i="30"/>
  <c r="P197" i="30"/>
  <c r="Q197" i="30"/>
  <c r="R197" i="30"/>
  <c r="S197" i="30"/>
  <c r="T197" i="30"/>
  <c r="V197" i="30"/>
  <c r="W197" i="30"/>
  <c r="P198" i="30"/>
  <c r="Q198" i="30"/>
  <c r="R198" i="30"/>
  <c r="S198" i="30"/>
  <c r="T198" i="30"/>
  <c r="U198" i="30"/>
  <c r="V198" i="30"/>
  <c r="W198" i="30"/>
  <c r="O189" i="30"/>
  <c r="O190" i="30"/>
  <c r="O191" i="30"/>
  <c r="O192" i="30"/>
  <c r="O193" i="30"/>
  <c r="O194" i="30"/>
  <c r="O195" i="30"/>
  <c r="O196" i="30"/>
  <c r="O197" i="30"/>
  <c r="O198" i="30"/>
  <c r="O188" i="30"/>
  <c r="J303" i="30" l="1"/>
  <c r="J306" i="30"/>
  <c r="J299" i="30"/>
  <c r="J297" i="30"/>
  <c r="J304" i="30"/>
  <c r="J301" i="30"/>
  <c r="J302" i="30"/>
  <c r="J300" i="30"/>
  <c r="J298" i="30"/>
  <c r="J305" i="30"/>
  <c r="V238" i="30"/>
  <c r="E199" i="30" l="1"/>
  <c r="F199" i="30"/>
  <c r="G199" i="30"/>
  <c r="H199" i="30"/>
  <c r="I199" i="30"/>
  <c r="K199" i="30"/>
  <c r="L199" i="30"/>
  <c r="D199" i="30"/>
  <c r="L180" i="30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E180" i="30"/>
  <c r="F180" i="30"/>
  <c r="G180" i="30"/>
  <c r="H180" i="30"/>
  <c r="I180" i="30"/>
  <c r="K180" i="30"/>
  <c r="E181" i="30"/>
  <c r="F181" i="30"/>
  <c r="G181" i="30"/>
  <c r="H181" i="30"/>
  <c r="I181" i="30"/>
  <c r="J181" i="30"/>
  <c r="K181" i="30"/>
  <c r="E182" i="30"/>
  <c r="F182" i="30"/>
  <c r="G182" i="30"/>
  <c r="H182" i="30"/>
  <c r="I182" i="30"/>
  <c r="J182" i="30"/>
  <c r="K182" i="30"/>
  <c r="D172" i="30"/>
  <c r="D173" i="30"/>
  <c r="D174" i="30"/>
  <c r="D175" i="30"/>
  <c r="D176" i="30"/>
  <c r="D177" i="30"/>
  <c r="D178" i="30"/>
  <c r="D179" i="30"/>
  <c r="D180" i="30"/>
  <c r="D181" i="30"/>
  <c r="D182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W8" i="32"/>
  <c r="Y39" i="32"/>
  <c r="X39" i="32"/>
  <c r="Y38" i="32"/>
  <c r="X38" i="32"/>
  <c r="Y37" i="32"/>
  <c r="X37" i="32"/>
  <c r="Y36" i="32"/>
  <c r="X36" i="32"/>
  <c r="Y35" i="32"/>
  <c r="X35" i="32"/>
  <c r="Y34" i="32"/>
  <c r="X34" i="32"/>
  <c r="Y33" i="32"/>
  <c r="X33" i="32"/>
  <c r="Y32" i="32"/>
  <c r="X32" i="32"/>
  <c r="Y31" i="32"/>
  <c r="X31" i="32"/>
  <c r="Y30" i="32"/>
  <c r="X30" i="32"/>
  <c r="Y29" i="32"/>
  <c r="X29" i="32"/>
  <c r="Y28" i="32"/>
  <c r="X28" i="32"/>
  <c r="Y9" i="32"/>
  <c r="Y10" i="32"/>
  <c r="Y11" i="32"/>
  <c r="Y12" i="32"/>
  <c r="Y13" i="32"/>
  <c r="Y14" i="32"/>
  <c r="Y15" i="32"/>
  <c r="Y16" i="32"/>
  <c r="Y17" i="32"/>
  <c r="Y18" i="32"/>
  <c r="Y19" i="32"/>
  <c r="Y8" i="32"/>
  <c r="X9" i="32"/>
  <c r="X10" i="32"/>
  <c r="X11" i="32"/>
  <c r="X12" i="32"/>
  <c r="X13" i="32"/>
  <c r="X14" i="32"/>
  <c r="X15" i="32"/>
  <c r="X16" i="32"/>
  <c r="X17" i="32"/>
  <c r="X18" i="32"/>
  <c r="X19" i="32"/>
  <c r="X8" i="32"/>
  <c r="D276" i="7"/>
  <c r="D277" i="7"/>
  <c r="D278" i="7"/>
  <c r="D279" i="7"/>
  <c r="D280" i="7"/>
  <c r="D281" i="7"/>
  <c r="D282" i="7"/>
  <c r="D283" i="7"/>
  <c r="D284" i="7"/>
  <c r="D285" i="7"/>
  <c r="D286" i="7"/>
  <c r="D275" i="7"/>
  <c r="C276" i="7"/>
  <c r="C277" i="7"/>
  <c r="C278" i="7"/>
  <c r="C279" i="7"/>
  <c r="C280" i="7"/>
  <c r="C281" i="7"/>
  <c r="C282" i="7"/>
  <c r="C283" i="7"/>
  <c r="C284" i="7"/>
  <c r="C285" i="7"/>
  <c r="C286" i="7"/>
  <c r="C275" i="7"/>
  <c r="D262" i="7"/>
  <c r="D263" i="7"/>
  <c r="D264" i="7"/>
  <c r="D265" i="7"/>
  <c r="D266" i="7"/>
  <c r="D267" i="7"/>
  <c r="D268" i="7"/>
  <c r="D269" i="7"/>
  <c r="D270" i="7"/>
  <c r="D271" i="7"/>
  <c r="D272" i="7"/>
  <c r="D261" i="7"/>
  <c r="C262" i="7"/>
  <c r="C263" i="7"/>
  <c r="C264" i="7"/>
  <c r="C265" i="7"/>
  <c r="C266" i="7"/>
  <c r="C267" i="7"/>
  <c r="C268" i="7"/>
  <c r="C269" i="7"/>
  <c r="C270" i="7"/>
  <c r="C271" i="7"/>
  <c r="C272" i="7"/>
  <c r="C261" i="7"/>
  <c r="W39" i="32"/>
  <c r="W29" i="32"/>
  <c r="W30" i="32"/>
  <c r="W31" i="32"/>
  <c r="W32" i="32"/>
  <c r="W33" i="32"/>
  <c r="W34" i="32"/>
  <c r="W35" i="32"/>
  <c r="W36" i="32"/>
  <c r="W37" i="32"/>
  <c r="W38" i="32"/>
  <c r="W28" i="32"/>
  <c r="W9" i="32"/>
  <c r="W10" i="32"/>
  <c r="W11" i="32"/>
  <c r="W12" i="32"/>
  <c r="W13" i="32"/>
  <c r="W14" i="32"/>
  <c r="W15" i="32"/>
  <c r="W16" i="32"/>
  <c r="W17" i="32"/>
  <c r="W18" i="32"/>
  <c r="W19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9" i="32"/>
  <c r="V10" i="32"/>
  <c r="V11" i="32"/>
  <c r="V12" i="32"/>
  <c r="V13" i="32"/>
  <c r="V14" i="32"/>
  <c r="V15" i="32"/>
  <c r="V16" i="32"/>
  <c r="V17" i="32"/>
  <c r="V18" i="32"/>
  <c r="V19" i="32"/>
  <c r="V8" i="32"/>
  <c r="E268" i="27"/>
  <c r="D268" i="27"/>
  <c r="E267" i="27"/>
  <c r="D267" i="27"/>
  <c r="U42" i="32"/>
  <c r="U22" i="32"/>
  <c r="U21" i="32"/>
  <c r="U9" i="32"/>
  <c r="U10" i="32"/>
  <c r="U11" i="32"/>
  <c r="U12" i="32"/>
  <c r="U13" i="32"/>
  <c r="U14" i="32"/>
  <c r="U15" i="32"/>
  <c r="U16" i="32"/>
  <c r="U17" i="32"/>
  <c r="U18" i="32"/>
  <c r="U19" i="32"/>
  <c r="U8" i="32"/>
  <c r="U41" i="32"/>
  <c r="U29" i="32"/>
  <c r="U30" i="32"/>
  <c r="U31" i="32"/>
  <c r="U32" i="32"/>
  <c r="U33" i="32"/>
  <c r="U34" i="32"/>
  <c r="U35" i="32"/>
  <c r="U36" i="32"/>
  <c r="U37" i="32"/>
  <c r="U38" i="32"/>
  <c r="U39" i="32"/>
  <c r="U28" i="32"/>
  <c r="T29" i="32"/>
  <c r="T30" i="32"/>
  <c r="T31" i="32"/>
  <c r="T32" i="32"/>
  <c r="T33" i="32"/>
  <c r="T34" i="32"/>
  <c r="T35" i="32"/>
  <c r="T36" i="32"/>
  <c r="T37" i="32"/>
  <c r="T38" i="32"/>
  <c r="T39" i="32"/>
  <c r="T9" i="32"/>
  <c r="T10" i="32"/>
  <c r="T11" i="32"/>
  <c r="T12" i="32"/>
  <c r="T21" i="32" s="1"/>
  <c r="T13" i="32"/>
  <c r="T14" i="32"/>
  <c r="T15" i="32"/>
  <c r="T16" i="32"/>
  <c r="T17" i="32"/>
  <c r="T18" i="32"/>
  <c r="T19" i="32"/>
  <c r="T8" i="32"/>
  <c r="T28" i="32"/>
  <c r="S29" i="32"/>
  <c r="S30" i="32"/>
  <c r="S31" i="32"/>
  <c r="S32" i="32"/>
  <c r="S41" i="32" s="1"/>
  <c r="S33" i="32"/>
  <c r="S34" i="32"/>
  <c r="S35" i="32"/>
  <c r="S36" i="32"/>
  <c r="S37" i="32"/>
  <c r="S38" i="32"/>
  <c r="S39" i="32"/>
  <c r="S9" i="32"/>
  <c r="S10" i="32"/>
  <c r="S11" i="32"/>
  <c r="S21" i="32" s="1"/>
  <c r="S12" i="32"/>
  <c r="S13" i="32"/>
  <c r="S14" i="32"/>
  <c r="S15" i="32"/>
  <c r="S16" i="32"/>
  <c r="S17" i="32"/>
  <c r="S18" i="32"/>
  <c r="S19" i="32"/>
  <c r="S8" i="32"/>
  <c r="S28" i="32"/>
  <c r="R29" i="32"/>
  <c r="R30" i="32"/>
  <c r="R31" i="32"/>
  <c r="R32" i="32"/>
  <c r="R33" i="32"/>
  <c r="R34" i="32"/>
  <c r="R35" i="32"/>
  <c r="R36" i="32"/>
  <c r="R41" i="32" s="1"/>
  <c r="R37" i="32"/>
  <c r="R38" i="32"/>
  <c r="R39" i="32"/>
  <c r="R9" i="32"/>
  <c r="R10" i="32"/>
  <c r="R11" i="32"/>
  <c r="R12" i="32"/>
  <c r="R21" i="32" s="1"/>
  <c r="R13" i="32"/>
  <c r="R14" i="32"/>
  <c r="R15" i="32"/>
  <c r="R16" i="32"/>
  <c r="R17" i="32"/>
  <c r="R18" i="32"/>
  <c r="R19" i="32"/>
  <c r="R8" i="32"/>
  <c r="R28" i="32"/>
  <c r="Q29" i="32"/>
  <c r="Q30" i="32"/>
  <c r="Q41" i="32" s="1"/>
  <c r="Q31" i="32"/>
  <c r="Q32" i="32"/>
  <c r="Q33" i="32"/>
  <c r="Q34" i="32"/>
  <c r="Q35" i="32"/>
  <c r="Q36" i="32"/>
  <c r="Q37" i="32"/>
  <c r="Q38" i="32"/>
  <c r="Q39" i="32"/>
  <c r="Q9" i="32"/>
  <c r="Q10" i="32"/>
  <c r="Q11" i="32"/>
  <c r="Q21" i="32" s="1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41" i="32" s="1"/>
  <c r="P32" i="32"/>
  <c r="P33" i="32"/>
  <c r="P34" i="32"/>
  <c r="P35" i="32"/>
  <c r="P36" i="32"/>
  <c r="P37" i="32"/>
  <c r="P38" i="32"/>
  <c r="P39" i="32"/>
  <c r="P9" i="32"/>
  <c r="P10" i="32"/>
  <c r="P21" i="32" s="1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41" i="32" s="1"/>
  <c r="O33" i="32"/>
  <c r="O34" i="32"/>
  <c r="O35" i="32"/>
  <c r="O36" i="32"/>
  <c r="O37" i="32"/>
  <c r="O38" i="32"/>
  <c r="O39" i="32"/>
  <c r="O9" i="32"/>
  <c r="O10" i="32"/>
  <c r="O21" i="32" s="1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41" i="32" s="1"/>
  <c r="N37" i="32"/>
  <c r="N38" i="32"/>
  <c r="N39" i="32"/>
  <c r="N9" i="32"/>
  <c r="N10" i="32"/>
  <c r="N21" i="32" s="1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41" i="32" s="1"/>
  <c r="M32" i="32"/>
  <c r="M33" i="32"/>
  <c r="M34" i="32"/>
  <c r="M35" i="32"/>
  <c r="M36" i="32"/>
  <c r="M37" i="32"/>
  <c r="M38" i="32"/>
  <c r="M39" i="32"/>
  <c r="M9" i="32"/>
  <c r="M10" i="32"/>
  <c r="M11" i="32"/>
  <c r="M21" i="32" s="1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21" i="32" s="1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8" i="32"/>
  <c r="J29" i="32"/>
  <c r="J30" i="32"/>
  <c r="J31" i="32"/>
  <c r="J32" i="32"/>
  <c r="J33" i="32"/>
  <c r="J34" i="32"/>
  <c r="J35" i="32"/>
  <c r="J36" i="32"/>
  <c r="J41" i="32" s="1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41" i="32" s="1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21" i="32" s="1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21" i="32" s="1"/>
  <c r="H12" i="32"/>
  <c r="H13" i="32"/>
  <c r="H14" i="32"/>
  <c r="H15" i="32"/>
  <c r="H16" i="32"/>
  <c r="H17" i="32"/>
  <c r="H18" i="32"/>
  <c r="H19" i="32"/>
  <c r="H8" i="32"/>
  <c r="H28" i="32"/>
  <c r="G29" i="32"/>
  <c r="G30" i="32"/>
  <c r="G41" i="32" s="1"/>
  <c r="G31" i="32"/>
  <c r="G32" i="32"/>
  <c r="G33" i="32"/>
  <c r="G34" i="32"/>
  <c r="G35" i="32"/>
  <c r="G36" i="32"/>
  <c r="G37" i="32"/>
  <c r="G38" i="32"/>
  <c r="G39" i="32"/>
  <c r="G9" i="32"/>
  <c r="G10" i="32"/>
  <c r="G21" i="32" s="1"/>
  <c r="G11" i="32"/>
  <c r="G12" i="32"/>
  <c r="G13" i="32"/>
  <c r="G14" i="32"/>
  <c r="G15" i="32"/>
  <c r="G16" i="32"/>
  <c r="G17" i="32"/>
  <c r="G18" i="32"/>
  <c r="G19" i="32"/>
  <c r="G8" i="32"/>
  <c r="G28" i="32"/>
  <c r="F29" i="32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21" i="32" s="1"/>
  <c r="F17" i="32"/>
  <c r="F18" i="32"/>
  <c r="F19" i="32"/>
  <c r="F8" i="32"/>
  <c r="F28" i="32"/>
  <c r="E29" i="32"/>
  <c r="E30" i="32"/>
  <c r="E41" i="32" s="1"/>
  <c r="E31" i="32"/>
  <c r="E32" i="32"/>
  <c r="E33" i="32"/>
  <c r="E34" i="32"/>
  <c r="E35" i="32"/>
  <c r="E36" i="32"/>
  <c r="E37" i="32"/>
  <c r="E38" i="32"/>
  <c r="E39" i="32"/>
  <c r="E9" i="32"/>
  <c r="E10" i="32"/>
  <c r="E11" i="32"/>
  <c r="E21" i="32" s="1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21" i="32" s="1"/>
  <c r="D11" i="32"/>
  <c r="D12" i="32"/>
  <c r="D13" i="32"/>
  <c r="D14" i="32"/>
  <c r="D15" i="32"/>
  <c r="D16" i="32"/>
  <c r="D17" i="32"/>
  <c r="D18" i="32"/>
  <c r="D19" i="32"/>
  <c r="D28" i="32"/>
  <c r="D8" i="32"/>
  <c r="E266" i="27"/>
  <c r="D266" i="27"/>
  <c r="E254" i="27"/>
  <c r="D254" i="27"/>
  <c r="E242" i="27"/>
  <c r="D242" i="27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41" i="32" s="1"/>
  <c r="C31" i="32"/>
  <c r="C32" i="32"/>
  <c r="C33" i="32"/>
  <c r="C34" i="32"/>
  <c r="C35" i="32"/>
  <c r="C36" i="32"/>
  <c r="C37" i="32"/>
  <c r="C38" i="32"/>
  <c r="C39" i="32"/>
  <c r="C28" i="32"/>
  <c r="C9" i="32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T41" i="32"/>
  <c r="F41" i="32"/>
  <c r="D41" i="32"/>
  <c r="K21" i="32"/>
  <c r="J21" i="32"/>
  <c r="C21" i="32"/>
  <c r="P5" i="32"/>
  <c r="O5" i="32"/>
  <c r="N5" i="32"/>
  <c r="M5" i="32"/>
  <c r="L5" i="32"/>
  <c r="K5" i="32"/>
  <c r="J5" i="32"/>
  <c r="C171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O39" i="7" s="1"/>
  <c r="P39" i="7" s="1"/>
  <c r="Q39" i="7" s="1"/>
  <c r="N38" i="7"/>
  <c r="N37" i="7"/>
  <c r="O37" i="7" s="1"/>
  <c r="P37" i="7" s="1"/>
  <c r="Q37" i="7" s="1"/>
  <c r="N36" i="7"/>
  <c r="N35" i="7"/>
  <c r="O35" i="7" s="1"/>
  <c r="P35" i="7" s="1"/>
  <c r="Q35" i="7" s="1"/>
  <c r="N34" i="7"/>
  <c r="N33" i="7"/>
  <c r="O33" i="7" s="1"/>
  <c r="P33" i="7" s="1"/>
  <c r="Q33" i="7" s="1"/>
  <c r="N32" i="7"/>
  <c r="N31" i="7"/>
  <c r="O31" i="7" s="1"/>
  <c r="P31" i="7" s="1"/>
  <c r="Q31" i="7" s="1"/>
  <c r="N30" i="7"/>
  <c r="N29" i="7"/>
  <c r="O29" i="7" s="1"/>
  <c r="P29" i="7" s="1"/>
  <c r="Q29" i="7" s="1"/>
  <c r="N28" i="7"/>
  <c r="N27" i="7"/>
  <c r="O27" i="7" s="1"/>
  <c r="P27" i="7" s="1"/>
  <c r="Q27" i="7" s="1"/>
  <c r="N26" i="7"/>
  <c r="N25" i="7"/>
  <c r="N24" i="7"/>
  <c r="N23" i="7"/>
  <c r="O23" i="7" s="1"/>
  <c r="P23" i="7" s="1"/>
  <c r="Q23" i="7" s="1"/>
  <c r="N22" i="7"/>
  <c r="N21" i="7"/>
  <c r="O21" i="7" s="1"/>
  <c r="P21" i="7" s="1"/>
  <c r="Q21" i="7" s="1"/>
  <c r="N20" i="7"/>
  <c r="N19" i="7"/>
  <c r="O19" i="7" s="1"/>
  <c r="P19" i="7" s="1"/>
  <c r="Q19" i="7" s="1"/>
  <c r="N18" i="7"/>
  <c r="N17" i="7"/>
  <c r="N16" i="7"/>
  <c r="N15" i="7"/>
  <c r="O15" i="7" s="1"/>
  <c r="P15" i="7" s="1"/>
  <c r="Q15" i="7" s="1"/>
  <c r="N14" i="7"/>
  <c r="N13" i="7"/>
  <c r="O13" i="7" s="1"/>
  <c r="P13" i="7" s="1"/>
  <c r="Q13" i="7" s="1"/>
  <c r="N12" i="7"/>
  <c r="N11" i="7"/>
  <c r="O11" i="7" s="1"/>
  <c r="P11" i="7" s="1"/>
  <c r="Q11" i="7" s="1"/>
  <c r="N10" i="7"/>
  <c r="N9" i="7"/>
  <c r="N8" i="7"/>
  <c r="N7" i="7"/>
  <c r="O7" i="7" s="1"/>
  <c r="P7" i="7" s="1"/>
  <c r="Q7" i="7" s="1"/>
  <c r="N6" i="7"/>
  <c r="N5" i="7"/>
  <c r="O5" i="7" s="1"/>
  <c r="P5" i="7" s="1"/>
  <c r="Q5" i="7" s="1"/>
  <c r="N4" i="7"/>
  <c r="N3" i="7"/>
  <c r="O3" i="7" s="1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O4" i="7"/>
  <c r="P4" i="7" s="1"/>
  <c r="Q4" i="7" s="1"/>
  <c r="O6" i="7"/>
  <c r="P6" i="7" s="1"/>
  <c r="Q6" i="7" s="1"/>
  <c r="O8" i="7"/>
  <c r="P8" i="7" s="1"/>
  <c r="Q8" i="7" s="1"/>
  <c r="O9" i="7"/>
  <c r="P9" i="7" s="1"/>
  <c r="Q9" i="7" s="1"/>
  <c r="O10" i="7"/>
  <c r="P10" i="7" s="1"/>
  <c r="Q10" i="7" s="1"/>
  <c r="O12" i="7"/>
  <c r="P12" i="7" s="1"/>
  <c r="Q12" i="7" s="1"/>
  <c r="O14" i="7"/>
  <c r="P14" i="7" s="1"/>
  <c r="Q14" i="7" s="1"/>
  <c r="O16" i="7"/>
  <c r="P16" i="7" s="1"/>
  <c r="Q16" i="7" s="1"/>
  <c r="O17" i="7"/>
  <c r="P17" i="7" s="1"/>
  <c r="Q17" i="7" s="1"/>
  <c r="O18" i="7"/>
  <c r="P18" i="7" s="1"/>
  <c r="Q18" i="7" s="1"/>
  <c r="O20" i="7"/>
  <c r="P20" i="7" s="1"/>
  <c r="Q20" i="7" s="1"/>
  <c r="O22" i="7"/>
  <c r="P22" i="7" s="1"/>
  <c r="Q22" i="7" s="1"/>
  <c r="O24" i="7"/>
  <c r="P24" i="7" s="1"/>
  <c r="Q24" i="7" s="1"/>
  <c r="O25" i="7"/>
  <c r="P25" i="7" s="1"/>
  <c r="Q25" i="7" s="1"/>
  <c r="O26" i="7"/>
  <c r="P26" i="7" s="1"/>
  <c r="Q26" i="7" s="1"/>
  <c r="O28" i="7"/>
  <c r="P28" i="7" s="1"/>
  <c r="Q28" i="7" s="1"/>
  <c r="O30" i="7"/>
  <c r="P30" i="7" s="1"/>
  <c r="Q30" i="7" s="1"/>
  <c r="O32" i="7"/>
  <c r="P32" i="7" s="1"/>
  <c r="Q32" i="7" s="1"/>
  <c r="O34" i="7"/>
  <c r="P34" i="7" s="1"/>
  <c r="Q34" i="7" s="1"/>
  <c r="O36" i="7"/>
  <c r="P36" i="7" s="1"/>
  <c r="Q36" i="7" s="1"/>
  <c r="O38" i="7"/>
  <c r="P38" i="7" s="1"/>
  <c r="Q38" i="7" s="1"/>
  <c r="G116" i="30"/>
  <c r="J119" i="30" s="1"/>
  <c r="M119" i="30" s="1"/>
  <c r="N117" i="30"/>
  <c r="N118" i="30"/>
  <c r="N119" i="30"/>
  <c r="N120" i="30"/>
  <c r="N121" i="30"/>
  <c r="N122" i="30"/>
  <c r="N123" i="30"/>
  <c r="N124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E113" i="30"/>
  <c r="L122" i="30" s="1"/>
  <c r="F113" i="30"/>
  <c r="L123" i="30" s="1"/>
  <c r="G113" i="30"/>
  <c r="L124" i="30" s="1"/>
  <c r="D113" i="30"/>
  <c r="E111" i="30"/>
  <c r="K122" i="30" s="1"/>
  <c r="F111" i="30"/>
  <c r="K123" i="30" s="1"/>
  <c r="G111" i="30"/>
  <c r="K124" i="30" s="1"/>
  <c r="D111" i="30"/>
  <c r="K121" i="30" s="1"/>
  <c r="D107" i="30"/>
  <c r="L197" i="30" l="1"/>
  <c r="D204" i="30"/>
  <c r="I204" i="30"/>
  <c r="I205" i="30" s="1"/>
  <c r="E204" i="30"/>
  <c r="E205" i="30" s="1"/>
  <c r="D196" i="30"/>
  <c r="D192" i="30"/>
  <c r="M181" i="30"/>
  <c r="M177" i="30"/>
  <c r="M173" i="30"/>
  <c r="H197" i="30"/>
  <c r="K196" i="30"/>
  <c r="G196" i="30"/>
  <c r="D195" i="30"/>
  <c r="D191" i="30"/>
  <c r="H196" i="30"/>
  <c r="L196" i="30"/>
  <c r="H198" i="30"/>
  <c r="D194" i="30"/>
  <c r="D190" i="30"/>
  <c r="F196" i="30"/>
  <c r="D188" i="30"/>
  <c r="K204" i="30"/>
  <c r="K205" i="30" s="1"/>
  <c r="G204" i="30"/>
  <c r="G205" i="30" s="1"/>
  <c r="F197" i="30"/>
  <c r="I196" i="30"/>
  <c r="E196" i="30"/>
  <c r="K198" i="30"/>
  <c r="G198" i="30"/>
  <c r="K197" i="30"/>
  <c r="G197" i="30"/>
  <c r="F204" i="30"/>
  <c r="F205" i="30" s="1"/>
  <c r="L204" i="30"/>
  <c r="L205" i="30" s="1"/>
  <c r="D198" i="30"/>
  <c r="J198" i="30"/>
  <c r="F198" i="30"/>
  <c r="D197" i="30"/>
  <c r="D193" i="30"/>
  <c r="D189" i="30"/>
  <c r="I198" i="30"/>
  <c r="E198" i="30"/>
  <c r="I197" i="30"/>
  <c r="E197" i="30"/>
  <c r="L198" i="30"/>
  <c r="M171" i="30"/>
  <c r="M175" i="30"/>
  <c r="M182" i="30"/>
  <c r="M178" i="30"/>
  <c r="M174" i="30"/>
  <c r="M176" i="30"/>
  <c r="M172" i="30"/>
  <c r="L41" i="32"/>
  <c r="K41" i="32"/>
  <c r="H41" i="32"/>
  <c r="B41" i="32"/>
  <c r="O120" i="30"/>
  <c r="O118" i="30"/>
  <c r="M124" i="30"/>
  <c r="O124" i="30" s="1"/>
  <c r="O116" i="30"/>
  <c r="O117" i="30"/>
  <c r="M123" i="30"/>
  <c r="O123" i="30" s="1"/>
  <c r="M121" i="30"/>
  <c r="O121" i="30" s="1"/>
  <c r="M122" i="30"/>
  <c r="O122" i="30" s="1"/>
  <c r="H113" i="30"/>
  <c r="O119" i="30"/>
  <c r="M125" i="30" l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F12" i="11" s="1"/>
  <c r="E11" i="11"/>
  <c r="E12" i="11" s="1"/>
  <c r="D11" i="11"/>
  <c r="D12" i="11" s="1"/>
  <c r="C11" i="11"/>
  <c r="C12" i="11" s="1"/>
  <c r="B12" i="11"/>
  <c r="B11" i="11"/>
  <c r="F10" i="11"/>
  <c r="E10" i="11"/>
  <c r="D10" i="11"/>
  <c r="C10" i="11"/>
  <c r="B10" i="11"/>
  <c r="O53" i="11" l="1"/>
  <c r="N53" i="11"/>
  <c r="M53" i="11"/>
  <c r="L53" i="11"/>
  <c r="K53" i="11"/>
  <c r="J53" i="11"/>
  <c r="L6" i="17"/>
  <c r="L7" i="17"/>
  <c r="L8" i="17"/>
  <c r="L9" i="17"/>
  <c r="L10" i="17"/>
  <c r="L11" i="17"/>
  <c r="L12" i="17"/>
  <c r="L5" i="17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266" i="30"/>
  <c r="E109" i="30"/>
  <c r="D109" i="30"/>
  <c r="A374" i="30"/>
  <c r="D341" i="30"/>
  <c r="D383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F109" i="30"/>
  <c r="G109" i="30" s="1"/>
  <c r="M27" i="30"/>
  <c r="D205" i="30"/>
  <c r="D268" i="30"/>
  <c r="D272" i="30" s="1"/>
  <c r="D67" i="30"/>
  <c r="F268" i="30"/>
  <c r="H262" i="30"/>
  <c r="E263" i="30" s="1"/>
  <c r="E268" i="30"/>
  <c r="L275" i="30" l="1"/>
  <c r="I295" i="30"/>
  <c r="H109" i="30"/>
  <c r="H111" i="30"/>
  <c r="G268" i="30"/>
  <c r="H268" i="30" s="1"/>
  <c r="F263" i="30"/>
  <c r="E269" i="30"/>
  <c r="E266" i="30"/>
  <c r="I309" i="30" l="1"/>
  <c r="I324" i="30"/>
  <c r="F269" i="30"/>
  <c r="F264" i="30"/>
  <c r="F266" i="30" s="1"/>
  <c r="G263" i="30"/>
  <c r="E272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G269" i="30" l="1"/>
  <c r="H269" i="30" s="1"/>
  <c r="G264" i="30"/>
  <c r="H264" i="30" s="1"/>
  <c r="H263" i="30"/>
  <c r="F270" i="30"/>
  <c r="B206" i="7"/>
  <c r="B205" i="7"/>
  <c r="B204" i="7"/>
  <c r="B203" i="7"/>
  <c r="B202" i="7"/>
  <c r="B201" i="7"/>
  <c r="B200" i="7"/>
  <c r="B199" i="7"/>
  <c r="B198" i="7"/>
  <c r="B197" i="7"/>
  <c r="B250" i="7" s="1"/>
  <c r="B196" i="7"/>
  <c r="B195" i="7"/>
  <c r="D160" i="30" l="1"/>
  <c r="B22" i="23"/>
  <c r="G270" i="30"/>
  <c r="H270" i="30" s="1"/>
  <c r="G265" i="30"/>
  <c r="F272" i="30"/>
  <c r="G86" i="9"/>
  <c r="G85" i="9"/>
  <c r="H265" i="30" l="1"/>
  <c r="G271" i="30"/>
  <c r="G266" i="30"/>
  <c r="H266" i="30" s="1"/>
  <c r="G6" i="17"/>
  <c r="G7" i="17"/>
  <c r="G8" i="17"/>
  <c r="G9" i="17"/>
  <c r="G5" i="17"/>
  <c r="F62" i="17"/>
  <c r="F61" i="17"/>
  <c r="H271" i="30" l="1"/>
  <c r="G272" i="30"/>
  <c r="H272" i="30" s="1"/>
  <c r="G29" i="17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G30" i="17"/>
  <c r="G31" i="17"/>
  <c r="G32" i="17"/>
  <c r="G33" i="17"/>
  <c r="G34" i="17"/>
  <c r="M38" i="9"/>
  <c r="L23" i="9"/>
  <c r="L22" i="9"/>
  <c r="K22" i="9"/>
  <c r="K21" i="9"/>
  <c r="K20" i="9"/>
  <c r="K19" i="9"/>
  <c r="K18" i="9"/>
  <c r="K17" i="9"/>
  <c r="J23" i="9"/>
  <c r="J22" i="9"/>
  <c r="J21" i="9"/>
  <c r="J20" i="9"/>
  <c r="J19" i="9"/>
  <c r="J18" i="9"/>
  <c r="J17" i="9"/>
  <c r="M23" i="9"/>
  <c r="M45" i="9" s="1"/>
  <c r="M22" i="9"/>
  <c r="M44" i="9" s="1"/>
  <c r="M62" i="9" s="1"/>
  <c r="M21" i="9"/>
  <c r="M43" i="9" s="1"/>
  <c r="M20" i="9"/>
  <c r="J40" i="11" s="1"/>
  <c r="I37" i="30" s="1"/>
  <c r="M19" i="9"/>
  <c r="I40" i="11" s="1"/>
  <c r="I36" i="30" s="1"/>
  <c r="I76" i="30" s="1"/>
  <c r="I217" i="30" s="1"/>
  <c r="M18" i="9"/>
  <c r="H40" i="11" s="1"/>
  <c r="I35" i="30" s="1"/>
  <c r="M17" i="9"/>
  <c r="M39" i="9" s="1"/>
  <c r="E15" i="18"/>
  <c r="E14" i="18"/>
  <c r="E13" i="18"/>
  <c r="E12" i="18"/>
  <c r="J41" i="11" s="1"/>
  <c r="E11" i="18"/>
  <c r="I41" i="11" s="1"/>
  <c r="E10" i="18"/>
  <c r="H41" i="11" s="1"/>
  <c r="E9" i="18"/>
  <c r="I75" i="30" l="1"/>
  <c r="I216" i="30" s="1"/>
  <c r="I77" i="30"/>
  <c r="I59" i="30"/>
  <c r="T48" i="30"/>
  <c r="I24" i="30"/>
  <c r="E31" i="18"/>
  <c r="E33" i="18"/>
  <c r="E27" i="18"/>
  <c r="E32" i="18"/>
  <c r="G40" i="11"/>
  <c r="I34" i="30" s="1"/>
  <c r="I74" i="30" s="1"/>
  <c r="I215" i="30" s="1"/>
  <c r="L41" i="11"/>
  <c r="K41" i="11"/>
  <c r="G41" i="11"/>
  <c r="M42" i="9"/>
  <c r="M60" i="9" s="1"/>
  <c r="M40" i="11"/>
  <c r="I40" i="30" s="1"/>
  <c r="M40" i="9"/>
  <c r="M57" i="9" s="1"/>
  <c r="E30" i="18"/>
  <c r="M41" i="11"/>
  <c r="G38" i="17"/>
  <c r="G40" i="17" s="1"/>
  <c r="M61" i="9"/>
  <c r="M41" i="9"/>
  <c r="E29" i="18"/>
  <c r="E28" i="18"/>
  <c r="L40" i="11"/>
  <c r="I39" i="30" s="1"/>
  <c r="I79" i="30" s="1"/>
  <c r="I220" i="30" s="1"/>
  <c r="K40" i="11"/>
  <c r="I38" i="30" s="1"/>
  <c r="I78" i="30" s="1"/>
  <c r="G36" i="17"/>
  <c r="O39" i="11" s="1"/>
  <c r="H76" i="9"/>
  <c r="I76" i="9" s="1"/>
  <c r="I10" i="17"/>
  <c r="J33" i="9"/>
  <c r="H207" i="7"/>
  <c r="H208" i="7" s="1"/>
  <c r="J207" i="7"/>
  <c r="J208" i="7" s="1"/>
  <c r="J209" i="7" s="1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I232" i="30" l="1"/>
  <c r="I233" i="30"/>
  <c r="I97" i="30"/>
  <c r="I219" i="30"/>
  <c r="I96" i="30"/>
  <c r="I218" i="30"/>
  <c r="I234" i="30" s="1"/>
  <c r="I98" i="30"/>
  <c r="I94" i="30"/>
  <c r="I95" i="30"/>
  <c r="I80" i="30"/>
  <c r="I64" i="30"/>
  <c r="I61" i="30"/>
  <c r="M59" i="9"/>
  <c r="E35" i="18"/>
  <c r="M58" i="9"/>
  <c r="M66" i="9" s="1"/>
  <c r="M64" i="9" s="1"/>
  <c r="M46" i="9" s="1"/>
  <c r="H209" i="7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J210" i="7"/>
  <c r="H220" i="7" l="1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M47" i="9"/>
  <c r="M69" i="9"/>
  <c r="J211" i="7"/>
  <c r="D3" i="26"/>
  <c r="E3" i="26" s="1"/>
  <c r="F3" i="26"/>
  <c r="G3" i="26" s="1"/>
  <c r="H3" i="26" s="1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B8" i="17"/>
  <c r="B9" i="17"/>
  <c r="B10" i="17"/>
  <c r="B11" i="17"/>
  <c r="B12" i="17"/>
  <c r="B13" i="17"/>
  <c r="B5" i="17"/>
  <c r="D50" i="17"/>
  <c r="D5" i="17" s="1"/>
  <c r="J62" i="17"/>
  <c r="I62" i="17"/>
  <c r="H62" i="17"/>
  <c r="E62" i="17"/>
  <c r="D62" i="17"/>
  <c r="C62" i="17"/>
  <c r="B62" i="17"/>
  <c r="J61" i="17"/>
  <c r="I61" i="17"/>
  <c r="H61" i="17"/>
  <c r="E61" i="17"/>
  <c r="D61" i="17"/>
  <c r="C61" i="17"/>
  <c r="B61" i="17"/>
  <c r="J60" i="17"/>
  <c r="I60" i="17"/>
  <c r="H60" i="17"/>
  <c r="F60" i="17"/>
  <c r="E60" i="17"/>
  <c r="D60" i="17"/>
  <c r="D15" i="17" s="1"/>
  <c r="C60" i="17"/>
  <c r="C15" i="17" s="1"/>
  <c r="B60" i="17"/>
  <c r="B14" i="17" s="1"/>
  <c r="H59" i="17"/>
  <c r="H13" i="17" s="1"/>
  <c r="D59" i="17"/>
  <c r="D13" i="17" s="1"/>
  <c r="C59" i="17"/>
  <c r="C13" i="17" s="1"/>
  <c r="L13" i="17" l="1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43" i="30"/>
  <c r="I208" i="30"/>
  <c r="I224" i="30" s="1"/>
  <c r="I241" i="30" s="1"/>
  <c r="I247" i="30" s="1"/>
  <c r="I253" i="30" s="1"/>
  <c r="I280" i="30" s="1"/>
  <c r="I185" i="30"/>
  <c r="N9" i="17"/>
  <c r="H15" i="17"/>
  <c r="M77" i="9"/>
  <c r="M70" i="9"/>
  <c r="I15" i="17"/>
  <c r="B16" i="17"/>
  <c r="L16" i="17" s="1"/>
  <c r="D16" i="17"/>
  <c r="E16" i="17"/>
  <c r="H16" i="17"/>
  <c r="N11" i="17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C16" i="17"/>
  <c r="N8" i="17"/>
  <c r="N7" i="17"/>
  <c r="N6" i="17"/>
  <c r="L80" i="7" s="1"/>
  <c r="N13" i="17"/>
  <c r="L164" i="7" s="1"/>
  <c r="N5" i="17"/>
  <c r="N12" i="17"/>
  <c r="L152" i="7" s="1"/>
  <c r="F16" i="17"/>
  <c r="N10" i="17"/>
  <c r="B15" i="17"/>
  <c r="I14" i="17"/>
  <c r="J212" i="7"/>
  <c r="E15" i="17"/>
  <c r="F15" i="17"/>
  <c r="I16" i="17"/>
  <c r="D14" i="17"/>
  <c r="C14" i="17"/>
  <c r="H14" i="17"/>
  <c r="J180" i="30" s="1"/>
  <c r="F14" i="17"/>
  <c r="E14" i="17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J197" i="30" l="1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M78" i="9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J213" i="7"/>
  <c r="B11" i="29"/>
  <c r="B24" i="29" s="1"/>
  <c r="B36" i="29" s="1"/>
  <c r="B48" i="29" s="1"/>
  <c r="B60" i="29" s="1"/>
  <c r="B72" i="29" s="1"/>
  <c r="B84" i="29" s="1"/>
  <c r="B7" i="29"/>
  <c r="B20" i="29" s="1"/>
  <c r="B32" i="29" s="1"/>
  <c r="B44" i="29" s="1"/>
  <c r="B56" i="29" s="1"/>
  <c r="B68" i="29" s="1"/>
  <c r="B80" i="29" s="1"/>
  <c r="B6" i="29"/>
  <c r="B19" i="29" s="1"/>
  <c r="B31" i="29" s="1"/>
  <c r="B43" i="29" s="1"/>
  <c r="B55" i="29" s="1"/>
  <c r="B67" i="29" s="1"/>
  <c r="B79" i="29" s="1"/>
  <c r="B5" i="29"/>
  <c r="B18" i="29" s="1"/>
  <c r="B30" i="29" s="1"/>
  <c r="B42" i="29" s="1"/>
  <c r="B54" i="29" s="1"/>
  <c r="B66" i="29" s="1"/>
  <c r="B78" i="29" s="1"/>
  <c r="B4" i="29"/>
  <c r="B17" i="29" s="1"/>
  <c r="B29" i="29" s="1"/>
  <c r="B41" i="29" s="1"/>
  <c r="B53" i="29" s="1"/>
  <c r="B65" i="29" s="1"/>
  <c r="B77" i="29" s="1"/>
  <c r="D60" i="29"/>
  <c r="D59" i="29"/>
  <c r="D58" i="29"/>
  <c r="D57" i="29"/>
  <c r="D56" i="29"/>
  <c r="D55" i="29"/>
  <c r="D54" i="29"/>
  <c r="D53" i="29"/>
  <c r="D36" i="29"/>
  <c r="D35" i="29"/>
  <c r="D34" i="29"/>
  <c r="D33" i="29"/>
  <c r="D32" i="29"/>
  <c r="D31" i="29"/>
  <c r="D30" i="29"/>
  <c r="D29" i="29"/>
  <c r="B11" i="28"/>
  <c r="B24" i="28" s="1"/>
  <c r="B36" i="28" s="1"/>
  <c r="B48" i="28" s="1"/>
  <c r="B60" i="28" s="1"/>
  <c r="B72" i="28" s="1"/>
  <c r="B84" i="28" s="1"/>
  <c r="D10" i="28"/>
  <c r="B7" i="28"/>
  <c r="B20" i="28" s="1"/>
  <c r="B32" i="28" s="1"/>
  <c r="B44" i="28" s="1"/>
  <c r="B56" i="28" s="1"/>
  <c r="B68" i="28" s="1"/>
  <c r="B80" i="28" s="1"/>
  <c r="B6" i="28"/>
  <c r="B19" i="28" s="1"/>
  <c r="B31" i="28" s="1"/>
  <c r="B43" i="28" s="1"/>
  <c r="B55" i="28" s="1"/>
  <c r="B67" i="28" s="1"/>
  <c r="B79" i="28" s="1"/>
  <c r="B5" i="28"/>
  <c r="B18" i="28" s="1"/>
  <c r="B30" i="28" s="1"/>
  <c r="B42" i="28" s="1"/>
  <c r="B54" i="28" s="1"/>
  <c r="B66" i="28" s="1"/>
  <c r="B78" i="28" s="1"/>
  <c r="B4" i="28"/>
  <c r="B17" i="28" s="1"/>
  <c r="B29" i="28" s="1"/>
  <c r="B41" i="28" s="1"/>
  <c r="B53" i="28" s="1"/>
  <c r="B65" i="28" s="1"/>
  <c r="B77" i="28" s="1"/>
  <c r="D60" i="28"/>
  <c r="D59" i="28"/>
  <c r="D58" i="28"/>
  <c r="D57" i="28"/>
  <c r="D56" i="28"/>
  <c r="D55" i="28"/>
  <c r="D54" i="28"/>
  <c r="D53" i="28"/>
  <c r="D36" i="28"/>
  <c r="D35" i="28"/>
  <c r="D34" i="28"/>
  <c r="D33" i="28"/>
  <c r="D32" i="28"/>
  <c r="D31" i="28"/>
  <c r="D30" i="28"/>
  <c r="D29" i="28"/>
  <c r="A4" i="27"/>
  <c r="A5" i="27" s="1"/>
  <c r="A6" i="27" s="1"/>
  <c r="A7" i="27" s="1"/>
  <c r="A8" i="27" s="1"/>
  <c r="A9" i="27" s="1"/>
  <c r="A10" i="27" s="1"/>
  <c r="A11" i="27" s="1"/>
  <c r="A12" i="27"/>
  <c r="A13" i="27" s="1"/>
  <c r="A14" i="27" s="1"/>
  <c r="A15" i="27" s="1"/>
  <c r="A16" i="27" s="1"/>
  <c r="A17" i="27" s="1"/>
  <c r="A18" i="27" s="1"/>
  <c r="A19" i="27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C266" i="27"/>
  <c r="B266" i="27"/>
  <c r="C265" i="27"/>
  <c r="B265" i="27"/>
  <c r="C264" i="27"/>
  <c r="B264" i="27"/>
  <c r="C263" i="27"/>
  <c r="B263" i="27"/>
  <c r="C262" i="27"/>
  <c r="B262" i="27"/>
  <c r="C261" i="27"/>
  <c r="B261" i="27"/>
  <c r="C260" i="27"/>
  <c r="B260" i="27"/>
  <c r="C259" i="27"/>
  <c r="B259" i="27"/>
  <c r="C258" i="27"/>
  <c r="B258" i="27"/>
  <c r="C257" i="27"/>
  <c r="B257" i="27"/>
  <c r="C256" i="27"/>
  <c r="B256" i="27"/>
  <c r="C255" i="27"/>
  <c r="B255" i="27"/>
  <c r="C254" i="27"/>
  <c r="B254" i="27"/>
  <c r="C253" i="27"/>
  <c r="B253" i="27"/>
  <c r="C252" i="27"/>
  <c r="B252" i="27"/>
  <c r="C251" i="27"/>
  <c r="B251" i="27"/>
  <c r="C250" i="27"/>
  <c r="B250" i="27"/>
  <c r="C249" i="27"/>
  <c r="B249" i="27"/>
  <c r="C248" i="27"/>
  <c r="B248" i="27"/>
  <c r="C247" i="27"/>
  <c r="B247" i="27"/>
  <c r="C246" i="27"/>
  <c r="B246" i="27"/>
  <c r="C245" i="27"/>
  <c r="B245" i="27"/>
  <c r="C244" i="27"/>
  <c r="B244" i="27"/>
  <c r="C243" i="27"/>
  <c r="B243" i="27"/>
  <c r="C242" i="27"/>
  <c r="B242" i="27"/>
  <c r="C241" i="27"/>
  <c r="B241" i="27"/>
  <c r="C240" i="27"/>
  <c r="B240" i="27"/>
  <c r="C239" i="27"/>
  <c r="B239" i="27"/>
  <c r="C238" i="27"/>
  <c r="B238" i="27"/>
  <c r="C237" i="27"/>
  <c r="B237" i="27"/>
  <c r="C236" i="27"/>
  <c r="B236" i="27"/>
  <c r="C235" i="27"/>
  <c r="B235" i="27"/>
  <c r="C234" i="27"/>
  <c r="B234" i="27"/>
  <c r="C233" i="27"/>
  <c r="B233" i="27"/>
  <c r="C232" i="27"/>
  <c r="B232" i="27"/>
  <c r="C231" i="27"/>
  <c r="B231" i="27"/>
  <c r="P16" i="26"/>
  <c r="N14" i="26"/>
  <c r="T12" i="26"/>
  <c r="C12" i="26"/>
  <c r="B12" i="26"/>
  <c r="D11" i="26"/>
  <c r="E11" i="26" s="1"/>
  <c r="D10" i="26"/>
  <c r="E10" i="26" s="1"/>
  <c r="D9" i="26"/>
  <c r="E9" i="26" s="1"/>
  <c r="F8" i="26"/>
  <c r="D8" i="26"/>
  <c r="E8" i="26" s="1"/>
  <c r="F7" i="26"/>
  <c r="D7" i="26"/>
  <c r="E7" i="26" s="1"/>
  <c r="S6" i="26"/>
  <c r="R6" i="26"/>
  <c r="Q6" i="26"/>
  <c r="P6" i="26"/>
  <c r="P10" i="26" s="1"/>
  <c r="F6" i="26"/>
  <c r="D6" i="26"/>
  <c r="E6" i="26" s="1"/>
  <c r="F5" i="26"/>
  <c r="D5" i="26"/>
  <c r="E5" i="26" s="1"/>
  <c r="F4" i="26"/>
  <c r="D4" i="26"/>
  <c r="E4" i="26" s="1"/>
  <c r="F16" i="26"/>
  <c r="H2" i="26"/>
  <c r="G2" i="26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D218" i="7" s="1"/>
  <c r="D230" i="7" s="1"/>
  <c r="D181" i="7"/>
  <c r="D180" i="7"/>
  <c r="D179" i="7"/>
  <c r="D178" i="7"/>
  <c r="D177" i="7"/>
  <c r="D176" i="7"/>
  <c r="D175" i="7"/>
  <c r="C182" i="7"/>
  <c r="C181" i="7"/>
  <c r="C180" i="7"/>
  <c r="C179" i="7"/>
  <c r="C178" i="7"/>
  <c r="C177" i="7"/>
  <c r="C176" i="7"/>
  <c r="C175" i="7"/>
  <c r="D174" i="7"/>
  <c r="D210" i="7" s="1"/>
  <c r="D222" i="7" s="1"/>
  <c r="C174" i="7"/>
  <c r="D173" i="7"/>
  <c r="D209" i="7" s="1"/>
  <c r="D221" i="7" s="1"/>
  <c r="C173" i="7"/>
  <c r="D172" i="7"/>
  <c r="D208" i="7" s="1"/>
  <c r="D220" i="7" s="1"/>
  <c r="C172" i="7"/>
  <c r="D171" i="7"/>
  <c r="B14" i="18"/>
  <c r="K23" i="9"/>
  <c r="M30" i="11" s="1"/>
  <c r="G40" i="30" s="1"/>
  <c r="G15" i="18"/>
  <c r="M55" i="11" s="1"/>
  <c r="D15" i="18"/>
  <c r="M36" i="11" s="1"/>
  <c r="L25" i="11"/>
  <c r="F39" i="30" s="1"/>
  <c r="N23" i="9"/>
  <c r="N45" i="9" s="1"/>
  <c r="P20" i="9"/>
  <c r="O21" i="9"/>
  <c r="O43" i="9" s="1"/>
  <c r="N20" i="9"/>
  <c r="N42" i="9" s="1"/>
  <c r="H20" i="9"/>
  <c r="J17" i="11" s="1"/>
  <c r="L56" i="30"/>
  <c r="J34" i="17"/>
  <c r="L57" i="30"/>
  <c r="G14" i="18"/>
  <c r="L55" i="11" s="1"/>
  <c r="G13" i="18"/>
  <c r="K55" i="11" s="1"/>
  <c r="G12" i="18"/>
  <c r="J55" i="11" s="1"/>
  <c r="P23" i="9"/>
  <c r="P21" i="9"/>
  <c r="L67" i="11"/>
  <c r="C14" i="18"/>
  <c r="L31" i="11" s="1"/>
  <c r="K68" i="11"/>
  <c r="F13" i="18"/>
  <c r="K30" i="11"/>
  <c r="G38" i="30" s="1"/>
  <c r="O20" i="9"/>
  <c r="J50" i="11" s="1"/>
  <c r="L20" i="9"/>
  <c r="J25" i="11"/>
  <c r="F37" i="30" s="1"/>
  <c r="I20" i="9"/>
  <c r="N69" i="11"/>
  <c r="O69" i="11"/>
  <c r="L68" i="11"/>
  <c r="F14" i="18"/>
  <c r="K67" i="11"/>
  <c r="D13" i="18"/>
  <c r="D22" i="18"/>
  <c r="D23" i="18"/>
  <c r="D24" i="18"/>
  <c r="F24" i="18"/>
  <c r="C13" i="18"/>
  <c r="B13" i="18"/>
  <c r="K26" i="11" s="1"/>
  <c r="H31" i="17"/>
  <c r="U195" i="30" s="1"/>
  <c r="L44" i="11"/>
  <c r="J58" i="30" s="1"/>
  <c r="I33" i="17"/>
  <c r="M34" i="11"/>
  <c r="H59" i="30" s="1"/>
  <c r="M44" i="11"/>
  <c r="J59" i="30" s="1"/>
  <c r="M16" i="11"/>
  <c r="D59" i="30" s="1"/>
  <c r="I31" i="17"/>
  <c r="F31" i="17"/>
  <c r="E31" i="17"/>
  <c r="B31" i="17"/>
  <c r="G19" i="9"/>
  <c r="I10" i="11" s="1"/>
  <c r="I12" i="11" s="1"/>
  <c r="B24" i="9"/>
  <c r="B25" i="9"/>
  <c r="B249" i="7"/>
  <c r="B248" i="7"/>
  <c r="B247" i="7"/>
  <c r="G15" i="9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4" i="9"/>
  <c r="K36" i="9"/>
  <c r="K54" i="9" s="1"/>
  <c r="K37" i="9"/>
  <c r="K38" i="9"/>
  <c r="K39" i="9"/>
  <c r="K40" i="9"/>
  <c r="L35" i="9"/>
  <c r="L34" i="9"/>
  <c r="L36" i="9"/>
  <c r="L37" i="9"/>
  <c r="L54" i="9" s="1"/>
  <c r="L38" i="9"/>
  <c r="L39" i="9"/>
  <c r="L40" i="9"/>
  <c r="N41" i="9"/>
  <c r="N37" i="9"/>
  <c r="H27" i="17"/>
  <c r="N39" i="9"/>
  <c r="N40" i="9"/>
  <c r="H29" i="17"/>
  <c r="H30" i="17"/>
  <c r="O41" i="9"/>
  <c r="O40" i="9"/>
  <c r="O39" i="9"/>
  <c r="B235" i="7"/>
  <c r="B236" i="7"/>
  <c r="B237" i="7"/>
  <c r="B238" i="7"/>
  <c r="B239" i="7"/>
  <c r="B240" i="7"/>
  <c r="B241" i="7"/>
  <c r="B242" i="7"/>
  <c r="B243" i="7"/>
  <c r="B244" i="7"/>
  <c r="B245" i="7"/>
  <c r="B234" i="7"/>
  <c r="G12" i="9"/>
  <c r="G13" i="9"/>
  <c r="G14" i="9"/>
  <c r="D10" i="30" s="1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E29" i="17"/>
  <c r="E30" i="17"/>
  <c r="F24" i="17"/>
  <c r="F25" i="17"/>
  <c r="F26" i="17"/>
  <c r="F27" i="17"/>
  <c r="F28" i="17"/>
  <c r="F29" i="17"/>
  <c r="F30" i="17"/>
  <c r="J16" i="11"/>
  <c r="J29" i="11"/>
  <c r="G56" i="30" s="1"/>
  <c r="J34" i="11"/>
  <c r="H56" i="30" s="1"/>
  <c r="J49" i="11"/>
  <c r="B22" i="18"/>
  <c r="B23" i="18"/>
  <c r="B11" i="18"/>
  <c r="F11" i="18"/>
  <c r="F29" i="18" s="1"/>
  <c r="D11" i="18"/>
  <c r="C11" i="18"/>
  <c r="C29" i="18"/>
  <c r="F10" i="18"/>
  <c r="F28" i="18" s="1"/>
  <c r="D10" i="18"/>
  <c r="C10" i="18"/>
  <c r="B10" i="18"/>
  <c r="B9" i="18"/>
  <c r="F9" i="18"/>
  <c r="F27" i="18"/>
  <c r="D9" i="18"/>
  <c r="D27" i="18"/>
  <c r="C9" i="18"/>
  <c r="F8" i="18"/>
  <c r="D8" i="18"/>
  <c r="D26" i="18" s="1"/>
  <c r="C8" i="18"/>
  <c r="F7" i="18"/>
  <c r="F25" i="18" s="1"/>
  <c r="C7" i="18"/>
  <c r="E31" i="11"/>
  <c r="D7" i="18"/>
  <c r="D25" i="18" s="1"/>
  <c r="B6" i="18"/>
  <c r="C6" i="18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B9" i="28" s="1"/>
  <c r="B22" i="28" s="1"/>
  <c r="B34" i="28" s="1"/>
  <c r="B46" i="28" s="1"/>
  <c r="B58" i="28" s="1"/>
  <c r="B70" i="28" s="1"/>
  <c r="B82" i="28" s="1"/>
  <c r="I2" i="17"/>
  <c r="B10" i="28" s="1"/>
  <c r="B23" i="28" s="1"/>
  <c r="B35" i="28" s="1"/>
  <c r="B47" i="28" s="1"/>
  <c r="B59" i="28" s="1"/>
  <c r="B71" i="28" s="1"/>
  <c r="B83" i="28" s="1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K24" i="30" s="1"/>
  <c r="K64" i="30" s="1"/>
  <c r="K169" i="30" s="1"/>
  <c r="A43" i="11"/>
  <c r="J24" i="30" s="1"/>
  <c r="J64" i="30" s="1"/>
  <c r="J169" i="30" s="1"/>
  <c r="A33" i="11"/>
  <c r="H24" i="30" s="1"/>
  <c r="H64" i="30" s="1"/>
  <c r="H169" i="30" s="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F36" i="11"/>
  <c r="G31" i="11"/>
  <c r="G46" i="11"/>
  <c r="H31" i="11"/>
  <c r="I31" i="11"/>
  <c r="I46" i="11"/>
  <c r="F4" i="11"/>
  <c r="H46" i="11"/>
  <c r="C25" i="18"/>
  <c r="G36" i="11"/>
  <c r="L4" i="17"/>
  <c r="B27" i="18"/>
  <c r="G26" i="11"/>
  <c r="E46" i="11"/>
  <c r="J20" i="11"/>
  <c r="E56" i="30" s="1"/>
  <c r="E49" i="11"/>
  <c r="K51" i="30" s="1"/>
  <c r="C49" i="11"/>
  <c r="K49" i="30" s="1"/>
  <c r="H28" i="17"/>
  <c r="D28" i="17"/>
  <c r="J39" i="9"/>
  <c r="H37" i="9"/>
  <c r="B26" i="17"/>
  <c r="L41" i="9"/>
  <c r="G16" i="9"/>
  <c r="F63" i="11" s="1"/>
  <c r="J38" i="9"/>
  <c r="N38" i="9"/>
  <c r="K35" i="9"/>
  <c r="J35" i="9"/>
  <c r="D24" i="17"/>
  <c r="I36" i="9"/>
  <c r="C25" i="17"/>
  <c r="G17" i="9"/>
  <c r="N36" i="9"/>
  <c r="C29" i="17"/>
  <c r="I40" i="9"/>
  <c r="H40" i="9"/>
  <c r="G18" i="9"/>
  <c r="I29" i="17"/>
  <c r="I30" i="17"/>
  <c r="I34" i="9"/>
  <c r="H26" i="17"/>
  <c r="C30" i="17"/>
  <c r="B28" i="17"/>
  <c r="B24" i="17"/>
  <c r="C63" i="11"/>
  <c r="E63" i="11"/>
  <c r="D9" i="30"/>
  <c r="D63" i="11"/>
  <c r="H62" i="11"/>
  <c r="I56" i="9"/>
  <c r="H34" i="17"/>
  <c r="H74" i="17"/>
  <c r="H84" i="17" s="1"/>
  <c r="M20" i="11"/>
  <c r="E59" i="30" s="1"/>
  <c r="L49" i="11"/>
  <c r="K58" i="30" s="1"/>
  <c r="N21" i="9"/>
  <c r="K45" i="11" s="1"/>
  <c r="L21" i="9"/>
  <c r="K35" i="11" s="1"/>
  <c r="H38" i="30" s="1"/>
  <c r="J43" i="9"/>
  <c r="I21" i="9"/>
  <c r="I43" i="9" s="1"/>
  <c r="H21" i="9"/>
  <c r="K17" i="11" s="1"/>
  <c r="D38" i="30" s="1"/>
  <c r="K36" i="11"/>
  <c r="F34" i="17"/>
  <c r="I32" i="17"/>
  <c r="K49" i="11"/>
  <c r="K24" i="11"/>
  <c r="F57" i="30" s="1"/>
  <c r="J67" i="11"/>
  <c r="J68" i="11"/>
  <c r="D12" i="18"/>
  <c r="J36" i="11" s="1"/>
  <c r="C12" i="18"/>
  <c r="F12" i="18"/>
  <c r="B12" i="18"/>
  <c r="J26" i="11" s="1"/>
  <c r="F15" i="18"/>
  <c r="M46" i="11" s="1"/>
  <c r="C15" i="18"/>
  <c r="M68" i="11"/>
  <c r="M25" i="11"/>
  <c r="F40" i="30" s="1"/>
  <c r="H23" i="9"/>
  <c r="M17" i="11" s="1"/>
  <c r="D40" i="30" s="1"/>
  <c r="O23" i="9"/>
  <c r="O45" i="9" s="1"/>
  <c r="I23" i="9"/>
  <c r="M21" i="11" s="1"/>
  <c r="E40" i="30" s="1"/>
  <c r="B15" i="18"/>
  <c r="D14" i="18"/>
  <c r="K34" i="11"/>
  <c r="H57" i="30" s="1"/>
  <c r="C33" i="17"/>
  <c r="B32" i="17"/>
  <c r="K44" i="11"/>
  <c r="E369" i="30" s="1"/>
  <c r="E383" i="30" s="1"/>
  <c r="C24" i="18"/>
  <c r="B7" i="18"/>
  <c r="C27" i="18"/>
  <c r="F26" i="18"/>
  <c r="K29" i="11"/>
  <c r="G57" i="30" s="1"/>
  <c r="B25" i="18"/>
  <c r="H7" i="18"/>
  <c r="E64" i="11" s="1"/>
  <c r="J32" i="17"/>
  <c r="B34" i="17"/>
  <c r="J44" i="11"/>
  <c r="J56" i="30" s="1"/>
  <c r="M67" i="11"/>
  <c r="H22" i="9"/>
  <c r="L17" i="11" s="1"/>
  <c r="D39" i="30" s="1"/>
  <c r="P22" i="9"/>
  <c r="L35" i="11"/>
  <c r="H39" i="30" s="1"/>
  <c r="L30" i="11"/>
  <c r="G39" i="30" s="1"/>
  <c r="I22" i="9"/>
  <c r="L21" i="11" s="1"/>
  <c r="E39" i="30" s="1"/>
  <c r="O22" i="9"/>
  <c r="L26" i="11"/>
  <c r="N22" i="9"/>
  <c r="L45" i="11" s="1"/>
  <c r="J39" i="30" s="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G59" i="30" s="1"/>
  <c r="H33" i="17"/>
  <c r="U197" i="30" s="1"/>
  <c r="N43" i="9"/>
  <c r="H32" i="17"/>
  <c r="U196" i="30" s="1"/>
  <c r="D34" i="17"/>
  <c r="L24" i="11"/>
  <c r="F58" i="30" s="1"/>
  <c r="K16" i="11"/>
  <c r="D57" i="30" s="1"/>
  <c r="L16" i="11"/>
  <c r="D58" i="30" s="1"/>
  <c r="B33" i="17"/>
  <c r="I34" i="17"/>
  <c r="M49" i="11"/>
  <c r="K59" i="30" s="1"/>
  <c r="L34" i="11"/>
  <c r="H58" i="30" s="1"/>
  <c r="C34" i="17"/>
  <c r="L20" i="11"/>
  <c r="E58" i="30" s="1"/>
  <c r="K43" i="9"/>
  <c r="L59" i="30"/>
  <c r="C32" i="17"/>
  <c r="K20" i="11"/>
  <c r="E57" i="30" s="1"/>
  <c r="J30" i="11"/>
  <c r="G37" i="30" s="1"/>
  <c r="H4" i="11" l="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H202" i="30"/>
  <c r="H208" i="30" s="1"/>
  <c r="H224" i="30" s="1"/>
  <c r="H241" i="30" s="1"/>
  <c r="H247" i="30" s="1"/>
  <c r="H253" i="30" s="1"/>
  <c r="H280" i="30" s="1"/>
  <c r="J185" i="30"/>
  <c r="J202" i="30"/>
  <c r="J208" i="30" s="1"/>
  <c r="J224" i="30" s="1"/>
  <c r="J241" i="30" s="1"/>
  <c r="J247" i="30" s="1"/>
  <c r="J253" i="30" s="1"/>
  <c r="J280" i="30" s="1"/>
  <c r="K185" i="30"/>
  <c r="K202" i="30"/>
  <c r="K208" i="30" s="1"/>
  <c r="K224" i="30" s="1"/>
  <c r="K241" i="30" s="1"/>
  <c r="K247" i="30" s="1"/>
  <c r="K253" i="30" s="1"/>
  <c r="K280" i="30" s="1"/>
  <c r="K275" i="30" s="1"/>
  <c r="J79" i="30"/>
  <c r="J220" i="30" s="1"/>
  <c r="G72" i="30"/>
  <c r="G213" i="30" s="1"/>
  <c r="J72" i="30"/>
  <c r="J213" i="30" s="1"/>
  <c r="E72" i="30"/>
  <c r="E213" i="30" s="1"/>
  <c r="H71" i="30"/>
  <c r="E5" i="11"/>
  <c r="E152" i="30"/>
  <c r="F152" i="30" s="1"/>
  <c r="C14" i="23"/>
  <c r="C57" i="23" s="1"/>
  <c r="C9" i="23"/>
  <c r="C52" i="23" s="1"/>
  <c r="E147" i="30"/>
  <c r="F147" i="30" s="1"/>
  <c r="C13" i="23"/>
  <c r="C56" i="23" s="1"/>
  <c r="D56" i="23" s="1"/>
  <c r="E151" i="30"/>
  <c r="F151" i="30" s="1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144" i="30" s="1"/>
  <c r="D80" i="30"/>
  <c r="D221" i="30" s="1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E80" i="30"/>
  <c r="E221" i="30" s="1"/>
  <c r="F73" i="30"/>
  <c r="F214" i="30" s="1"/>
  <c r="J73" i="30"/>
  <c r="E73" i="30"/>
  <c r="G77" i="30"/>
  <c r="G218" i="30" s="1"/>
  <c r="E79" i="30"/>
  <c r="E220" i="30" s="1"/>
  <c r="D79" i="30"/>
  <c r="D220" i="30" s="1"/>
  <c r="F72" i="30"/>
  <c r="F213" i="30" s="1"/>
  <c r="J71" i="30"/>
  <c r="J212" i="30" s="1"/>
  <c r="E71" i="30"/>
  <c r="K75" i="30"/>
  <c r="K216" i="30" s="1"/>
  <c r="J76" i="30"/>
  <c r="J217" i="30" s="1"/>
  <c r="G78" i="30"/>
  <c r="G219" i="30" s="1"/>
  <c r="G235" i="30" s="1"/>
  <c r="H78" i="30"/>
  <c r="H219" i="30" s="1"/>
  <c r="G80" i="30"/>
  <c r="G221" i="30" s="1"/>
  <c r="H79" i="30"/>
  <c r="H220" i="30" s="1"/>
  <c r="D78" i="30"/>
  <c r="D219" i="30" s="1"/>
  <c r="H72" i="30"/>
  <c r="H213" i="30" s="1"/>
  <c r="G71" i="30"/>
  <c r="G212" i="30" s="1"/>
  <c r="H76" i="30"/>
  <c r="H217" i="30" s="1"/>
  <c r="J74" i="30"/>
  <c r="J215" i="30" s="1"/>
  <c r="F79" i="30"/>
  <c r="F220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J57" i="30"/>
  <c r="K55" i="9"/>
  <c r="J54" i="9"/>
  <c r="H52" i="9"/>
  <c r="I57" i="9"/>
  <c r="E10" i="30"/>
  <c r="F10" i="30" s="1"/>
  <c r="D11" i="30"/>
  <c r="E11" i="30" s="1"/>
  <c r="F11" i="30" s="1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F73" i="11" s="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G60" i="1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I54" i="9"/>
  <c r="K57" i="9"/>
  <c r="H58" i="9"/>
  <c r="J57" i="9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O42" i="9"/>
  <c r="O59" i="9" s="1"/>
  <c r="P42" i="9"/>
  <c r="J46" i="11"/>
  <c r="P43" i="9"/>
  <c r="B31" i="18"/>
  <c r="K50" i="11"/>
  <c r="C209" i="7"/>
  <c r="C211" i="7"/>
  <c r="C213" i="7"/>
  <c r="C215" i="7"/>
  <c r="C217" i="7"/>
  <c r="L45" i="9"/>
  <c r="K45" i="9"/>
  <c r="H15" i="18"/>
  <c r="M64" i="11" s="1"/>
  <c r="M69" i="11"/>
  <c r="C208" i="7"/>
  <c r="C210" i="7"/>
  <c r="C212" i="7"/>
  <c r="C214" i="7"/>
  <c r="C216" i="7"/>
  <c r="C218" i="7"/>
  <c r="H43" i="9"/>
  <c r="I44" i="9"/>
  <c r="I61" i="9" s="1"/>
  <c r="J55" i="9"/>
  <c r="P44" i="9"/>
  <c r="F31" i="18"/>
  <c r="N44" i="9"/>
  <c r="N61" i="9" s="1"/>
  <c r="T236" i="30" s="1"/>
  <c r="D31" i="18"/>
  <c r="M35" i="11"/>
  <c r="H40" i="30" s="1"/>
  <c r="H80" i="30" s="1"/>
  <c r="H221" i="30" s="1"/>
  <c r="L44" i="9"/>
  <c r="K25" i="11"/>
  <c r="F38" i="30" s="1"/>
  <c r="F78" i="30" s="1"/>
  <c r="F219" i="30" s="1"/>
  <c r="H44" i="9"/>
  <c r="I53" i="9"/>
  <c r="G63" i="11"/>
  <c r="C32" i="18"/>
  <c r="H45" i="9"/>
  <c r="I45" i="9"/>
  <c r="J214" i="7"/>
  <c r="H54" i="9"/>
  <c r="B9" i="29"/>
  <c r="B22" i="29" s="1"/>
  <c r="B34" i="29" s="1"/>
  <c r="B46" i="29" s="1"/>
  <c r="B58" i="29" s="1"/>
  <c r="B70" i="29" s="1"/>
  <c r="B82" i="29" s="1"/>
  <c r="I58" i="9"/>
  <c r="L53" i="9"/>
  <c r="N58" i="9"/>
  <c r="H57" i="9"/>
  <c r="H53" i="9"/>
  <c r="J52" i="9"/>
  <c r="J58" i="9"/>
  <c r="N55" i="9"/>
  <c r="N54" i="9"/>
  <c r="N56" i="9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B53" i="23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L50" i="11"/>
  <c r="K52" i="9"/>
  <c r="J56" i="9"/>
  <c r="K31" i="11"/>
  <c r="H13" i="18"/>
  <c r="C31" i="18"/>
  <c r="J35" i="11"/>
  <c r="H37" i="30" s="1"/>
  <c r="D30" i="18"/>
  <c r="P45" i="9"/>
  <c r="N60" i="9"/>
  <c r="T235" i="30" s="1"/>
  <c r="J31" i="11"/>
  <c r="F46" i="11"/>
  <c r="H10" i="18"/>
  <c r="H26" i="11"/>
  <c r="B28" i="18"/>
  <c r="G62" i="11"/>
  <c r="L42" i="9"/>
  <c r="D5" i="11"/>
  <c r="O241" i="7"/>
  <c r="P241" i="7" s="1"/>
  <c r="M50" i="11"/>
  <c r="K40" i="30" s="1"/>
  <c r="K80" i="30" s="1"/>
  <c r="K221" i="30" s="1"/>
  <c r="B30" i="18"/>
  <c r="H12" i="18"/>
  <c r="B12" i="9"/>
  <c r="B54" i="23"/>
  <c r="O58" i="9"/>
  <c r="L55" i="9"/>
  <c r="K53" i="9"/>
  <c r="H55" i="9"/>
  <c r="H56" i="9"/>
  <c r="I38" i="17"/>
  <c r="H11" i="18"/>
  <c r="I26" i="11"/>
  <c r="B29" i="18"/>
  <c r="D31" i="17"/>
  <c r="D73" i="17"/>
  <c r="J42" i="9"/>
  <c r="J60" i="9" s="1"/>
  <c r="J24" i="11"/>
  <c r="F56" i="30" s="1"/>
  <c r="F77" i="30" s="1"/>
  <c r="F218" i="30" s="1"/>
  <c r="I123" i="7"/>
  <c r="F17" i="26"/>
  <c r="T6" i="26"/>
  <c r="Q7" i="26" s="1"/>
  <c r="Q10" i="26" s="1"/>
  <c r="C12" i="9"/>
  <c r="B5" i="11"/>
  <c r="B6" i="11" s="1"/>
  <c r="E26" i="11"/>
  <c r="I36" i="11"/>
  <c r="D29" i="18"/>
  <c r="H63" i="11"/>
  <c r="L58" i="9"/>
  <c r="E84" i="17"/>
  <c r="F83" i="17"/>
  <c r="B8" i="29"/>
  <c r="B21" i="29" s="1"/>
  <c r="B33" i="29" s="1"/>
  <c r="B45" i="29" s="1"/>
  <c r="B57" i="29" s="1"/>
  <c r="B69" i="29" s="1"/>
  <c r="B81" i="29" s="1"/>
  <c r="B8" i="28"/>
  <c r="B21" i="28" s="1"/>
  <c r="B33" i="28" s="1"/>
  <c r="B45" i="28" s="1"/>
  <c r="B57" i="28" s="1"/>
  <c r="B69" i="28" s="1"/>
  <c r="B81" i="28" s="1"/>
  <c r="B8" i="18"/>
  <c r="C26" i="18"/>
  <c r="F31" i="11"/>
  <c r="C28" i="18"/>
  <c r="B18" i="9"/>
  <c r="L43" i="9"/>
  <c r="F32" i="17"/>
  <c r="F33" i="17"/>
  <c r="J45" i="11"/>
  <c r="F30" i="18"/>
  <c r="M45" i="11"/>
  <c r="J40" i="30" s="1"/>
  <c r="J80" i="30" s="1"/>
  <c r="F33" i="18"/>
  <c r="H38" i="17"/>
  <c r="J199" i="30" s="1"/>
  <c r="J204" i="30" s="1"/>
  <c r="B83" i="17"/>
  <c r="J73" i="17"/>
  <c r="M73" i="17" s="1"/>
  <c r="D26" i="11"/>
  <c r="D60" i="11" s="1"/>
  <c r="H9" i="18"/>
  <c r="D28" i="18"/>
  <c r="H36" i="11"/>
  <c r="D8" i="30"/>
  <c r="B63" i="11"/>
  <c r="L56" i="9"/>
  <c r="L57" i="9"/>
  <c r="K56" i="9"/>
  <c r="I52" i="9"/>
  <c r="H6" i="18"/>
  <c r="D64" i="11" s="1"/>
  <c r="D12" i="26"/>
  <c r="E12" i="26" s="1"/>
  <c r="B10" i="29"/>
  <c r="B23" i="29" s="1"/>
  <c r="B35" i="29" s="1"/>
  <c r="B47" i="29" s="1"/>
  <c r="B59" i="29" s="1"/>
  <c r="B71" i="29" s="1"/>
  <c r="B83" i="29" s="1"/>
  <c r="B38" i="17"/>
  <c r="J69" i="11"/>
  <c r="O57" i="9"/>
  <c r="I63" i="11"/>
  <c r="I73" i="11" s="1"/>
  <c r="B24" i="18"/>
  <c r="C31" i="17"/>
  <c r="C38" i="17" s="1"/>
  <c r="C74" i="17"/>
  <c r="I55" i="9"/>
  <c r="K69" i="11"/>
  <c r="B10" i="9"/>
  <c r="L52" i="9"/>
  <c r="J53" i="9"/>
  <c r="F1" i="18"/>
  <c r="L69" i="11"/>
  <c r="F14" i="9"/>
  <c r="M4" i="11"/>
  <c r="G333" i="30" s="1"/>
  <c r="B23" i="9"/>
  <c r="C4" i="11"/>
  <c r="B254" i="7"/>
  <c r="B13" i="9"/>
  <c r="K42" i="9"/>
  <c r="C30" i="18"/>
  <c r="M26" i="11"/>
  <c r="B33" i="18"/>
  <c r="D32" i="17"/>
  <c r="D33" i="17"/>
  <c r="M31" i="11"/>
  <c r="C33" i="18"/>
  <c r="L29" i="11"/>
  <c r="G58" i="30" s="1"/>
  <c r="G79" i="30" s="1"/>
  <c r="G220" i="30" s="1"/>
  <c r="E33" i="17"/>
  <c r="E34" i="17"/>
  <c r="K44" i="9"/>
  <c r="L62" i="11"/>
  <c r="F32" i="18"/>
  <c r="L46" i="11"/>
  <c r="L36" i="11"/>
  <c r="D32" i="18"/>
  <c r="G23" i="9"/>
  <c r="M10" i="11" s="1"/>
  <c r="J45" i="9"/>
  <c r="H14" i="18"/>
  <c r="L64" i="11" s="1"/>
  <c r="E32" i="17"/>
  <c r="K21" i="11"/>
  <c r="E38" i="30" s="1"/>
  <c r="E78" i="30" s="1"/>
  <c r="E219" i="30" s="1"/>
  <c r="G21" i="9"/>
  <c r="K10" i="11" s="1"/>
  <c r="M24" i="11"/>
  <c r="M62" i="11"/>
  <c r="I42" i="9"/>
  <c r="J21" i="11"/>
  <c r="E37" i="30" s="1"/>
  <c r="E77" i="30" s="1"/>
  <c r="E218" i="30" s="1"/>
  <c r="G20" i="9"/>
  <c r="J10" i="11" s="1"/>
  <c r="J12" i="11" s="1"/>
  <c r="J33" i="17"/>
  <c r="J38" i="17" s="1"/>
  <c r="L58" i="30"/>
  <c r="J44" i="9"/>
  <c r="J61" i="9" s="1"/>
  <c r="B32" i="18"/>
  <c r="G22" i="9"/>
  <c r="L10" i="11" s="1"/>
  <c r="L12" i="11" s="1"/>
  <c r="J205" i="30" l="1"/>
  <c r="M205" i="30" s="1"/>
  <c r="M204" i="30"/>
  <c r="F149" i="30"/>
  <c r="E6" i="11"/>
  <c r="F150" i="30"/>
  <c r="F148" i="30"/>
  <c r="N123" i="7"/>
  <c r="H231" i="30"/>
  <c r="F233" i="30"/>
  <c r="G231" i="30"/>
  <c r="G232" i="30"/>
  <c r="G227" i="30"/>
  <c r="H236" i="30"/>
  <c r="J233" i="30"/>
  <c r="E234" i="30"/>
  <c r="F231" i="30"/>
  <c r="J275" i="30"/>
  <c r="H295" i="30"/>
  <c r="F235" i="30"/>
  <c r="G233" i="30"/>
  <c r="K233" i="30"/>
  <c r="H275" i="30"/>
  <c r="F295" i="30"/>
  <c r="E235" i="30"/>
  <c r="F234" i="30"/>
  <c r="G228" i="30"/>
  <c r="H230" i="30"/>
  <c r="G230" i="30"/>
  <c r="H243" i="30"/>
  <c r="H237" i="30"/>
  <c r="G243" i="30"/>
  <c r="G237" i="30"/>
  <c r="K232" i="30"/>
  <c r="J229" i="30"/>
  <c r="G236" i="30"/>
  <c r="K243" i="30"/>
  <c r="F232" i="30"/>
  <c r="F236" i="30"/>
  <c r="E236" i="30"/>
  <c r="F230" i="30"/>
  <c r="J232" i="30"/>
  <c r="G229" i="30"/>
  <c r="G234" i="30"/>
  <c r="E237" i="30"/>
  <c r="E243" i="30"/>
  <c r="H232" i="30"/>
  <c r="H233" i="30"/>
  <c r="D243" i="30"/>
  <c r="D244" i="30" s="1"/>
  <c r="D237" i="30"/>
  <c r="E90" i="30"/>
  <c r="E212" i="30"/>
  <c r="E228" i="30" s="1"/>
  <c r="J99" i="30"/>
  <c r="J221" i="30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D236" i="30"/>
  <c r="J92" i="30"/>
  <c r="J214" i="30"/>
  <c r="J230" i="30" s="1"/>
  <c r="H99" i="30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D98" i="30"/>
  <c r="J94" i="30"/>
  <c r="G98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D86" i="30"/>
  <c r="E99" i="30"/>
  <c r="E86" i="30"/>
  <c r="E97" i="30"/>
  <c r="H98" i="30"/>
  <c r="G99" i="30"/>
  <c r="F98" i="30"/>
  <c r="H86" i="30"/>
  <c r="E98" i="30"/>
  <c r="K12" i="11"/>
  <c r="G86" i="30"/>
  <c r="G97" i="30"/>
  <c r="F86" i="30"/>
  <c r="F97" i="30"/>
  <c r="F94" i="30"/>
  <c r="G94" i="30"/>
  <c r="M12" i="11"/>
  <c r="D19" i="30" s="1"/>
  <c r="G30" i="18"/>
  <c r="D99" i="30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K237" i="30" s="1"/>
  <c r="L54" i="11"/>
  <c r="L39" i="30" s="1"/>
  <c r="L79" i="30" s="1"/>
  <c r="L220" i="30" s="1"/>
  <c r="G32" i="18"/>
  <c r="G31" i="18"/>
  <c r="K54" i="11"/>
  <c r="L38" i="30" s="1"/>
  <c r="L78" i="30" s="1"/>
  <c r="L219" i="30" s="1"/>
  <c r="M54" i="11"/>
  <c r="L40" i="30" s="1"/>
  <c r="G33" i="18"/>
  <c r="K38" i="30"/>
  <c r="K78" i="30" s="1"/>
  <c r="K219" i="30" s="1"/>
  <c r="M58" i="30"/>
  <c r="J37" i="30"/>
  <c r="M30" i="30"/>
  <c r="F20" i="9"/>
  <c r="J63" i="11"/>
  <c r="M63" i="11"/>
  <c r="F22" i="9"/>
  <c r="D18" i="30"/>
  <c r="L63" i="11"/>
  <c r="K63" i="11"/>
  <c r="F72" i="11"/>
  <c r="G12" i="30"/>
  <c r="H12" i="30" s="1"/>
  <c r="I12" i="30" s="1"/>
  <c r="D72" i="11"/>
  <c r="G10" i="30"/>
  <c r="H10" i="30" s="1"/>
  <c r="I10" i="30" s="1"/>
  <c r="O60" i="9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J59" i="11"/>
  <c r="D15" i="30"/>
  <c r="I60" i="11"/>
  <c r="D70" i="30"/>
  <c r="D211" i="30" s="1"/>
  <c r="D69" i="30"/>
  <c r="D210" i="30" s="1"/>
  <c r="E60" i="11"/>
  <c r="E74" i="11" s="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J60" i="11"/>
  <c r="K60" i="11"/>
  <c r="P60" i="9"/>
  <c r="C222" i="7"/>
  <c r="C225" i="7"/>
  <c r="C220" i="7"/>
  <c r="C223" i="7"/>
  <c r="L58" i="11"/>
  <c r="G18" i="30" s="1"/>
  <c r="C221" i="7"/>
  <c r="L60" i="11"/>
  <c r="L74" i="11" s="1"/>
  <c r="C219" i="7"/>
  <c r="C230" i="7"/>
  <c r="C228" i="7"/>
  <c r="C226" i="7"/>
  <c r="C229" i="7"/>
  <c r="C224" i="7"/>
  <c r="C227" i="7"/>
  <c r="L61" i="9"/>
  <c r="O123" i="7"/>
  <c r="P123" i="7" s="1"/>
  <c r="Q123" i="7" s="1"/>
  <c r="M60" i="11"/>
  <c r="M74" i="11" s="1"/>
  <c r="B73" i="11"/>
  <c r="D74" i="11"/>
  <c r="P61" i="9"/>
  <c r="H60" i="9"/>
  <c r="G72" i="11"/>
  <c r="L62" i="9"/>
  <c r="H62" i="9"/>
  <c r="H61" i="9"/>
  <c r="F35" i="18"/>
  <c r="P62" i="9"/>
  <c r="I62" i="9"/>
  <c r="J64" i="11"/>
  <c r="N62" i="9"/>
  <c r="N66" i="9" s="1"/>
  <c r="J238" i="30" s="1"/>
  <c r="O61" i="9"/>
  <c r="O66" i="9" s="1"/>
  <c r="L60" i="9"/>
  <c r="F23" i="9"/>
  <c r="E89" i="17"/>
  <c r="E94" i="17" s="1"/>
  <c r="E99" i="17" s="1"/>
  <c r="F17" i="9"/>
  <c r="F21" i="9"/>
  <c r="J215" i="7"/>
  <c r="D51" i="23"/>
  <c r="Q13" i="26"/>
  <c r="R7" i="26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E40" i="17" s="1"/>
  <c r="B36" i="17"/>
  <c r="B17" i="17" s="1"/>
  <c r="N16" i="11" s="1"/>
  <c r="D60" i="30" s="1"/>
  <c r="C84" i="17"/>
  <c r="C89" i="17" s="1"/>
  <c r="C94" i="17" s="1"/>
  <c r="C99" i="17" s="1"/>
  <c r="G64" i="11"/>
  <c r="G74" i="11" s="1"/>
  <c r="H36" i="17"/>
  <c r="H17" i="17" s="1"/>
  <c r="H40" i="17"/>
  <c r="F38" i="17"/>
  <c r="F18" i="9"/>
  <c r="I64" i="11"/>
  <c r="H64" i="11"/>
  <c r="K64" i="11"/>
  <c r="D35" i="18"/>
  <c r="D38" i="17"/>
  <c r="D36" i="17" s="1"/>
  <c r="D17" i="17" s="1"/>
  <c r="J83" i="17"/>
  <c r="F88" i="17" s="1"/>
  <c r="F93" i="17" s="1"/>
  <c r="F98" i="17" s="1"/>
  <c r="J59" i="9"/>
  <c r="H8" i="18"/>
  <c r="F64" i="11" s="1"/>
  <c r="B26" i="18"/>
  <c r="F26" i="11"/>
  <c r="F60" i="11" s="1"/>
  <c r="I36" i="17"/>
  <c r="I17" i="17" s="1"/>
  <c r="I40" i="17"/>
  <c r="L59" i="9"/>
  <c r="C35" i="18"/>
  <c r="I124" i="7"/>
  <c r="F18" i="26"/>
  <c r="B35" i="18"/>
  <c r="D83" i="17"/>
  <c r="D88" i="17" s="1"/>
  <c r="D93" i="17" s="1"/>
  <c r="D98" i="17" s="1"/>
  <c r="F13" i="9"/>
  <c r="D13" i="9"/>
  <c r="E13" i="9" s="1"/>
  <c r="I59" i="9"/>
  <c r="I60" i="9"/>
  <c r="K60" i="9"/>
  <c r="K59" i="9"/>
  <c r="J36" i="17"/>
  <c r="J17" i="17" s="1"/>
  <c r="J40" i="17"/>
  <c r="K61" i="9"/>
  <c r="K62" i="9"/>
  <c r="K62" i="11"/>
  <c r="E387" i="30" s="1"/>
  <c r="E391" i="30" s="1"/>
  <c r="J62" i="9"/>
  <c r="N124" i="7" l="1"/>
  <c r="O124" i="7" s="1"/>
  <c r="P124" i="7" s="1"/>
  <c r="Q124" i="7" s="1"/>
  <c r="F309" i="30"/>
  <c r="F324" i="30"/>
  <c r="H309" i="30"/>
  <c r="H324" i="30"/>
  <c r="L235" i="30"/>
  <c r="W235" i="30" s="1"/>
  <c r="D230" i="30"/>
  <c r="D227" i="30"/>
  <c r="L236" i="30"/>
  <c r="W236" i="30" s="1"/>
  <c r="E229" i="30"/>
  <c r="J231" i="30"/>
  <c r="J236" i="30"/>
  <c r="E233" i="30"/>
  <c r="G249" i="30"/>
  <c r="G282" i="30" s="1"/>
  <c r="G244" i="30"/>
  <c r="G250" i="30" s="1"/>
  <c r="F229" i="30"/>
  <c r="E244" i="30"/>
  <c r="E250" i="30" s="1"/>
  <c r="E249" i="30"/>
  <c r="E231" i="30"/>
  <c r="J243" i="30"/>
  <c r="J237" i="30"/>
  <c r="H229" i="30"/>
  <c r="K236" i="30"/>
  <c r="K249" i="30"/>
  <c r="K282" i="30" s="1"/>
  <c r="K244" i="30"/>
  <c r="K250" i="30" s="1"/>
  <c r="H249" i="30"/>
  <c r="H244" i="30"/>
  <c r="H250" i="30" s="1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50" i="30"/>
  <c r="D249" i="30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G35" i="18"/>
  <c r="J86" i="30"/>
  <c r="J98" i="30"/>
  <c r="D97" i="30"/>
  <c r="L86" i="30"/>
  <c r="L97" i="30"/>
  <c r="K86" i="30"/>
  <c r="K97" i="30"/>
  <c r="L98" i="30"/>
  <c r="K99" i="30"/>
  <c r="M40" i="30"/>
  <c r="L80" i="30"/>
  <c r="M59" i="30"/>
  <c r="F80" i="30"/>
  <c r="M37" i="30"/>
  <c r="J77" i="30"/>
  <c r="M39" i="30"/>
  <c r="M59" i="11"/>
  <c r="M73" i="11" s="1"/>
  <c r="M72" i="11"/>
  <c r="M38" i="30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L64" i="9" s="1"/>
  <c r="L46" i="9" s="1"/>
  <c r="L47" i="9" s="1"/>
  <c r="H66" i="9"/>
  <c r="H64" i="9" s="1"/>
  <c r="H46" i="9" s="1"/>
  <c r="H69" i="9" s="1"/>
  <c r="F74" i="11"/>
  <c r="J74" i="11"/>
  <c r="P66" i="9"/>
  <c r="I74" i="11"/>
  <c r="H74" i="11"/>
  <c r="J73" i="11"/>
  <c r="F27" i="9"/>
  <c r="K72" i="11"/>
  <c r="N64" i="9"/>
  <c r="N46" i="9" s="1"/>
  <c r="N47" i="9" s="1"/>
  <c r="J216" i="7"/>
  <c r="R13" i="26"/>
  <c r="F10" i="26" s="1"/>
  <c r="S7" i="26"/>
  <c r="S13" i="26" s="1"/>
  <c r="F11" i="26" s="1"/>
  <c r="T7" i="26"/>
  <c r="R8" i="26" s="1"/>
  <c r="R14" i="26" s="1"/>
  <c r="T13" i="26"/>
  <c r="F9" i="26"/>
  <c r="F12" i="26" s="1"/>
  <c r="Q16" i="26"/>
  <c r="J66" i="9"/>
  <c r="J64" i="9" s="1"/>
  <c r="J46" i="9" s="1"/>
  <c r="D40" i="17"/>
  <c r="E36" i="17"/>
  <c r="E17" i="17" s="1"/>
  <c r="N29" i="11" s="1"/>
  <c r="G60" i="30" s="1"/>
  <c r="J94" i="17"/>
  <c r="L94" i="17" s="1"/>
  <c r="B99" i="17"/>
  <c r="B18" i="17"/>
  <c r="O16" i="11" s="1"/>
  <c r="C18" i="17"/>
  <c r="O20" i="11" s="1"/>
  <c r="N20" i="11"/>
  <c r="E60" i="30" s="1"/>
  <c r="H18" i="17"/>
  <c r="N44" i="11"/>
  <c r="I125" i="7"/>
  <c r="F19" i="26"/>
  <c r="N49" i="11"/>
  <c r="K60" i="30" s="1"/>
  <c r="I18" i="17"/>
  <c r="O49" i="11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I66" i="9"/>
  <c r="O64" i="9"/>
  <c r="O46" i="9" s="1"/>
  <c r="J18" i="17"/>
  <c r="L60" i="30"/>
  <c r="N24" i="11"/>
  <c r="F60" i="30" s="1"/>
  <c r="D18" i="17"/>
  <c r="O24" i="11" s="1"/>
  <c r="J60" i="30" l="1"/>
  <c r="H369" i="30"/>
  <c r="H383" i="30" s="1"/>
  <c r="N125" i="7"/>
  <c r="O125" i="7" s="1"/>
  <c r="P125" i="7" s="1"/>
  <c r="Q125" i="7" s="1"/>
  <c r="K235" i="30"/>
  <c r="H283" i="30"/>
  <c r="G283" i="30"/>
  <c r="H282" i="30"/>
  <c r="E282" i="30"/>
  <c r="K283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D282" i="30"/>
  <c r="F99" i="30"/>
  <c r="F221" i="30"/>
  <c r="D283" i="30"/>
  <c r="J96" i="30"/>
  <c r="J218" i="30"/>
  <c r="L99" i="30"/>
  <c r="L221" i="30"/>
  <c r="P64" i="9"/>
  <c r="P46" i="9" s="1"/>
  <c r="P47" i="9" s="1"/>
  <c r="P89" i="9"/>
  <c r="L17" i="17"/>
  <c r="N62" i="11" s="1"/>
  <c r="H387" i="30" s="1"/>
  <c r="J97" i="30"/>
  <c r="E61" i="30"/>
  <c r="F61" i="30"/>
  <c r="K61" i="30"/>
  <c r="D61" i="30"/>
  <c r="O7" i="11"/>
  <c r="I336" i="30" s="1"/>
  <c r="N7" i="11"/>
  <c r="H336" i="30" s="1"/>
  <c r="O44" i="11"/>
  <c r="I369" i="30" s="1"/>
  <c r="I383" i="30" s="1"/>
  <c r="E17" i="30"/>
  <c r="F17" i="30" s="1"/>
  <c r="E18" i="30"/>
  <c r="F18" i="30" s="1"/>
  <c r="P69" i="9"/>
  <c r="P77" i="9" s="1"/>
  <c r="E18" i="17"/>
  <c r="O29" i="11" s="1"/>
  <c r="H47" i="9"/>
  <c r="H70" i="9" s="1"/>
  <c r="H78" i="9" s="1"/>
  <c r="N69" i="9"/>
  <c r="N77" i="9" s="1"/>
  <c r="H77" i="9"/>
  <c r="R10" i="26"/>
  <c r="J217" i="7"/>
  <c r="S8" i="26"/>
  <c r="T8" i="26" s="1"/>
  <c r="L69" i="9"/>
  <c r="N70" i="9"/>
  <c r="F20" i="26"/>
  <c r="I126" i="7"/>
  <c r="B98" i="17"/>
  <c r="J93" i="17"/>
  <c r="L93" i="17" s="1"/>
  <c r="F18" i="17"/>
  <c r="O34" i="11" s="1"/>
  <c r="N34" i="11"/>
  <c r="S14" i="26"/>
  <c r="R16" i="26"/>
  <c r="O69" i="9"/>
  <c r="O47" i="9"/>
  <c r="O70" i="9" s="1"/>
  <c r="I64" i="9"/>
  <c r="I46" i="9" s="1"/>
  <c r="K64" i="9"/>
  <c r="K46" i="9" s="1"/>
  <c r="L61" i="30"/>
  <c r="P70" i="9"/>
  <c r="J69" i="9"/>
  <c r="J47" i="9"/>
  <c r="J70" i="9" s="1"/>
  <c r="H391" i="30" l="1"/>
  <c r="N126" i="7"/>
  <c r="O126" i="7" s="1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I391" i="30" s="1"/>
  <c r="G61" i="30"/>
  <c r="J61" i="30"/>
  <c r="H61" i="30"/>
  <c r="N58" i="11"/>
  <c r="H60" i="30"/>
  <c r="M60" i="30" s="1"/>
  <c r="O58" i="11"/>
  <c r="N78" i="9"/>
  <c r="L77" i="9"/>
  <c r="S9" i="26"/>
  <c r="J218" i="7"/>
  <c r="F21" i="26"/>
  <c r="I127" i="7"/>
  <c r="S15" i="26"/>
  <c r="T15" i="26" s="1"/>
  <c r="T14" i="26"/>
  <c r="L70" i="9"/>
  <c r="K47" i="9"/>
  <c r="K70" i="9" s="1"/>
  <c r="K69" i="9"/>
  <c r="O78" i="9"/>
  <c r="J78" i="9"/>
  <c r="P78" i="9"/>
  <c r="I47" i="9"/>
  <c r="I70" i="9" s="1"/>
  <c r="I69" i="9"/>
  <c r="J77" i="9"/>
  <c r="O77" i="9"/>
  <c r="G21" i="30" l="1"/>
  <c r="O205" i="30"/>
  <c r="G20" i="30"/>
  <c r="H20" i="30" s="1"/>
  <c r="I20" i="30" s="1"/>
  <c r="O204" i="30"/>
  <c r="N127" i="7"/>
  <c r="O127" i="7" s="1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T16" i="26" s="1"/>
  <c r="T9" i="26"/>
  <c r="S10" i="26"/>
  <c r="T10" i="26" s="1"/>
  <c r="J219" i="7"/>
  <c r="J261" i="7" s="1"/>
  <c r="I128" i="7"/>
  <c r="F22" i="26"/>
  <c r="I77" i="9"/>
  <c r="G69" i="9"/>
  <c r="K77" i="9"/>
  <c r="I78" i="9"/>
  <c r="G70" i="9"/>
  <c r="M86" i="9" s="1"/>
  <c r="I289" i="30" s="1"/>
  <c r="K78" i="9"/>
  <c r="H21" i="30" l="1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N128" i="7"/>
  <c r="O128" i="7" s="1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N129" i="7"/>
  <c r="O129" i="7" s="1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N130" i="7" l="1"/>
  <c r="O130" i="7" s="1"/>
  <c r="P130" i="7" s="1"/>
  <c r="Q130" i="7" s="1"/>
  <c r="M277" i="30"/>
  <c r="M276" i="30"/>
  <c r="J222" i="7"/>
  <c r="I131" i="7"/>
  <c r="F25" i="26"/>
  <c r="N131" i="7" l="1"/>
  <c r="O131" i="7" s="1"/>
  <c r="P131" i="7" s="1"/>
  <c r="Q131" i="7" s="1"/>
  <c r="J223" i="7"/>
  <c r="I132" i="7"/>
  <c r="F26" i="26"/>
  <c r="N132" i="7" l="1"/>
  <c r="O132" i="7" s="1"/>
  <c r="P132" i="7" s="1"/>
  <c r="Q132" i="7" s="1"/>
  <c r="J224" i="7"/>
  <c r="I133" i="7"/>
  <c r="F27" i="26"/>
  <c r="N133" i="7" l="1"/>
  <c r="O133" i="7" s="1"/>
  <c r="P133" i="7" s="1"/>
  <c r="Q133" i="7" s="1"/>
  <c r="J225" i="7"/>
  <c r="I134" i="7"/>
  <c r="N134" i="7" s="1"/>
  <c r="H27" i="26"/>
  <c r="G4" i="26" s="1"/>
  <c r="H4" i="26" s="1"/>
  <c r="F28" i="26" s="1"/>
  <c r="G27" i="26"/>
  <c r="J3" i="26" s="1"/>
  <c r="O134" i="7" l="1"/>
  <c r="P134" i="7" s="1"/>
  <c r="Q134" i="7" s="1"/>
  <c r="N244" i="7"/>
  <c r="J226" i="7"/>
  <c r="F29" i="26"/>
  <c r="I135" i="7"/>
  <c r="N135" i="7" s="1"/>
  <c r="K3" i="26"/>
  <c r="E154" i="30" l="1"/>
  <c r="F154" i="30" s="1"/>
  <c r="C16" i="23"/>
  <c r="C59" i="23" s="1"/>
  <c r="D59" i="23" s="1"/>
  <c r="O135" i="7"/>
  <c r="P135" i="7" s="1"/>
  <c r="Q135" i="7" s="1"/>
  <c r="O244" i="7"/>
  <c r="P244" i="7" s="1"/>
  <c r="G5" i="11"/>
  <c r="C17" i="9"/>
  <c r="D17" i="9" s="1"/>
  <c r="E17" i="9" s="1"/>
  <c r="J227" i="7"/>
  <c r="I136" i="7"/>
  <c r="F30" i="26"/>
  <c r="N136" i="7" l="1"/>
  <c r="O136" i="7" s="1"/>
  <c r="P136" i="7" s="1"/>
  <c r="Q136" i="7" s="1"/>
  <c r="Q244" i="7"/>
  <c r="H154" i="30"/>
  <c r="G6" i="11"/>
  <c r="J228" i="7"/>
  <c r="I137" i="7"/>
  <c r="F31" i="26"/>
  <c r="N137" i="7" l="1"/>
  <c r="O137" i="7" s="1"/>
  <c r="P137" i="7" s="1"/>
  <c r="Q137" i="7" s="1"/>
  <c r="J229" i="7"/>
  <c r="I138" i="7"/>
  <c r="F32" i="26"/>
  <c r="N138" i="7" l="1"/>
  <c r="O138" i="7" s="1"/>
  <c r="P138" i="7" s="1"/>
  <c r="Q138" i="7" s="1"/>
  <c r="J230" i="7"/>
  <c r="I139" i="7"/>
  <c r="F33" i="26"/>
  <c r="N139" i="7" l="1"/>
  <c r="O139" i="7" s="1"/>
  <c r="P139" i="7" s="1"/>
  <c r="Q139" i="7" s="1"/>
  <c r="I140" i="7"/>
  <c r="F34" i="26"/>
  <c r="N140" i="7" l="1"/>
  <c r="O140" i="7" s="1"/>
  <c r="P140" i="7" s="1"/>
  <c r="Q140" i="7" s="1"/>
  <c r="I141" i="7"/>
  <c r="F35" i="26"/>
  <c r="N141" i="7" l="1"/>
  <c r="O141" i="7" s="1"/>
  <c r="P141" i="7" s="1"/>
  <c r="Q141" i="7" s="1"/>
  <c r="I142" i="7"/>
  <c r="F36" i="26"/>
  <c r="N142" i="7" l="1"/>
  <c r="O142" i="7" s="1"/>
  <c r="P142" i="7" s="1"/>
  <c r="Q142" i="7" s="1"/>
  <c r="I143" i="7"/>
  <c r="F37" i="26"/>
  <c r="N143" i="7" l="1"/>
  <c r="O143" i="7" s="1"/>
  <c r="P143" i="7" s="1"/>
  <c r="Q143" i="7" s="1"/>
  <c r="I144" i="7"/>
  <c r="F38" i="26"/>
  <c r="N144" i="7" l="1"/>
  <c r="O144" i="7" s="1"/>
  <c r="P144" i="7" s="1"/>
  <c r="Q144" i="7" s="1"/>
  <c r="I145" i="7"/>
  <c r="F39" i="26"/>
  <c r="N145" i="7" l="1"/>
  <c r="O145" i="7" s="1"/>
  <c r="P145" i="7" s="1"/>
  <c r="Q145" i="7" s="1"/>
  <c r="H39" i="26"/>
  <c r="G5" i="26" s="1"/>
  <c r="H5" i="26" s="1"/>
  <c r="F40" i="26" s="1"/>
  <c r="I146" i="7"/>
  <c r="N146" i="7" s="1"/>
  <c r="G39" i="26"/>
  <c r="J4" i="26" s="1"/>
  <c r="O146" i="7" l="1"/>
  <c r="P146" i="7" s="1"/>
  <c r="Q146" i="7" s="1"/>
  <c r="N245" i="7"/>
  <c r="I147" i="7"/>
  <c r="N147" i="7" s="1"/>
  <c r="F41" i="26"/>
  <c r="K4" i="26"/>
  <c r="C17" i="23" l="1"/>
  <c r="E155" i="30"/>
  <c r="F155" i="30" s="1"/>
  <c r="O147" i="7"/>
  <c r="P147" i="7" s="1"/>
  <c r="Q147" i="7" s="1"/>
  <c r="C18" i="9"/>
  <c r="D18" i="9" s="1"/>
  <c r="E18" i="9" s="1"/>
  <c r="O245" i="7"/>
  <c r="P245" i="7" s="1"/>
  <c r="C60" i="23"/>
  <c r="D60" i="23" s="1"/>
  <c r="H5" i="11"/>
  <c r="I148" i="7"/>
  <c r="F42" i="26"/>
  <c r="N148" i="7" l="1"/>
  <c r="O148" i="7" s="1"/>
  <c r="P148" i="7" s="1"/>
  <c r="Q148" i="7" s="1"/>
  <c r="H155" i="30"/>
  <c r="Q245" i="7"/>
  <c r="H6" i="11"/>
  <c r="I149" i="7"/>
  <c r="F43" i="26"/>
  <c r="N149" i="7" l="1"/>
  <c r="O149" i="7" s="1"/>
  <c r="P149" i="7" s="1"/>
  <c r="Q149" i="7" s="1"/>
  <c r="I150" i="7"/>
  <c r="F44" i="26"/>
  <c r="N150" i="7" l="1"/>
  <c r="O150" i="7" s="1"/>
  <c r="P150" i="7" s="1"/>
  <c r="Q150" i="7" s="1"/>
  <c r="I151" i="7"/>
  <c r="F45" i="26"/>
  <c r="N151" i="7" l="1"/>
  <c r="O151" i="7" s="1"/>
  <c r="P151" i="7" s="1"/>
  <c r="Q151" i="7" s="1"/>
  <c r="I152" i="7"/>
  <c r="F46" i="26"/>
  <c r="N152" i="7" l="1"/>
  <c r="O152" i="7" s="1"/>
  <c r="P152" i="7" s="1"/>
  <c r="Q152" i="7" s="1"/>
  <c r="I153" i="7"/>
  <c r="F47" i="26"/>
  <c r="N153" i="7" l="1"/>
  <c r="O153" i="7" s="1"/>
  <c r="P153" i="7" s="1"/>
  <c r="Q153" i="7" s="1"/>
  <c r="F48" i="26"/>
  <c r="I154" i="7"/>
  <c r="N154" i="7" l="1"/>
  <c r="O154" i="7" s="1"/>
  <c r="P154" i="7" s="1"/>
  <c r="Q154" i="7" s="1"/>
  <c r="I155" i="7"/>
  <c r="F49" i="26"/>
  <c r="N155" i="7" l="1"/>
  <c r="O155" i="7" s="1"/>
  <c r="P155" i="7" s="1"/>
  <c r="Q155" i="7" s="1"/>
  <c r="I156" i="7"/>
  <c r="F50" i="26"/>
  <c r="N156" i="7" l="1"/>
  <c r="O156" i="7" s="1"/>
  <c r="P156" i="7" s="1"/>
  <c r="Q156" i="7" s="1"/>
  <c r="I157" i="7"/>
  <c r="F51" i="26"/>
  <c r="N157" i="7" l="1"/>
  <c r="O157" i="7" s="1"/>
  <c r="P157" i="7" s="1"/>
  <c r="Q157" i="7" s="1"/>
  <c r="H51" i="26"/>
  <c r="G6" i="26" s="1"/>
  <c r="H6" i="26" s="1"/>
  <c r="F52" i="26" s="1"/>
  <c r="I158" i="7"/>
  <c r="N158" i="7" s="1"/>
  <c r="G51" i="26"/>
  <c r="J5" i="26" s="1"/>
  <c r="O158" i="7" l="1"/>
  <c r="P158" i="7" s="1"/>
  <c r="Q158" i="7" s="1"/>
  <c r="N246" i="7"/>
  <c r="K5" i="26"/>
  <c r="F53" i="26"/>
  <c r="I159" i="7"/>
  <c r="N159" i="7" s="1"/>
  <c r="E156" i="30" l="1"/>
  <c r="F156" i="30" s="1"/>
  <c r="C18" i="23"/>
  <c r="C61" i="23" s="1"/>
  <c r="D61" i="23" s="1"/>
  <c r="O159" i="7"/>
  <c r="P159" i="7" s="1"/>
  <c r="Q159" i="7" s="1"/>
  <c r="I5" i="11"/>
  <c r="O246" i="7"/>
  <c r="P246" i="7" s="1"/>
  <c r="C19" i="9"/>
  <c r="D19" i="9" s="1"/>
  <c r="E19" i="9" s="1"/>
  <c r="I160" i="7"/>
  <c r="F54" i="26"/>
  <c r="N160" i="7" l="1"/>
  <c r="O160" i="7" s="1"/>
  <c r="P160" i="7" s="1"/>
  <c r="Q160" i="7" s="1"/>
  <c r="Q246" i="7"/>
  <c r="H156" i="30"/>
  <c r="I6" i="11"/>
  <c r="I161" i="7"/>
  <c r="N161" i="7" s="1"/>
  <c r="F55" i="26"/>
  <c r="O161" i="7" l="1"/>
  <c r="P161" i="7" s="1"/>
  <c r="Q161" i="7" s="1"/>
  <c r="F56" i="26"/>
  <c r="I162" i="7"/>
  <c r="N162" i="7" l="1"/>
  <c r="O162" i="7" s="1"/>
  <c r="P162" i="7" s="1"/>
  <c r="Q162" i="7" s="1"/>
  <c r="I163" i="7"/>
  <c r="F57" i="26"/>
  <c r="N163" i="7" l="1"/>
  <c r="O163" i="7" s="1"/>
  <c r="P163" i="7" s="1"/>
  <c r="Q163" i="7" s="1"/>
  <c r="I164" i="7"/>
  <c r="F58" i="26"/>
  <c r="N164" i="7" l="1"/>
  <c r="O164" i="7" s="1"/>
  <c r="P164" i="7" s="1"/>
  <c r="Q164" i="7" s="1"/>
  <c r="I165" i="7"/>
  <c r="F59" i="26"/>
  <c r="N165" i="7" l="1"/>
  <c r="O165" i="7" s="1"/>
  <c r="P165" i="7" s="1"/>
  <c r="Q165" i="7" s="1"/>
  <c r="I166" i="7"/>
  <c r="F60" i="26"/>
  <c r="N166" i="7" l="1"/>
  <c r="O166" i="7" s="1"/>
  <c r="P166" i="7" s="1"/>
  <c r="Q166" i="7" s="1"/>
  <c r="I167" i="7"/>
  <c r="F61" i="26"/>
  <c r="N167" i="7" l="1"/>
  <c r="O167" i="7" s="1"/>
  <c r="P167" i="7" s="1"/>
  <c r="Q167" i="7" s="1"/>
  <c r="I168" i="7"/>
  <c r="F62" i="26"/>
  <c r="N168" i="7" l="1"/>
  <c r="O168" i="7" s="1"/>
  <c r="P168" i="7" s="1"/>
  <c r="Q168" i="7" s="1"/>
  <c r="I169" i="7"/>
  <c r="F63" i="26"/>
  <c r="N169" i="7" l="1"/>
  <c r="O169" i="7" s="1"/>
  <c r="P169" i="7" s="1"/>
  <c r="Q169" i="7" s="1"/>
  <c r="H63" i="26"/>
  <c r="G7" i="26" s="1"/>
  <c r="H7" i="26" s="1"/>
  <c r="F64" i="26" s="1"/>
  <c r="I170" i="7"/>
  <c r="N170" i="7" s="1"/>
  <c r="G63" i="26"/>
  <c r="J6" i="26" s="1"/>
  <c r="O170" i="7" l="1"/>
  <c r="P170" i="7" s="1"/>
  <c r="Q170" i="7" s="1"/>
  <c r="N247" i="7"/>
  <c r="I171" i="7"/>
  <c r="N171" i="7" s="1"/>
  <c r="F65" i="26"/>
  <c r="K6" i="26"/>
  <c r="C19" i="23" l="1"/>
  <c r="C62" i="23" s="1"/>
  <c r="E157" i="30"/>
  <c r="F157" i="30" s="1"/>
  <c r="J5" i="11"/>
  <c r="C20" i="9"/>
  <c r="O247" i="7"/>
  <c r="P247" i="7" s="1"/>
  <c r="O171" i="7"/>
  <c r="P171" i="7" s="1"/>
  <c r="Q171" i="7" s="1"/>
  <c r="I172" i="7"/>
  <c r="F66" i="26"/>
  <c r="N172" i="7" l="1"/>
  <c r="O172" i="7" s="1"/>
  <c r="P172" i="7" s="1"/>
  <c r="Q172" i="7" s="1"/>
  <c r="H157" i="30"/>
  <c r="Q247" i="7"/>
  <c r="J6" i="11"/>
  <c r="D20" i="9"/>
  <c r="E20" i="9" s="1"/>
  <c r="I173" i="7"/>
  <c r="N173" i="7" s="1"/>
  <c r="F67" i="26"/>
  <c r="O173" i="7" l="1"/>
  <c r="P173" i="7" s="1"/>
  <c r="Q173" i="7" s="1"/>
  <c r="I174" i="7"/>
  <c r="F68" i="26"/>
  <c r="N174" i="7" l="1"/>
  <c r="O174" i="7" s="1"/>
  <c r="P174" i="7" s="1"/>
  <c r="Q174" i="7" s="1"/>
  <c r="F69" i="26"/>
  <c r="I175" i="7"/>
  <c r="N175" i="7" l="1"/>
  <c r="O175" i="7" s="1"/>
  <c r="P175" i="7" s="1"/>
  <c r="Q175" i="7" s="1"/>
  <c r="I176" i="7"/>
  <c r="F70" i="26"/>
  <c r="N176" i="7" l="1"/>
  <c r="O176" i="7" s="1"/>
  <c r="P176" i="7" s="1"/>
  <c r="Q176" i="7" s="1"/>
  <c r="I177" i="7"/>
  <c r="F71" i="26"/>
  <c r="N177" i="7" l="1"/>
  <c r="O177" i="7" s="1"/>
  <c r="P177" i="7" s="1"/>
  <c r="Q177" i="7" s="1"/>
  <c r="F72" i="26"/>
  <c r="I178" i="7"/>
  <c r="N178" i="7" l="1"/>
  <c r="O178" i="7" s="1"/>
  <c r="P178" i="7" s="1"/>
  <c r="Q178" i="7" s="1"/>
  <c r="I179" i="7"/>
  <c r="F73" i="26"/>
  <c r="N179" i="7" l="1"/>
  <c r="O179" i="7" s="1"/>
  <c r="P179" i="7" s="1"/>
  <c r="Q179" i="7" s="1"/>
  <c r="I180" i="7"/>
  <c r="F74" i="26"/>
  <c r="N180" i="7" l="1"/>
  <c r="O180" i="7" s="1"/>
  <c r="P180" i="7" s="1"/>
  <c r="Q180" i="7" s="1"/>
  <c r="I181" i="7"/>
  <c r="F75" i="26"/>
  <c r="N181" i="7" l="1"/>
  <c r="O181" i="7" s="1"/>
  <c r="P181" i="7" s="1"/>
  <c r="Q181" i="7" s="1"/>
  <c r="H75" i="26"/>
  <c r="G8" i="26" s="1"/>
  <c r="H8" i="26" s="1"/>
  <c r="F76" i="26" s="1"/>
  <c r="I182" i="7"/>
  <c r="N182" i="7" s="1"/>
  <c r="G75" i="26"/>
  <c r="J7" i="26" s="1"/>
  <c r="O182" i="7" l="1"/>
  <c r="P182" i="7" s="1"/>
  <c r="Q182" i="7" s="1"/>
  <c r="N248" i="7"/>
  <c r="I183" i="7"/>
  <c r="N183" i="7" s="1"/>
  <c r="F77" i="26"/>
  <c r="K7" i="26"/>
  <c r="E158" i="30" l="1"/>
  <c r="F158" i="30" s="1"/>
  <c r="C20" i="23"/>
  <c r="K5" i="11"/>
  <c r="E334" i="30" s="1"/>
  <c r="E335" i="30" s="1"/>
  <c r="O248" i="7"/>
  <c r="P248" i="7" s="1"/>
  <c r="C21" i="9"/>
  <c r="C63" i="23"/>
  <c r="O183" i="7"/>
  <c r="P183" i="7" s="1"/>
  <c r="Q183" i="7" s="1"/>
  <c r="I184" i="7"/>
  <c r="F78" i="26"/>
  <c r="N184" i="7" l="1"/>
  <c r="O184" i="7" s="1"/>
  <c r="P184" i="7" s="1"/>
  <c r="Q184" i="7" s="1"/>
  <c r="Q248" i="7"/>
  <c r="H158" i="30"/>
  <c r="K6" i="11"/>
  <c r="D21" i="9"/>
  <c r="E21" i="9" s="1"/>
  <c r="I185" i="7"/>
  <c r="N185" i="7" s="1"/>
  <c r="F79" i="26"/>
  <c r="O185" i="7" l="1"/>
  <c r="P185" i="7" s="1"/>
  <c r="Q185" i="7" s="1"/>
  <c r="F80" i="26"/>
  <c r="I186" i="7"/>
  <c r="N186" i="7" l="1"/>
  <c r="O186" i="7" s="1"/>
  <c r="P186" i="7" s="1"/>
  <c r="Q186" i="7" s="1"/>
  <c r="I187" i="7"/>
  <c r="N187" i="7" s="1"/>
  <c r="F81" i="26"/>
  <c r="O187" i="7" l="1"/>
  <c r="P187" i="7" s="1"/>
  <c r="Q187" i="7" s="1"/>
  <c r="I188" i="7"/>
  <c r="F82" i="26"/>
  <c r="N188" i="7" l="1"/>
  <c r="O188" i="7" s="1"/>
  <c r="P188" i="7" s="1"/>
  <c r="Q188" i="7" s="1"/>
  <c r="I189" i="7"/>
  <c r="N189" i="7" s="1"/>
  <c r="F83" i="26"/>
  <c r="O189" i="7" l="1"/>
  <c r="P189" i="7" s="1"/>
  <c r="Q189" i="7" s="1"/>
  <c r="I190" i="7"/>
  <c r="F84" i="26"/>
  <c r="N190" i="7" l="1"/>
  <c r="O190" i="7" s="1"/>
  <c r="P190" i="7" s="1"/>
  <c r="Q190" i="7" s="1"/>
  <c r="I191" i="7"/>
  <c r="N191" i="7" s="1"/>
  <c r="F85" i="26"/>
  <c r="O191" i="7" l="1"/>
  <c r="P191" i="7" s="1"/>
  <c r="Q191" i="7" s="1"/>
  <c r="I192" i="7"/>
  <c r="F86" i="26"/>
  <c r="N192" i="7" l="1"/>
  <c r="O192" i="7" s="1"/>
  <c r="P192" i="7" s="1"/>
  <c r="Q192" i="7" s="1"/>
  <c r="I193" i="7"/>
  <c r="F87" i="26"/>
  <c r="N193" i="7" l="1"/>
  <c r="O193" i="7" s="1"/>
  <c r="P193" i="7" s="1"/>
  <c r="Q193" i="7" s="1"/>
  <c r="H87" i="26"/>
  <c r="G9" i="26" s="1"/>
  <c r="H9" i="26" s="1"/>
  <c r="F88" i="26" s="1"/>
  <c r="I194" i="7"/>
  <c r="N194" i="7" s="1"/>
  <c r="G87" i="26"/>
  <c r="J8" i="26" s="1"/>
  <c r="K8" i="26" s="1"/>
  <c r="O194" i="7" l="1"/>
  <c r="P194" i="7" s="1"/>
  <c r="Q194" i="7" s="1"/>
  <c r="N249" i="7"/>
  <c r="I195" i="7"/>
  <c r="N195" i="7" s="1"/>
  <c r="F89" i="26"/>
  <c r="E159" i="30" l="1"/>
  <c r="F159" i="30" s="1"/>
  <c r="C21" i="23"/>
  <c r="L5" i="11"/>
  <c r="O249" i="7"/>
  <c r="P249" i="7" s="1"/>
  <c r="C22" i="9"/>
  <c r="D22" i="9" s="1"/>
  <c r="E22" i="9" s="1"/>
  <c r="O195" i="7"/>
  <c r="P195" i="7" s="1"/>
  <c r="Q195" i="7" s="1"/>
  <c r="I196" i="7"/>
  <c r="F90" i="26"/>
  <c r="H159" i="30" l="1"/>
  <c r="Q249" i="7"/>
  <c r="N196" i="7"/>
  <c r="O196" i="7" s="1"/>
  <c r="P196" i="7" s="1"/>
  <c r="Q196" i="7" s="1"/>
  <c r="L6" i="11"/>
  <c r="F334" i="30"/>
  <c r="F335" i="30" s="1"/>
  <c r="I197" i="7"/>
  <c r="N197" i="7" s="1"/>
  <c r="F91" i="26"/>
  <c r="O197" i="7" l="1"/>
  <c r="P197" i="7" s="1"/>
  <c r="Q197" i="7" s="1"/>
  <c r="F92" i="26"/>
  <c r="I198" i="7"/>
  <c r="N198" i="7" l="1"/>
  <c r="O198" i="7" s="1"/>
  <c r="P198" i="7" s="1"/>
  <c r="Q198" i="7" s="1"/>
  <c r="F93" i="26"/>
  <c r="I199" i="7"/>
  <c r="N199" i="7" l="1"/>
  <c r="O199" i="7" s="1"/>
  <c r="P199" i="7" s="1"/>
  <c r="Q199" i="7" s="1"/>
  <c r="I200" i="7"/>
  <c r="F94" i="26"/>
  <c r="N200" i="7" l="1"/>
  <c r="O200" i="7" s="1"/>
  <c r="P200" i="7" s="1"/>
  <c r="Q200" i="7" s="1"/>
  <c r="I201" i="7"/>
  <c r="F95" i="26"/>
  <c r="N201" i="7" l="1"/>
  <c r="O201" i="7" s="1"/>
  <c r="P201" i="7" s="1"/>
  <c r="Q201" i="7" s="1"/>
  <c r="F96" i="26"/>
  <c r="I202" i="7"/>
  <c r="N202" i="7" l="1"/>
  <c r="O202" i="7" s="1"/>
  <c r="P202" i="7" s="1"/>
  <c r="Q202" i="7" s="1"/>
  <c r="I203" i="7"/>
  <c r="F97" i="26"/>
  <c r="N203" i="7" l="1"/>
  <c r="O203" i="7" s="1"/>
  <c r="P203" i="7" s="1"/>
  <c r="Q203" i="7" s="1"/>
  <c r="I204" i="7"/>
  <c r="F98" i="26"/>
  <c r="N204" i="7" l="1"/>
  <c r="O204" i="7" s="1"/>
  <c r="P204" i="7" s="1"/>
  <c r="Q204" i="7" s="1"/>
  <c r="I205" i="7"/>
  <c r="F99" i="26"/>
  <c r="N205" i="7" l="1"/>
  <c r="O205" i="7" s="1"/>
  <c r="P205" i="7" s="1"/>
  <c r="Q205" i="7" s="1"/>
  <c r="I206" i="7"/>
  <c r="N206" i="7" s="1"/>
  <c r="H99" i="26"/>
  <c r="G10" i="26" s="1"/>
  <c r="H10" i="26" s="1"/>
  <c r="F100" i="26" s="1"/>
  <c r="G99" i="26"/>
  <c r="J9" i="26" s="1"/>
  <c r="K9" i="26" s="1"/>
  <c r="O206" i="7" l="1"/>
  <c r="P206" i="7" s="1"/>
  <c r="Q206" i="7" s="1"/>
  <c r="Q207" i="7" s="1"/>
  <c r="D126" i="30" s="1"/>
  <c r="N250" i="7"/>
  <c r="F101" i="26"/>
  <c r="I207" i="7"/>
  <c r="N207" i="7" s="1"/>
  <c r="E160" i="30" l="1"/>
  <c r="F160" i="30" s="1"/>
  <c r="C22" i="23"/>
  <c r="C23" i="9"/>
  <c r="O250" i="7"/>
  <c r="P250" i="7" s="1"/>
  <c r="M5" i="11"/>
  <c r="N254" i="7"/>
  <c r="O254" i="7" s="1"/>
  <c r="I208" i="7"/>
  <c r="N208" i="7" s="1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N209" i="7" s="1"/>
  <c r="F103" i="26"/>
  <c r="F104" i="26" l="1"/>
  <c r="I210" i="7"/>
  <c r="N210" i="7" s="1"/>
  <c r="I211" i="7" l="1"/>
  <c r="N211" i="7" s="1"/>
  <c r="F105" i="26"/>
  <c r="I212" i="7" l="1"/>
  <c r="N212" i="7" s="1"/>
  <c r="F106" i="26"/>
  <c r="I213" i="7" l="1"/>
  <c r="N213" i="7" s="1"/>
  <c r="F107" i="26"/>
  <c r="I214" i="7" l="1"/>
  <c r="N214" i="7" s="1"/>
  <c r="F108" i="26"/>
  <c r="I215" i="7" l="1"/>
  <c r="N215" i="7" s="1"/>
  <c r="F109" i="26"/>
  <c r="I216" i="7" l="1"/>
  <c r="N216" i="7" s="1"/>
  <c r="F110" i="26"/>
  <c r="I217" i="7" l="1"/>
  <c r="N217" i="7" s="1"/>
  <c r="F111" i="26"/>
  <c r="I218" i="7" l="1"/>
  <c r="H111" i="26"/>
  <c r="G11" i="26" s="1"/>
  <c r="H11" i="26" s="1"/>
  <c r="F112" i="26" s="1"/>
  <c r="G111" i="26"/>
  <c r="J10" i="26" s="1"/>
  <c r="K10" i="26" s="1"/>
  <c r="N218" i="7" l="1"/>
  <c r="N251" i="7" s="1"/>
  <c r="I219" i="7"/>
  <c r="F113" i="26"/>
  <c r="E161" i="30" l="1"/>
  <c r="N5" i="11"/>
  <c r="C24" i="9"/>
  <c r="I261" i="7"/>
  <c r="N219" i="7"/>
  <c r="I220" i="7"/>
  <c r="F114" i="26"/>
  <c r="I262" i="7" l="1"/>
  <c r="N220" i="7"/>
  <c r="I275" i="7"/>
  <c r="N275" i="7" s="1"/>
  <c r="N261" i="7"/>
  <c r="N8" i="11"/>
  <c r="H334" i="30"/>
  <c r="H337" i="30" s="1"/>
  <c r="I221" i="7"/>
  <c r="F115" i="26"/>
  <c r="I263" i="7" l="1"/>
  <c r="N221" i="7"/>
  <c r="I276" i="7"/>
  <c r="N276" i="7" s="1"/>
  <c r="N262" i="7"/>
  <c r="F116" i="26"/>
  <c r="I222" i="7"/>
  <c r="I264" i="7" l="1"/>
  <c r="N222" i="7"/>
  <c r="I277" i="7"/>
  <c r="N277" i="7" s="1"/>
  <c r="N263" i="7"/>
  <c r="F117" i="26"/>
  <c r="I223" i="7"/>
  <c r="I265" i="7" l="1"/>
  <c r="N223" i="7"/>
  <c r="I278" i="7"/>
  <c r="N278" i="7" s="1"/>
  <c r="N264" i="7"/>
  <c r="I224" i="7"/>
  <c r="F118" i="26"/>
  <c r="I266" i="7" l="1"/>
  <c r="N224" i="7"/>
  <c r="I279" i="7"/>
  <c r="N279" i="7" s="1"/>
  <c r="N265" i="7"/>
  <c r="I225" i="7"/>
  <c r="F119" i="26"/>
  <c r="I267" i="7" l="1"/>
  <c r="N225" i="7"/>
  <c r="I280" i="7"/>
  <c r="N280" i="7" s="1"/>
  <c r="N266" i="7"/>
  <c r="F120" i="26"/>
  <c r="I226" i="7"/>
  <c r="I268" i="7" l="1"/>
  <c r="N226" i="7"/>
  <c r="I281" i="7"/>
  <c r="N281" i="7" s="1"/>
  <c r="N267" i="7"/>
  <c r="I227" i="7"/>
  <c r="F121" i="26"/>
  <c r="I269" i="7" l="1"/>
  <c r="N227" i="7"/>
  <c r="I282" i="7"/>
  <c r="N282" i="7" s="1"/>
  <c r="N268" i="7"/>
  <c r="I228" i="7"/>
  <c r="F122" i="26"/>
  <c r="I270" i="7" l="1"/>
  <c r="N228" i="7"/>
  <c r="I283" i="7"/>
  <c r="N283" i="7" s="1"/>
  <c r="N269" i="7"/>
  <c r="I229" i="7"/>
  <c r="F123" i="26"/>
  <c r="I271" i="7" l="1"/>
  <c r="N229" i="7"/>
  <c r="I284" i="7"/>
  <c r="N284" i="7" s="1"/>
  <c r="N270" i="7"/>
  <c r="H123" i="26"/>
  <c r="I230" i="7"/>
  <c r="G123" i="26"/>
  <c r="J11" i="26" s="1"/>
  <c r="I272" i="7" l="1"/>
  <c r="N230" i="7"/>
  <c r="I232" i="7"/>
  <c r="I285" i="7"/>
  <c r="N285" i="7" s="1"/>
  <c r="N271" i="7"/>
  <c r="N232" i="7"/>
  <c r="N252" i="7"/>
  <c r="K11" i="26"/>
  <c r="K12" i="26" s="1"/>
  <c r="J12" i="26"/>
  <c r="I286" i="7" l="1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O256" i="7" s="1"/>
  <c r="G24" i="9"/>
  <c r="O8" i="11" l="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H346" i="30" s="1"/>
  <c r="E285" i="30"/>
  <c r="E291" i="30" s="1"/>
  <c r="N73" i="9"/>
  <c r="N45" i="11" s="1"/>
  <c r="H370" i="30" s="1"/>
  <c r="J285" i="30"/>
  <c r="J291" i="30" s="1"/>
  <c r="H326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P73" i="9" l="1"/>
  <c r="G16" i="18" s="1"/>
  <c r="N55" i="11" s="1"/>
  <c r="E41" i="30"/>
  <c r="E81" i="30" s="1"/>
  <c r="E100" i="30" s="1"/>
  <c r="N54" i="11"/>
  <c r="C11" i="28" s="1"/>
  <c r="C24" i="28" s="1"/>
  <c r="E24" i="28" s="1"/>
  <c r="J41" i="30"/>
  <c r="J81" i="30" s="1"/>
  <c r="J100" i="30" s="1"/>
  <c r="K73" i="9"/>
  <c r="N30" i="11" s="1"/>
  <c r="H355" i="30" s="1"/>
  <c r="F16" i="18"/>
  <c r="N46" i="11" s="1"/>
  <c r="H371" i="30" s="1"/>
  <c r="Q81" i="9"/>
  <c r="C5" i="28"/>
  <c r="C18" i="28" s="1"/>
  <c r="E18" i="28" s="1"/>
  <c r="G18" i="28" s="1"/>
  <c r="C9" i="28"/>
  <c r="C22" i="28" s="1"/>
  <c r="E22" i="28" s="1"/>
  <c r="G22" i="28" s="1"/>
  <c r="J74" i="9"/>
  <c r="B17" i="18" s="1"/>
  <c r="O26" i="11" s="1"/>
  <c r="I351" i="30" s="1"/>
  <c r="F286" i="30"/>
  <c r="F292" i="30" s="1"/>
  <c r="D327" i="30" s="1"/>
  <c r="K74" i="9"/>
  <c r="O30" i="11" s="1"/>
  <c r="I355" i="30" s="1"/>
  <c r="G286" i="30"/>
  <c r="G292" i="30" s="1"/>
  <c r="E327" i="30" s="1"/>
  <c r="H74" i="9"/>
  <c r="D286" i="30"/>
  <c r="L73" i="9"/>
  <c r="H285" i="30"/>
  <c r="H291" i="30" s="1"/>
  <c r="F326" i="30" s="1"/>
  <c r="I74" i="9"/>
  <c r="O21" i="11" s="1"/>
  <c r="I346" i="30" s="1"/>
  <c r="E286" i="30"/>
  <c r="E292" i="30" s="1"/>
  <c r="H379" i="30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D11" i="28"/>
  <c r="E48" i="28" s="1"/>
  <c r="H380" i="30"/>
  <c r="O74" i="9"/>
  <c r="O50" i="11" s="1"/>
  <c r="I375" i="30" s="1"/>
  <c r="K286" i="30"/>
  <c r="K292" i="30" s="1"/>
  <c r="J73" i="9"/>
  <c r="F285" i="30"/>
  <c r="F291" i="30" s="1"/>
  <c r="D326" i="30" s="1"/>
  <c r="J326" i="30" s="1"/>
  <c r="N74" i="9"/>
  <c r="O45" i="11" s="1"/>
  <c r="I370" i="30" s="1"/>
  <c r="J286" i="30"/>
  <c r="J292" i="30" s="1"/>
  <c r="H327" i="30" s="1"/>
  <c r="P74" i="9"/>
  <c r="O54" i="11" s="1"/>
  <c r="I379" i="30" s="1"/>
  <c r="L286" i="30"/>
  <c r="L292" i="30" s="1"/>
  <c r="I327" i="30" s="1"/>
  <c r="L74" i="9"/>
  <c r="D17" i="18" s="1"/>
  <c r="O36" i="11" s="1"/>
  <c r="I361" i="30" s="1"/>
  <c r="H286" i="30"/>
  <c r="H292" i="30" s="1"/>
  <c r="F327" i="30" s="1"/>
  <c r="O73" i="9"/>
  <c r="N50" i="11" s="1"/>
  <c r="K285" i="30"/>
  <c r="K291" i="30" s="1"/>
  <c r="H73" i="9"/>
  <c r="D285" i="30"/>
  <c r="L41" i="30"/>
  <c r="L81" i="30" s="1"/>
  <c r="L100" i="30" s="1"/>
  <c r="Q82" i="9"/>
  <c r="O17" i="11"/>
  <c r="I342" i="30" s="1"/>
  <c r="C7" i="29" l="1"/>
  <c r="C20" i="29" s="1"/>
  <c r="E20" i="29" s="1"/>
  <c r="G20" i="29" s="1"/>
  <c r="C16" i="18"/>
  <c r="N31" i="11" s="1"/>
  <c r="D7" i="28" s="1"/>
  <c r="E44" i="28" s="1"/>
  <c r="G44" i="28" s="1"/>
  <c r="C30" i="28"/>
  <c r="E30" i="28" s="1"/>
  <c r="G30" i="28" s="1"/>
  <c r="C34" i="28"/>
  <c r="E34" i="28" s="1"/>
  <c r="G34" i="28" s="1"/>
  <c r="C7" i="28"/>
  <c r="C20" i="28" s="1"/>
  <c r="E20" i="28" s="1"/>
  <c r="G20" i="28" s="1"/>
  <c r="O40" i="11"/>
  <c r="I364" i="30" s="1"/>
  <c r="G17" i="18"/>
  <c r="O55" i="11" s="1"/>
  <c r="I380" i="30" s="1"/>
  <c r="C9" i="29"/>
  <c r="C22" i="29" s="1"/>
  <c r="E22" i="29" s="1"/>
  <c r="G22" i="29" s="1"/>
  <c r="K42" i="30"/>
  <c r="K82" i="30" s="1"/>
  <c r="O25" i="11"/>
  <c r="I350" i="30" s="1"/>
  <c r="C5" i="29"/>
  <c r="C18" i="29" s="1"/>
  <c r="E18" i="29" s="1"/>
  <c r="G18" i="29" s="1"/>
  <c r="D9" i="28"/>
  <c r="E46" i="28" s="1"/>
  <c r="E58" i="28" s="1"/>
  <c r="G58" i="28" s="1"/>
  <c r="Q74" i="9"/>
  <c r="D21" i="30" s="1"/>
  <c r="G41" i="30"/>
  <c r="G81" i="30" s="1"/>
  <c r="G100" i="30" s="1"/>
  <c r="J42" i="30"/>
  <c r="J82" i="30" s="1"/>
  <c r="J101" i="30" s="1"/>
  <c r="F17" i="18"/>
  <c r="O46" i="11" s="1"/>
  <c r="I371" i="30" s="1"/>
  <c r="O35" i="11"/>
  <c r="I360" i="30" s="1"/>
  <c r="C10" i="29"/>
  <c r="C23" i="29" s="1"/>
  <c r="E23" i="29" s="1"/>
  <c r="G23" i="29" s="1"/>
  <c r="G42" i="30"/>
  <c r="G82" i="30" s="1"/>
  <c r="C17" i="18"/>
  <c r="D8" i="29"/>
  <c r="E45" i="29" s="1"/>
  <c r="G45" i="29" s="1"/>
  <c r="E42" i="30"/>
  <c r="E82" i="30" s="1"/>
  <c r="E101" i="30" s="1"/>
  <c r="M285" i="30"/>
  <c r="D291" i="30"/>
  <c r="M291" i="30" s="1"/>
  <c r="H375" i="30"/>
  <c r="C10" i="28"/>
  <c r="K41" i="30"/>
  <c r="K81" i="30" s="1"/>
  <c r="K100" i="30" s="1"/>
  <c r="N40" i="11"/>
  <c r="E16" i="18"/>
  <c r="N41" i="11" s="1"/>
  <c r="H365" i="30" s="1"/>
  <c r="D16" i="18"/>
  <c r="N36" i="11" s="1"/>
  <c r="N35" i="11"/>
  <c r="M286" i="30"/>
  <c r="D292" i="30"/>
  <c r="M292" i="30" s="1"/>
  <c r="J327" i="30"/>
  <c r="N17" i="11"/>
  <c r="Q73" i="9"/>
  <c r="N25" i="11"/>
  <c r="B16" i="18"/>
  <c r="C11" i="29"/>
  <c r="C24" i="29" s="1"/>
  <c r="E24" i="29" s="1"/>
  <c r="D42" i="30"/>
  <c r="D82" i="30" s="1"/>
  <c r="L42" i="30"/>
  <c r="C36" i="28"/>
  <c r="E36" i="28" s="1"/>
  <c r="G36" i="28" s="1"/>
  <c r="G24" i="28"/>
  <c r="C4" i="29"/>
  <c r="D6" i="29"/>
  <c r="C32" i="28" l="1"/>
  <c r="E32" i="28" s="1"/>
  <c r="G32" i="28" s="1"/>
  <c r="G46" i="28"/>
  <c r="E42" i="28"/>
  <c r="G42" i="28" s="1"/>
  <c r="E66" i="28"/>
  <c r="G66" i="28" s="1"/>
  <c r="C32" i="29"/>
  <c r="E32" i="29" s="1"/>
  <c r="G32" i="29" s="1"/>
  <c r="E70" i="28"/>
  <c r="E82" i="28" s="1"/>
  <c r="G82" i="28" s="1"/>
  <c r="O59" i="11"/>
  <c r="H356" i="30"/>
  <c r="C34" i="29"/>
  <c r="E34" i="29" s="1"/>
  <c r="G34" i="29" s="1"/>
  <c r="I42" i="30"/>
  <c r="I82" i="30" s="1"/>
  <c r="C30" i="29"/>
  <c r="E30" i="29" s="1"/>
  <c r="G30" i="29" s="1"/>
  <c r="E57" i="29"/>
  <c r="G57" i="29" s="1"/>
  <c r="D11" i="29"/>
  <c r="E48" i="29" s="1"/>
  <c r="C35" i="29"/>
  <c r="E35" i="29" s="1"/>
  <c r="E47" i="29" s="1"/>
  <c r="E56" i="28"/>
  <c r="G56" i="28" s="1"/>
  <c r="H17" i="18"/>
  <c r="O64" i="11" s="1"/>
  <c r="I389" i="30" s="1"/>
  <c r="I384" i="30"/>
  <c r="O63" i="11"/>
  <c r="I388" i="30" s="1"/>
  <c r="F42" i="30"/>
  <c r="F82" i="30" s="1"/>
  <c r="G101" i="30"/>
  <c r="C8" i="29"/>
  <c r="C21" i="29" s="1"/>
  <c r="E21" i="29" s="1"/>
  <c r="G21" i="29" s="1"/>
  <c r="O31" i="11"/>
  <c r="I356" i="30" s="1"/>
  <c r="I385" i="30" s="1"/>
  <c r="C6" i="29"/>
  <c r="C19" i="29" s="1"/>
  <c r="E19" i="29" s="1"/>
  <c r="G19" i="29" s="1"/>
  <c r="R74" i="9"/>
  <c r="T74" i="9" s="1"/>
  <c r="H42" i="30"/>
  <c r="H82" i="30" s="1"/>
  <c r="D9" i="29"/>
  <c r="E46" i="29" s="1"/>
  <c r="G46" i="29" s="1"/>
  <c r="K101" i="30"/>
  <c r="N26" i="11"/>
  <c r="H16" i="18"/>
  <c r="L327" i="30"/>
  <c r="D20" i="30"/>
  <c r="R73" i="9"/>
  <c r="T73" i="9" s="1"/>
  <c r="N63" i="11"/>
  <c r="H388" i="30" s="1"/>
  <c r="D8" i="28"/>
  <c r="E45" i="28" s="1"/>
  <c r="H361" i="30"/>
  <c r="C23" i="28"/>
  <c r="E23" i="28" s="1"/>
  <c r="D41" i="30"/>
  <c r="H342" i="30"/>
  <c r="C4" i="28"/>
  <c r="N59" i="11"/>
  <c r="I41" i="30"/>
  <c r="I81" i="30" s="1"/>
  <c r="I100" i="30" s="1"/>
  <c r="H364" i="30"/>
  <c r="H350" i="30"/>
  <c r="F41" i="30"/>
  <c r="F81" i="30" s="1"/>
  <c r="F100" i="30" s="1"/>
  <c r="C6" i="28"/>
  <c r="H360" i="30"/>
  <c r="C8" i="28"/>
  <c r="H41" i="30"/>
  <c r="H81" i="30" s="1"/>
  <c r="H100" i="30" s="1"/>
  <c r="L82" i="30"/>
  <c r="L101" i="30" s="1"/>
  <c r="D7" i="29"/>
  <c r="E44" i="29" s="1"/>
  <c r="E56" i="29" s="1"/>
  <c r="G56" i="29" s="1"/>
  <c r="E60" i="28"/>
  <c r="G60" i="28" s="1"/>
  <c r="C36" i="29"/>
  <c r="E36" i="29" s="1"/>
  <c r="G36" i="29" s="1"/>
  <c r="E72" i="28"/>
  <c r="G24" i="29"/>
  <c r="E43" i="29"/>
  <c r="C17" i="29"/>
  <c r="E68" i="28" l="1"/>
  <c r="G68" i="28" s="1"/>
  <c r="E54" i="28"/>
  <c r="G54" i="28" s="1"/>
  <c r="E78" i="28"/>
  <c r="G78" i="28" s="1"/>
  <c r="E68" i="29"/>
  <c r="E80" i="29" s="1"/>
  <c r="G80" i="29" s="1"/>
  <c r="G70" i="28"/>
  <c r="E70" i="29"/>
  <c r="G70" i="29" s="1"/>
  <c r="E42" i="29"/>
  <c r="G42" i="29" s="1"/>
  <c r="E66" i="29"/>
  <c r="G66" i="29" s="1"/>
  <c r="E80" i="28"/>
  <c r="G80" i="28" s="1"/>
  <c r="O73" i="11"/>
  <c r="E71" i="29"/>
  <c r="E83" i="29" s="1"/>
  <c r="G83" i="29" s="1"/>
  <c r="C33" i="29"/>
  <c r="E33" i="29" s="1"/>
  <c r="G33" i="29" s="1"/>
  <c r="G35" i="29"/>
  <c r="I392" i="30"/>
  <c r="O60" i="11"/>
  <c r="C12" i="29"/>
  <c r="I393" i="30"/>
  <c r="E58" i="29"/>
  <c r="G58" i="29" s="1"/>
  <c r="M42" i="30"/>
  <c r="C35" i="28"/>
  <c r="E35" i="28" s="1"/>
  <c r="G35" i="28" s="1"/>
  <c r="O74" i="11"/>
  <c r="I101" i="30"/>
  <c r="C19" i="28"/>
  <c r="E19" i="28" s="1"/>
  <c r="C17" i="28"/>
  <c r="C29" i="28" s="1"/>
  <c r="E29" i="28" s="1"/>
  <c r="C12" i="28"/>
  <c r="C21" i="28"/>
  <c r="E21" i="28" s="1"/>
  <c r="D81" i="30"/>
  <c r="M41" i="30"/>
  <c r="E20" i="30"/>
  <c r="F20" i="30" s="1"/>
  <c r="E21" i="30"/>
  <c r="F21" i="30" s="1"/>
  <c r="N64" i="11"/>
  <c r="H389" i="30" s="1"/>
  <c r="L326" i="30"/>
  <c r="H101" i="30"/>
  <c r="N73" i="11"/>
  <c r="E57" i="28"/>
  <c r="G57" i="28" s="1"/>
  <c r="G45" i="28"/>
  <c r="F101" i="30"/>
  <c r="D6" i="28"/>
  <c r="H351" i="30"/>
  <c r="H385" i="30" s="1"/>
  <c r="H393" i="30" s="1"/>
  <c r="N60" i="11"/>
  <c r="H384" i="30"/>
  <c r="H392" i="30" s="1"/>
  <c r="G23" i="28"/>
  <c r="D12" i="29"/>
  <c r="G44" i="29"/>
  <c r="E59" i="29"/>
  <c r="G59" i="29" s="1"/>
  <c r="G47" i="29"/>
  <c r="C31" i="29"/>
  <c r="E31" i="29" s="1"/>
  <c r="G48" i="28"/>
  <c r="G48" i="29"/>
  <c r="E72" i="29"/>
  <c r="G72" i="29" s="1"/>
  <c r="E84" i="28"/>
  <c r="G84" i="28" s="1"/>
  <c r="G72" i="28"/>
  <c r="G68" i="29"/>
  <c r="C25" i="29"/>
  <c r="E17" i="29"/>
  <c r="G43" i="29"/>
  <c r="E55" i="29"/>
  <c r="G55" i="29" s="1"/>
  <c r="C29" i="29"/>
  <c r="E82" i="29" l="1"/>
  <c r="G82" i="29" s="1"/>
  <c r="E78" i="29"/>
  <c r="G78" i="29" s="1"/>
  <c r="E54" i="29"/>
  <c r="G54" i="29" s="1"/>
  <c r="G71" i="29"/>
  <c r="E69" i="29"/>
  <c r="G69" i="29" s="1"/>
  <c r="E71" i="28"/>
  <c r="E83" i="28" s="1"/>
  <c r="G83" i="28" s="1"/>
  <c r="E47" i="28"/>
  <c r="G47" i="28" s="1"/>
  <c r="C31" i="28"/>
  <c r="E31" i="28" s="1"/>
  <c r="G31" i="28" s="1"/>
  <c r="D100" i="30"/>
  <c r="D101" i="30"/>
  <c r="G21" i="28"/>
  <c r="N74" i="11"/>
  <c r="E17" i="28"/>
  <c r="E65" i="28" s="1"/>
  <c r="C25" i="28"/>
  <c r="E43" i="28"/>
  <c r="D12" i="28"/>
  <c r="C33" i="28"/>
  <c r="E33" i="28" s="1"/>
  <c r="G33" i="28" s="1"/>
  <c r="G19" i="28"/>
  <c r="G31" i="29"/>
  <c r="E67" i="29"/>
  <c r="E84" i="29"/>
  <c r="G84" i="29" s="1"/>
  <c r="E60" i="29"/>
  <c r="G60" i="29" s="1"/>
  <c r="C37" i="29"/>
  <c r="E29" i="29"/>
  <c r="E65" i="29" s="1"/>
  <c r="G29" i="28"/>
  <c r="E25" i="29"/>
  <c r="G17" i="29"/>
  <c r="G25" i="29" s="1"/>
  <c r="G71" i="28" l="1"/>
  <c r="E81" i="29"/>
  <c r="G81" i="29" s="1"/>
  <c r="E41" i="28"/>
  <c r="E53" i="28" s="1"/>
  <c r="G53" i="28" s="1"/>
  <c r="E59" i="28"/>
  <c r="G59" i="28" s="1"/>
  <c r="G37" i="28"/>
  <c r="E67" i="28"/>
  <c r="E79" i="28" s="1"/>
  <c r="G79" i="28" s="1"/>
  <c r="E37" i="28"/>
  <c r="E69" i="28"/>
  <c r="E81" i="28" s="1"/>
  <c r="G81" i="28" s="1"/>
  <c r="E55" i="28"/>
  <c r="G55" i="28" s="1"/>
  <c r="G43" i="28"/>
  <c r="C37" i="28"/>
  <c r="G17" i="28"/>
  <c r="G25" i="28" s="1"/>
  <c r="E25" i="28"/>
  <c r="G67" i="29"/>
  <c r="E79" i="29"/>
  <c r="G79" i="29" s="1"/>
  <c r="E77" i="28"/>
  <c r="G65" i="28"/>
  <c r="G65" i="29"/>
  <c r="E73" i="29"/>
  <c r="E77" i="29"/>
  <c r="E37" i="29"/>
  <c r="G29" i="29"/>
  <c r="G37" i="29" s="1"/>
  <c r="C89" i="29" s="1"/>
  <c r="E41" i="29"/>
  <c r="G41" i="28" l="1"/>
  <c r="E73" i="28"/>
  <c r="G67" i="28"/>
  <c r="G69" i="28"/>
  <c r="G49" i="28"/>
  <c r="C91" i="28" s="1"/>
  <c r="C89" i="28"/>
  <c r="G61" i="28"/>
  <c r="C92" i="28" s="1"/>
  <c r="G73" i="29"/>
  <c r="C90" i="29" s="1"/>
  <c r="E53" i="29"/>
  <c r="G53" i="29" s="1"/>
  <c r="G61" i="29" s="1"/>
  <c r="C92" i="29" s="1"/>
  <c r="G41" i="29"/>
  <c r="G49" i="29" s="1"/>
  <c r="C91" i="29" s="1"/>
  <c r="G77" i="29"/>
  <c r="G85" i="29" s="1"/>
  <c r="C93" i="29" s="1"/>
  <c r="E85" i="29"/>
  <c r="E85" i="28"/>
  <c r="G77" i="28"/>
  <c r="G85" i="28" s="1"/>
  <c r="C93" i="28" s="1"/>
  <c r="C96" i="29" l="1"/>
  <c r="G73" i="28"/>
  <c r="C90" i="28" s="1"/>
  <c r="C96" i="28" s="1"/>
</calcChain>
</file>

<file path=xl/comments1.xml><?xml version="1.0" encoding="utf-8"?>
<comments xmlns="http://schemas.openxmlformats.org/spreadsheetml/2006/main">
  <authors>
    <author>Colleen Calhoun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sharedStrings.xml><?xml version="1.0" encoding="utf-8"?>
<sst xmlns="http://schemas.openxmlformats.org/spreadsheetml/2006/main" count="727" uniqueCount="305">
  <si>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</si>
  <si>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</si>
  <si>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</si>
  <si>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</si>
  <si>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</si>
  <si>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</si>
  <si>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</si>
  <si>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</si>
  <si>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</si>
  <si>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</si>
  <si>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</si>
  <si>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</si>
  <si>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</si>
  <si>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</si>
  <si>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</si>
  <si>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</si>
  <si>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</si>
  <si>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</si>
  <si>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</si>
  <si>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</si>
  <si>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</si>
  <si>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</si>
  <si>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</si>
  <si>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</si>
  <si>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</si>
  <si>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</si>
  <si>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</si>
  <si>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</si>
  <si>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</si>
  <si>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</si>
  <si>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</si>
  <si>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</si>
  <si>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</si>
  <si>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</si>
  <si>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</si>
  <si>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</si>
  <si>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</si>
  <si>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</si>
  <si>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</si>
  <si>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</si>
  <si>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</si>
  <si>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</si>
  <si>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</si>
  <si>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</si>
  <si>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</si>
  <si>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</si>
  <si>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</si>
  <si>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</si>
  <si>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</si>
  <si>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</si>
  <si>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</si>
  <si>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</si>
  <si>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</si>
  <si>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</si>
  <si>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</si>
  <si>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</si>
  <si>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</si>
  <si>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</si>
  <si>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</si>
  <si>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</si>
  <si>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</si>
  <si>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</si>
  <si>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</si>
  <si>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</si>
  <si>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</si>
  <si>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</si>
  <si>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</si>
  <si>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</si>
  <si>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</si>
  <si>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</si>
  <si>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</si>
  <si>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</si>
  <si>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</si>
  <si>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</si>
  <si>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</si>
  <si>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</si>
  <si>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</si>
  <si>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</si>
  <si>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</si>
  <si>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</si>
  <si>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</si>
  <si>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</si>
  <si>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</si>
  <si>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</si>
  <si>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</si>
  <si>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</si>
  <si>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</si>
  <si>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</si>
  <si>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</si>
  <si>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</si>
  <si>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</si>
  <si>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</si>
  <si>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</si>
  <si>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</si>
  <si>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</si>
  <si>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</si>
  <si>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</si>
  <si>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</si>
  <si>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</si>
  <si>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</si>
  <si>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</si>
  <si>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</si>
  <si>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</si>
  <si>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</si>
  <si>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</si>
  <si>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</si>
  <si>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</si>
  <si>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</si>
  <si>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</si>
  <si>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CDM Activity - Negative Trend Variable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</si>
  <si>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</si>
  <si>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</si>
  <si>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</si>
  <si>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</si>
  <si>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</si>
  <si>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</si>
  <si>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</si>
  <si>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</si>
  <si>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</si>
  <si>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</si>
  <si>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</si>
  <si>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</si>
  <si>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</si>
  <si>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</si>
  <si>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</si>
  <si>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</si>
  <si>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</si>
  <si>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</si>
  <si>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</si>
  <si>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</si>
  <si>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</si>
  <si>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 xml:space="preserve">Estimated 2012 Results and Presistence 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</si>
  <si>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</si>
  <si>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</si>
  <si>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</si>
  <si>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</si>
  <si>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</si>
  <si>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</si>
  <si>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</si>
  <si>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</si>
  <si>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</si>
  <si>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</si>
  <si>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</si>
  <si>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</si>
  <si>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</si>
  <si>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</si>
  <si>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</si>
  <si>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</si>
  <si>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</si>
  <si>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</si>
  <si>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</si>
  <si>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</si>
  <si>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</si>
  <si>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</si>
  <si>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</si>
  <si>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</si>
  <si>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</si>
  <si>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</si>
  <si>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</si>
  <si>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</si>
  <si>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</si>
  <si>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</si>
  <si>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</si>
  <si>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</si>
  <si>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</si>
  <si>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</si>
  <si>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</si>
  <si>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</si>
  <si>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</si>
  <si>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</si>
  <si>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</si>
  <si>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</si>
  <si>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</si>
  <si>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</si>
  <si>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</si>
  <si>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</si>
  <si>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</si>
  <si>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</si>
  <si>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</si>
  <si>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</si>
  <si>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</si>
  <si>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</si>
  <si>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</si>
  <si>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</si>
  <si>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</si>
  <si>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</si>
  <si>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</si>
  <si>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</si>
  <si>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</si>
  <si>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</si>
  <si>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</si>
  <si>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</si>
  <si>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</si>
  <si>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</si>
  <si>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</si>
  <si>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</si>
  <si>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</si>
  <si>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</si>
  <si>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</si>
  <si>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</si>
  <si>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</si>
  <si>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</si>
  <si>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</si>
  <si>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</si>
  <si>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</si>
  <si>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</si>
  <si>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</si>
  <si>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</si>
  <si>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</si>
  <si>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</si>
  <si>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</si>
  <si>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</si>
  <si>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</si>
  <si>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</si>
  <si>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</si>
  <si>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</si>
  <si>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</si>
  <si>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</si>
  <si>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</si>
  <si>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</si>
  <si>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</si>
  <si>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</si>
  <si>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</si>
  <si>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</si>
  <si>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</si>
  <si>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</si>
  <si>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</si>
  <si>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</si>
  <si>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</si>
  <si>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</si>
  <si>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</si>
  <si>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 xml:space="preserve">CDM Activity </t>
  </si>
  <si>
    <t xml:space="preserve">Employment Kitchener-Waterloo-Barrie </t>
  </si>
  <si>
    <t>Unemployment Kitchener-Waterloo-Barrie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</si>
  <si>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</si>
  <si>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</si>
  <si>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</si>
  <si>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</si>
  <si>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</si>
  <si>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</si>
  <si>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</si>
  <si>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</si>
  <si>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</si>
  <si>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</si>
  <si>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</si>
  <si>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</si>
  <si>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</si>
  <si>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</si>
  <si>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</si>
  <si>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</si>
  <si>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</si>
  <si>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</si>
  <si>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</si>
  <si>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</si>
  <si>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</si>
  <si>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</si>
  <si>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</si>
  <si>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</si>
  <si>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</si>
  <si>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</si>
  <si>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</si>
  <si>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</si>
  <si>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</si>
  <si>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</si>
  <si>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</si>
  <si>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</si>
  <si>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</si>
  <si>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</si>
  <si>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</si>
  <si>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</si>
  <si>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</si>
  <si>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</si>
  <si>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</si>
  <si>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</si>
  <si>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</si>
  <si>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</si>
  <si>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</si>
  <si>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</si>
  <si>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</si>
  <si>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</si>
  <si>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</si>
  <si>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</si>
  <si>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</si>
  <si>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</si>
  <si>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</si>
  <si>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</si>
  <si>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</si>
  <si>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</si>
  <si>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</si>
  <si>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</si>
  <si>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Q4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</si>
  <si>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</si>
  <si>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</si>
  <si>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</si>
  <si>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</si>
  <si>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</si>
  <si>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</si>
  <si>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</si>
  <si>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</si>
  <si>
    <t xml:space="preserve">changed when the Sept 17/13 RTSR Workform was used </t>
  </si>
  <si>
    <t>and when the new Jan 1, 2014 Unifrom Electricity Transmission</t>
  </si>
  <si>
    <t xml:space="preserve"> </t>
  </si>
  <si>
    <t xml:space="preserve">Rates were issued and used.   </t>
  </si>
  <si>
    <t xml:space="preserve">and when the new Jan 1, 2014 RRR rates were issued and used.  </t>
  </si>
  <si>
    <t>From the Regulated Price Plan Price Report Dated October 17,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</si>
</sst>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"/>
    <numFmt numFmtId="180" formatCode="0.0;\(0.0\)"/>
    <numFmt numFmtId="181" formatCode="0.0%;\(0.0%\)"/>
    <numFmt numFmtId="182" formatCode="#,##0.0;\(#,##0.0\)"/>
    <numFmt numFmtId="183" formatCode="0.0000%;\(0.0%\)"/>
    <numFmt numFmtId="184" formatCode="&quot;$&quot;#,##0.00000_);[Red]\(&quot;$&quot;#,##0.00000\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9" fontId="0" fillId="2" borderId="0" xfId="0" applyNumberFormat="1" applyFill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2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2" fontId="0" fillId="0" borderId="0" xfId="1" applyNumberFormat="1" applyFont="1" applyBorder="1" applyAlignment="1">
      <alignment horizontal="center"/>
    </xf>
    <xf numFmtId="172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2" fontId="10" fillId="0" borderId="0" xfId="1" applyNumberFormat="1" applyFont="1" applyFill="1" applyAlignment="1">
      <alignment horizontal="center"/>
    </xf>
    <xf numFmtId="172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2" applyNumberFormat="1"/>
    <xf numFmtId="165" fontId="0" fillId="0" borderId="0" xfId="3" applyNumberFormat="1" applyFont="1"/>
    <xf numFmtId="175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1" xfId="0" applyNumberFormat="1" applyBorder="1"/>
    <xf numFmtId="165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2" fontId="0" fillId="5" borderId="0" xfId="0" applyNumberFormat="1" applyFill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172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9" fontId="0" fillId="0" borderId="2" xfId="3" applyFont="1" applyFill="1" applyBorder="1" applyAlignment="1"/>
    <xf numFmtId="165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2" fontId="12" fillId="0" borderId="0" xfId="1" applyNumberFormat="1" applyFont="1" applyFill="1"/>
    <xf numFmtId="172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79" fontId="17" fillId="0" borderId="1" xfId="7" applyNumberFormat="1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horizontal="center" vertical="center"/>
    </xf>
    <xf numFmtId="181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79" fontId="16" fillId="0" borderId="1" xfId="7" applyNumberFormat="1" applyFont="1" applyFill="1" applyBorder="1" applyAlignment="1">
      <alignment horizontal="center" vertical="center"/>
    </xf>
    <xf numFmtId="180" fontId="16" fillId="0" borderId="1" xfId="5" applyNumberFormat="1" applyFont="1" applyFill="1" applyBorder="1" applyAlignment="1">
      <alignment horizontal="center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79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79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1" fontId="16" fillId="0" borderId="4" xfId="5" applyNumberFormat="1" applyFont="1" applyFill="1" applyBorder="1" applyAlignment="1">
      <alignment horizontal="left" vertical="center"/>
    </xf>
    <xf numFmtId="181" fontId="17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left" vertical="center"/>
    </xf>
    <xf numFmtId="168" fontId="16" fillId="0" borderId="0" xfId="5" applyNumberFormat="1" applyFont="1" applyAlignment="1">
      <alignment horizontal="center"/>
    </xf>
    <xf numFmtId="165" fontId="16" fillId="0" borderId="0" xfId="3" applyNumberFormat="1" applyFont="1"/>
    <xf numFmtId="181" fontId="17" fillId="0" borderId="0" xfId="5" applyNumberFormat="1" applyFont="1" applyFill="1" applyBorder="1" applyAlignment="1">
      <alignment horizontal="left" vertical="center"/>
    </xf>
    <xf numFmtId="181" fontId="16" fillId="0" borderId="0" xfId="5" applyNumberFormat="1" applyFont="1" applyFill="1" applyBorder="1" applyAlignment="1">
      <alignment horizontal="left" vertical="center"/>
    </xf>
    <xf numFmtId="181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5" fontId="1" fillId="0" borderId="1" xfId="5" applyNumberFormat="1" applyFill="1" applyBorder="1" applyAlignment="1">
      <alignment horizontal="center"/>
    </xf>
    <xf numFmtId="165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6" fontId="17" fillId="0" borderId="1" xfId="7" applyNumberFormat="1" applyFont="1" applyFill="1" applyBorder="1" applyAlignment="1">
      <alignment horizontal="center" vertical="center"/>
    </xf>
    <xf numFmtId="180" fontId="17" fillId="0" borderId="1" xfId="7" applyNumberFormat="1" applyFont="1" applyFill="1" applyBorder="1" applyAlignment="1">
      <alignment horizontal="center" vertical="center"/>
    </xf>
    <xf numFmtId="181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6" fontId="16" fillId="0" borderId="1" xfId="7" applyNumberFormat="1" applyFont="1" applyFill="1" applyBorder="1" applyAlignment="1">
      <alignment horizontal="center" vertical="center"/>
    </xf>
    <xf numFmtId="181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1" fontId="17" fillId="0" borderId="1" xfId="5" applyNumberFormat="1" applyFont="1" applyFill="1" applyBorder="1" applyAlignment="1">
      <alignment horizontal="center" vertical="center" wrapText="1"/>
    </xf>
    <xf numFmtId="181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5" fontId="16" fillId="0" borderId="0" xfId="3" applyNumberFormat="1" applyFont="1" applyFill="1" applyBorder="1" applyAlignment="1">
      <alignment vertical="center"/>
    </xf>
    <xf numFmtId="182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79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5" fontId="1" fillId="0" borderId="1" xfId="5" applyNumberFormat="1" applyBorder="1"/>
    <xf numFmtId="180" fontId="16" fillId="0" borderId="1" xfId="5" applyNumberFormat="1" applyFont="1" applyFill="1" applyBorder="1" applyAlignment="1">
      <alignment horizontal="center" vertical="center" wrapText="1"/>
    </xf>
    <xf numFmtId="182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3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1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179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79" fontId="16" fillId="0" borderId="1" xfId="5" applyNumberFormat="1" applyFont="1" applyFill="1" applyBorder="1" applyAlignment="1">
      <alignment horizontal="center" vertical="center"/>
    </xf>
    <xf numFmtId="179" fontId="16" fillId="0" borderId="15" xfId="7" applyNumberFormat="1" applyFont="1" applyFill="1" applyBorder="1" applyAlignment="1">
      <alignment horizontal="center" vertical="center"/>
    </xf>
    <xf numFmtId="179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2" xfId="0" applyNumberFormat="1" applyFill="1" applyBorder="1" applyAlignment="1"/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72" fontId="0" fillId="0" borderId="2" xfId="1" applyNumberFormat="1" applyFont="1" applyFill="1" applyBorder="1" applyAlignment="1"/>
    <xf numFmtId="43" fontId="0" fillId="0" borderId="0" xfId="1" applyNumberFormat="1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80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2" fontId="0" fillId="0" borderId="0" xfId="1" applyNumberFormat="1" applyFont="1" applyAlignment="1"/>
    <xf numFmtId="165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43" fontId="1" fillId="0" borderId="0" xfId="14" applyFont="1"/>
    <xf numFmtId="0" fontId="20" fillId="0" borderId="0" xfId="5" applyFont="1"/>
    <xf numFmtId="43" fontId="9" fillId="0" borderId="0" xfId="14" applyFont="1"/>
    <xf numFmtId="0" fontId="9" fillId="0" borderId="0" xfId="5" applyFont="1"/>
    <xf numFmtId="43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43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43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5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3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1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5" fontId="0" fillId="13" borderId="16" xfId="0" applyNumberFormat="1" applyFill="1" applyBorder="1"/>
    <xf numFmtId="0" fontId="13" fillId="0" borderId="17" xfId="0" applyFont="1" applyBorder="1"/>
    <xf numFmtId="0" fontId="1" fillId="0" borderId="5" xfId="0" applyFont="1" applyBorder="1"/>
    <xf numFmtId="178" fontId="14" fillId="3" borderId="1" xfId="0" applyNumberFormat="1" applyFont="1" applyFill="1" applyBorder="1"/>
    <xf numFmtId="0" fontId="14" fillId="5" borderId="0" xfId="0" applyFont="1" applyFill="1"/>
    <xf numFmtId="178" fontId="22" fillId="3" borderId="1" xfId="0" applyNumberFormat="1" applyFont="1" applyFill="1" applyBorder="1"/>
    <xf numFmtId="0" fontId="22" fillId="5" borderId="0" xfId="0" applyFont="1" applyFill="1"/>
    <xf numFmtId="0" fontId="4" fillId="11" borderId="14" xfId="0" applyNumberFormat="1" applyFont="1" applyFill="1" applyBorder="1" applyAlignment="1">
      <alignment horizontal="center"/>
    </xf>
    <xf numFmtId="0" fontId="23" fillId="0" borderId="0" xfId="0" applyFont="1"/>
    <xf numFmtId="184" fontId="23" fillId="0" borderId="0" xfId="0" applyNumberFormat="1" applyFont="1"/>
    <xf numFmtId="9" fontId="23" fillId="0" borderId="0" xfId="0" applyNumberFormat="1" applyFont="1" applyAlignment="1">
      <alignment horizontal="center"/>
    </xf>
    <xf numFmtId="176" fontId="14" fillId="3" borderId="1" xfId="0" applyNumberFormat="1" applyFont="1" applyFill="1" applyBorder="1"/>
    <xf numFmtId="177" fontId="14" fillId="0" borderId="1" xfId="0" applyNumberFormat="1" applyFont="1" applyBorder="1"/>
    <xf numFmtId="0" fontId="0" fillId="5" borderId="0" xfId="0" applyFill="1"/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center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0" fontId="16" fillId="11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 wrapText="1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7" fillId="0" borderId="8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7" fillId="0" borderId="9" xfId="5" applyFont="1" applyFill="1" applyBorder="1" applyAlignment="1">
      <alignment horizontal="left" vertical="center"/>
    </xf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181" fontId="17" fillId="0" borderId="8" xfId="5" applyNumberFormat="1" applyFont="1" applyFill="1" applyBorder="1" applyAlignment="1">
      <alignment horizontal="left" vertical="center" wrapText="1"/>
    </xf>
    <xf numFmtId="181" fontId="17" fillId="0" borderId="4" xfId="5" applyNumberFormat="1" applyFont="1" applyFill="1" applyBorder="1" applyAlignment="1">
      <alignment horizontal="left" vertical="center" wrapText="1"/>
    </xf>
    <xf numFmtId="181" fontId="16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4" xfId="5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1161.6864092337323</c:v>
                </c:pt>
                <c:pt idx="1">
                  <c:v>1200.4843521881585</c:v>
                </c:pt>
                <c:pt idx="2">
                  <c:v>1274.0395523470397</c:v>
                </c:pt>
                <c:pt idx="3">
                  <c:v>1376.2098880144531</c:v>
                </c:pt>
                <c:pt idx="4">
                  <c:v>1379.3793078130036</c:v>
                </c:pt>
                <c:pt idx="5">
                  <c:v>1415.3982318241624</c:v>
                </c:pt>
                <c:pt idx="6">
                  <c:v>1472.1697277710734</c:v>
                </c:pt>
                <c:pt idx="7">
                  <c:v>1503.5452642280295</c:v>
                </c:pt>
                <c:pt idx="8">
                  <c:v>1540.9962251877705</c:v>
                </c:pt>
                <c:pt idx="9">
                  <c:v>1632.8619238141684</c:v>
                </c:pt>
                <c:pt idx="10">
                  <c:v>1630.5521378152494</c:v>
                </c:pt>
                <c:pt idx="11">
                  <c:v>1623.4091476340034</c:v>
                </c:pt>
                <c:pt idx="12">
                  <c:v>1602.1092006277265</c:v>
                </c:pt>
                <c:pt idx="13">
                  <c:v>1453.0609129809282</c:v>
                </c:pt>
                <c:pt idx="14">
                  <c:v>1485.7675454208729</c:v>
                </c:pt>
                <c:pt idx="15">
                  <c:v>1523.5596553013181</c:v>
                </c:pt>
                <c:pt idx="16">
                  <c:v>1520.7743776982966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68320"/>
        <c:axId val="210569856"/>
      </c:barChart>
      <c:catAx>
        <c:axId val="2105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6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6985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68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ergy%20Model%20Consumption%20Inpu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%20part%20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1-1231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2-1231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Rate%20Applications\2014%20COS%20Rate%20Rebasing\Working%20Models%20April%202013\Loblaws%20historical%20for%20Gra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ad%20Forecast\Prorated%20Usage\StreetLights_AUS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Customer%20Model%20Inpu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Working%20Models%20April%202013/Revenue%20Requirement%20Working%20Model%20-%202014%20for%202010%20Rebas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1_OEB%202%201%203_Usa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2_OEB%202%201%203_Usag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3_OEB%202%201%203_Usa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4_OEB%202%201%203_Usag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Working%20Models%20April%202013/2014%20RTSR%20MODEL_July%205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Interrogatories%20and%20background/Issue%208%20Load%20Forecast,%20Cost%20Allocation,%20Rate%20Design/8.5-Staff-31/Updated%20LV%20charges%202013%20and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09"/>
      <sheetName val="2010"/>
      <sheetName val="2011_V2"/>
      <sheetName val="2012_V2"/>
      <sheetName val="Purchases"/>
    </sheetNames>
    <sheetDataSet>
      <sheetData sheetId="0" refreshError="1"/>
      <sheetData sheetId="1" refreshError="1"/>
      <sheetData sheetId="2" refreshError="1">
        <row r="15">
          <cell r="B15">
            <v>379582713.77996522</v>
          </cell>
          <cell r="C15">
            <v>160300294.19006816</v>
          </cell>
          <cell r="D15">
            <v>445793129.97929555</v>
          </cell>
          <cell r="E15">
            <v>222878299.67998713</v>
          </cell>
          <cell r="F15">
            <v>180679078.79999399</v>
          </cell>
          <cell r="G15">
            <v>9470530.1599761229</v>
          </cell>
          <cell r="H15">
            <v>2135656.9424311616</v>
          </cell>
          <cell r="L15">
            <v>13624264.42</v>
          </cell>
        </row>
        <row r="31">
          <cell r="B31">
            <v>1337289.374367215</v>
          </cell>
          <cell r="C31">
            <v>530195.33860000013</v>
          </cell>
          <cell r="D31">
            <v>411895.9939</v>
          </cell>
          <cell r="E31">
            <v>26450.66</v>
          </cell>
          <cell r="F31">
            <v>27009.021600000004</v>
          </cell>
          <cell r="G31">
            <v>80581.967535952397</v>
          </cell>
        </row>
      </sheetData>
      <sheetData sheetId="3" refreshError="1">
        <row r="15">
          <cell r="B15">
            <v>396266835.39498085</v>
          </cell>
          <cell r="C15">
            <v>163479892.81864908</v>
          </cell>
          <cell r="D15">
            <v>440022614.6330784</v>
          </cell>
          <cell r="E15">
            <v>251205555.85862434</v>
          </cell>
          <cell r="F15">
            <v>196557280.62270561</v>
          </cell>
          <cell r="G15">
            <v>9519205.9225450978</v>
          </cell>
          <cell r="H15">
            <v>2130241.9105078499</v>
          </cell>
          <cell r="L15">
            <v>13614985.119719518</v>
          </cell>
        </row>
        <row r="32">
          <cell r="B32">
            <v>1294863.0522035467</v>
          </cell>
          <cell r="C32">
            <v>570059.7252000001</v>
          </cell>
          <cell r="D32">
            <v>421436.3223</v>
          </cell>
          <cell r="E32">
            <v>26613.739999999998</v>
          </cell>
          <cell r="F32">
            <v>27708.199200000003</v>
          </cell>
          <cell r="G32">
            <v>73663.072638678961</v>
          </cell>
        </row>
      </sheetData>
      <sheetData sheetId="4" refreshError="1">
        <row r="14">
          <cell r="B14">
            <v>396556720.36740744</v>
          </cell>
          <cell r="C14">
            <v>158322069.2436029</v>
          </cell>
          <cell r="D14">
            <v>451064942.97214174</v>
          </cell>
          <cell r="E14">
            <v>250336227.32713026</v>
          </cell>
          <cell r="F14">
            <v>192474581.79186976</v>
          </cell>
          <cell r="G14">
            <v>9519485.5138937458</v>
          </cell>
          <cell r="H14">
            <v>2067610.5874618385</v>
          </cell>
          <cell r="L14">
            <v>13478593.744925424</v>
          </cell>
        </row>
        <row r="34">
          <cell r="B34">
            <v>1331831.0365679159</v>
          </cell>
          <cell r="C34">
            <v>582382.60674197262</v>
          </cell>
          <cell r="D34">
            <v>431698.85844270035</v>
          </cell>
          <cell r="E34">
            <v>26604.027249875653</v>
          </cell>
          <cell r="F34">
            <v>28171.38095313112</v>
          </cell>
          <cell r="G34">
            <v>78979.83257687786</v>
          </cell>
        </row>
      </sheetData>
      <sheetData sheetId="5" refreshError="1">
        <row r="15">
          <cell r="B15">
            <v>399587578.13183582</v>
          </cell>
          <cell r="C15">
            <v>158595034.3760052</v>
          </cell>
          <cell r="D15">
            <v>450952085.579036</v>
          </cell>
          <cell r="E15">
            <v>226229939.17028835</v>
          </cell>
          <cell r="F15">
            <v>233091354.3125</v>
          </cell>
          <cell r="G15">
            <v>9645171.1912231408</v>
          </cell>
          <cell r="H15">
            <v>2015389.596745051</v>
          </cell>
          <cell r="L15">
            <v>13008528.857421884</v>
          </cell>
        </row>
        <row r="32">
          <cell r="B32">
            <v>1350651.4097994231</v>
          </cell>
          <cell r="C32">
            <v>527946.7194752692</v>
          </cell>
          <cell r="D32">
            <v>483777.43670654291</v>
          </cell>
          <cell r="E32">
            <v>26876.159901697181</v>
          </cell>
          <cell r="F32">
            <v>29053.063102722168</v>
          </cell>
          <cell r="G32">
            <v>70981.98323059082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"/>
    </sheetNames>
    <sheetDataSet>
      <sheetData sheetId="0" refreshError="1">
        <row r="56">
          <cell r="M56">
            <v>727.0999999999998</v>
          </cell>
          <cell r="O56">
            <v>0</v>
          </cell>
        </row>
        <row r="85">
          <cell r="M85">
            <v>644.6999999999997</v>
          </cell>
          <cell r="O85">
            <v>0</v>
          </cell>
        </row>
        <row r="116">
          <cell r="M116">
            <v>470.90000000000003</v>
          </cell>
          <cell r="O116">
            <v>0</v>
          </cell>
        </row>
        <row r="146">
          <cell r="M146">
            <v>140.9</v>
          </cell>
          <cell r="O14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 par"/>
    </sheetNames>
    <sheetDataSet>
      <sheetData sheetId="0" refreshError="1">
        <row r="146">
          <cell r="M146">
            <v>114.80000000000001</v>
          </cell>
          <cell r="O146">
            <v>0</v>
          </cell>
        </row>
        <row r="177">
          <cell r="M177">
            <v>144.69999999999999</v>
          </cell>
          <cell r="O177">
            <v>21</v>
          </cell>
        </row>
        <row r="207">
          <cell r="M207">
            <v>37.699999999999996</v>
          </cell>
          <cell r="O207">
            <v>26.800000000000004</v>
          </cell>
        </row>
        <row r="238">
          <cell r="M238">
            <v>6.7</v>
          </cell>
          <cell r="O238">
            <v>100.59999999999998</v>
          </cell>
        </row>
        <row r="269">
          <cell r="M269">
            <v>9.6999999999999993</v>
          </cell>
          <cell r="O269">
            <v>79.200000000000017</v>
          </cell>
        </row>
        <row r="299">
          <cell r="M299">
            <v>122.70000000000002</v>
          </cell>
          <cell r="O299">
            <v>16.7</v>
          </cell>
        </row>
        <row r="330">
          <cell r="M330">
            <v>279.59999999999997</v>
          </cell>
          <cell r="O330">
            <v>0</v>
          </cell>
        </row>
        <row r="360">
          <cell r="M360">
            <v>337.9</v>
          </cell>
          <cell r="O360">
            <v>0</v>
          </cell>
        </row>
        <row r="391">
          <cell r="M391">
            <v>719.39999999999986</v>
          </cell>
          <cell r="O39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1-12312011"/>
    </sheetNames>
    <sheetDataSet>
      <sheetData sheetId="0" refreshError="1">
        <row r="56">
          <cell r="M56">
            <v>770.00000000000011</v>
          </cell>
          <cell r="O56">
            <v>0</v>
          </cell>
        </row>
        <row r="85">
          <cell r="M85">
            <v>640.80000000000007</v>
          </cell>
          <cell r="O85">
            <v>0</v>
          </cell>
        </row>
        <row r="116">
          <cell r="M116">
            <v>605.29999999999995</v>
          </cell>
          <cell r="O116">
            <v>0</v>
          </cell>
        </row>
        <row r="146">
          <cell r="M146">
            <v>298.69999999999993</v>
          </cell>
          <cell r="O146">
            <v>0</v>
          </cell>
        </row>
        <row r="177">
          <cell r="M177">
            <v>148.69999999999996</v>
          </cell>
          <cell r="O177">
            <v>13.2</v>
          </cell>
        </row>
        <row r="207">
          <cell r="M207">
            <v>48.500000000000007</v>
          </cell>
          <cell r="O207">
            <v>21.599999999999998</v>
          </cell>
        </row>
        <row r="238">
          <cell r="M238">
            <v>0.8</v>
          </cell>
          <cell r="O238">
            <v>128.19999999999999</v>
          </cell>
        </row>
        <row r="269">
          <cell r="M269">
            <v>6.8999999999999995</v>
          </cell>
          <cell r="O269">
            <v>54.3</v>
          </cell>
        </row>
        <row r="299">
          <cell r="M299">
            <v>88.9</v>
          </cell>
          <cell r="O299">
            <v>17.2</v>
          </cell>
        </row>
        <row r="330">
          <cell r="M330">
            <v>279.89999999999998</v>
          </cell>
          <cell r="O330">
            <v>0</v>
          </cell>
        </row>
        <row r="360">
          <cell r="M360">
            <v>382.4</v>
          </cell>
          <cell r="O360">
            <v>0</v>
          </cell>
        </row>
        <row r="391">
          <cell r="M391">
            <v>574.79999999999995</v>
          </cell>
          <cell r="O39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2-12312012"/>
    </sheetNames>
    <sheetDataSet>
      <sheetData sheetId="0" refreshError="1">
        <row r="56">
          <cell r="M56">
            <v>657.30000000000007</v>
          </cell>
          <cell r="O56">
            <v>0</v>
          </cell>
        </row>
        <row r="85">
          <cell r="M85">
            <v>573</v>
          </cell>
          <cell r="O85">
            <v>0</v>
          </cell>
        </row>
        <row r="116">
          <cell r="M116">
            <v>370.1</v>
          </cell>
          <cell r="O116">
            <v>0</v>
          </cell>
        </row>
        <row r="146">
          <cell r="M146">
            <v>365.3</v>
          </cell>
          <cell r="O146">
            <v>0</v>
          </cell>
        </row>
        <row r="177">
          <cell r="M177">
            <v>103.8</v>
          </cell>
          <cell r="O177">
            <v>18.2</v>
          </cell>
        </row>
        <row r="207">
          <cell r="M207">
            <v>42.100000000000009</v>
          </cell>
          <cell r="O207">
            <v>61.199999999999996</v>
          </cell>
        </row>
        <row r="238">
          <cell r="M238">
            <v>0</v>
          </cell>
          <cell r="O238">
            <v>116.40000000000002</v>
          </cell>
        </row>
        <row r="269">
          <cell r="M269">
            <v>19.400000000000002</v>
          </cell>
          <cell r="O269">
            <v>58.100000000000009</v>
          </cell>
        </row>
        <row r="299">
          <cell r="M299">
            <v>125.40000000000002</v>
          </cell>
          <cell r="O299">
            <v>16.399999999999999</v>
          </cell>
        </row>
        <row r="330">
          <cell r="M330">
            <v>279.2</v>
          </cell>
          <cell r="O330">
            <v>0</v>
          </cell>
        </row>
        <row r="360">
          <cell r="M360">
            <v>483.60000000000014</v>
          </cell>
          <cell r="O360">
            <v>0</v>
          </cell>
        </row>
        <row r="391">
          <cell r="M391">
            <v>565.50000000000011</v>
          </cell>
          <cell r="O3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_"/>
      <sheetName val="Demand_billed"/>
      <sheetName val="Generation_2011"/>
      <sheetName val="LPC_Charges"/>
    </sheetNames>
    <sheetDataSet>
      <sheetData sheetId="0">
        <row r="3">
          <cell r="E3">
            <v>13550806.09</v>
          </cell>
          <cell r="F3">
            <v>13905906.889999999</v>
          </cell>
          <cell r="G3">
            <v>13508859.07</v>
          </cell>
          <cell r="H3">
            <v>13331163.18</v>
          </cell>
          <cell r="I3">
            <v>13270243.390000001</v>
          </cell>
          <cell r="J3">
            <v>13158880.130000001</v>
          </cell>
          <cell r="K3">
            <v>12901290.960000001</v>
          </cell>
        </row>
        <row r="4">
          <cell r="E4">
            <v>31901849.100000001</v>
          </cell>
          <cell r="F4">
            <v>23278781.600000001</v>
          </cell>
        </row>
        <row r="5">
          <cell r="F5">
            <v>9569052.4499999993</v>
          </cell>
          <cell r="G5">
            <v>30287887.399999999</v>
          </cell>
          <cell r="H5">
            <v>29875614.350000001</v>
          </cell>
          <cell r="I5">
            <v>29666589.699999999</v>
          </cell>
          <cell r="J5">
            <v>29612962.699999999</v>
          </cell>
          <cell r="K5">
            <v>29858703.309999999</v>
          </cell>
        </row>
        <row r="13">
          <cell r="E13">
            <v>45452655.189999998</v>
          </cell>
          <cell r="F13">
            <v>46753740.940000005</v>
          </cell>
          <cell r="G13">
            <v>43796746.469999999</v>
          </cell>
          <cell r="H13">
            <v>43206777.520000003</v>
          </cell>
          <cell r="I13">
            <v>42936833.090000004</v>
          </cell>
          <cell r="J13">
            <v>42771842.82</v>
          </cell>
          <cell r="K13">
            <v>42759994.270000003</v>
          </cell>
        </row>
      </sheetData>
      <sheetData sheetId="1">
        <row r="26">
          <cell r="F26">
            <v>81650.759999999995</v>
          </cell>
          <cell r="G26">
            <v>81847.960000000006</v>
          </cell>
          <cell r="H26">
            <v>75928.2</v>
          </cell>
          <cell r="I26">
            <v>73037.789999999994</v>
          </cell>
          <cell r="J26">
            <v>72484.789999999994</v>
          </cell>
          <cell r="K26">
            <v>72913.429999999993</v>
          </cell>
          <cell r="L26">
            <v>73441.350000000006</v>
          </cell>
        </row>
      </sheetData>
      <sheetData sheetId="2"/>
      <sheetData sheetId="3">
        <row r="56">
          <cell r="B56">
            <v>146551.17801061622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1"/>
    </sheetNames>
    <sheetDataSet>
      <sheetData sheetId="0"/>
      <sheetData sheetId="1">
        <row r="16">
          <cell r="E16">
            <v>12526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of Customers"/>
      <sheetName val="Sheet 2"/>
      <sheetName val="Sheet 3"/>
    </sheetNames>
    <sheetDataSet>
      <sheetData sheetId="0" refreshError="1">
        <row r="2">
          <cell r="B2">
            <v>45526</v>
          </cell>
          <cell r="C2">
            <v>4627</v>
          </cell>
          <cell r="D2">
            <v>707</v>
          </cell>
          <cell r="E2">
            <v>27</v>
          </cell>
          <cell r="F2">
            <v>2</v>
          </cell>
          <cell r="G2">
            <v>12591</v>
          </cell>
          <cell r="H2">
            <v>537</v>
          </cell>
          <cell r="I2">
            <v>2</v>
          </cell>
        </row>
        <row r="3">
          <cell r="B3">
            <v>46035</v>
          </cell>
          <cell r="C3">
            <v>4632</v>
          </cell>
          <cell r="D3">
            <v>740</v>
          </cell>
          <cell r="E3">
            <v>29</v>
          </cell>
          <cell r="F3">
            <v>3</v>
          </cell>
          <cell r="G3">
            <v>12656</v>
          </cell>
          <cell r="H3">
            <v>492</v>
          </cell>
          <cell r="I3">
            <v>2</v>
          </cell>
        </row>
        <row r="4">
          <cell r="B4">
            <v>46532</v>
          </cell>
          <cell r="C4">
            <v>4690</v>
          </cell>
          <cell r="D4">
            <v>733</v>
          </cell>
          <cell r="E4">
            <v>25</v>
          </cell>
          <cell r="F4">
            <v>3</v>
          </cell>
          <cell r="G4">
            <v>12788</v>
          </cell>
          <cell r="H4">
            <v>489</v>
          </cell>
          <cell r="I4">
            <v>2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0"/>
      <sheetName val="FA Continuity 2011"/>
      <sheetName val="FA Continuity 2012"/>
      <sheetName val="FA Continuity 2013"/>
      <sheetName val="FA Continuity 2014"/>
      <sheetName val="Trial Balance"/>
      <sheetName val="2010 Balance Sheet"/>
      <sheetName val="2010 Income Statement"/>
      <sheetName val="2011 Balance Sheet"/>
      <sheetName val="2011 Income Statement"/>
      <sheetName val="2012 Balance Sheet"/>
      <sheetName val="2012 Income Statement"/>
      <sheetName val="2013 Balance Sheet"/>
      <sheetName val="2013 Income Statement"/>
      <sheetName val="2014 Balance Sheet"/>
      <sheetName val="2014 Income Statement"/>
      <sheetName val="Return on Capital"/>
      <sheetName val="Debt &amp; Capital Structure"/>
      <sheetName val="Tax rates"/>
      <sheetName val="CCA Continuity 2013"/>
      <sheetName val="CCA Continuity 2014"/>
      <sheetName val="Reserves Continuity"/>
      <sheetName val="Corporation Loss Continuity"/>
      <sheetName val="Tax Adjustments 2013"/>
      <sheetName val="Tax Adjustments 2014"/>
      <sheetName val="2014 Rev Deficiency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/>
      <sheetData sheetId="6">
        <row r="226">
          <cell r="J226">
            <v>-101361.12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>
            <v>15998131.15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110939007.22999999</v>
          </cell>
          <cell r="F8">
            <v>101229477.84999999</v>
          </cell>
        </row>
        <row r="11">
          <cell r="B11">
            <v>42619609.649999991</v>
          </cell>
          <cell r="F11">
            <v>36847512.509999998</v>
          </cell>
        </row>
        <row r="12">
          <cell r="B12">
            <v>115759674.95</v>
          </cell>
          <cell r="F12">
            <v>38912994.090000004</v>
          </cell>
        </row>
        <row r="15">
          <cell r="B15">
            <v>61297242.899999999</v>
          </cell>
          <cell r="F15">
            <v>0</v>
          </cell>
        </row>
        <row r="18">
          <cell r="B18">
            <v>54778048.57</v>
          </cell>
          <cell r="F18">
            <v>0</v>
          </cell>
        </row>
        <row r="21">
          <cell r="B21">
            <v>2985558.38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503151</v>
          </cell>
        </row>
        <row r="54">
          <cell r="D54">
            <v>14390.16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88276071.399999991</v>
          </cell>
          <cell r="F8">
            <v>81040744.50999999</v>
          </cell>
        </row>
        <row r="11">
          <cell r="B11">
            <v>39259652.959999993</v>
          </cell>
          <cell r="F11">
            <v>33429182.27</v>
          </cell>
        </row>
        <row r="12">
          <cell r="B12">
            <v>112746716.67</v>
          </cell>
          <cell r="F12">
            <v>36876894.390000001</v>
          </cell>
        </row>
        <row r="15">
          <cell r="B15">
            <v>61682817.809999995</v>
          </cell>
          <cell r="F15">
            <v>0</v>
          </cell>
        </row>
        <row r="18">
          <cell r="B18">
            <v>50986244.32</v>
          </cell>
          <cell r="F18">
            <v>0</v>
          </cell>
        </row>
        <row r="21">
          <cell r="B21">
            <v>2241543.73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501298.9</v>
          </cell>
        </row>
        <row r="54">
          <cell r="D54">
            <v>14337.15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115217369.28999999</v>
          </cell>
          <cell r="F8">
            <v>106571698.25999999</v>
          </cell>
        </row>
        <row r="11">
          <cell r="B11">
            <v>42107087.520000003</v>
          </cell>
          <cell r="F11">
            <v>36057464.859999999</v>
          </cell>
        </row>
        <row r="12">
          <cell r="B12">
            <v>120120617.00999999</v>
          </cell>
          <cell r="F12">
            <v>39771002.689999998</v>
          </cell>
        </row>
        <row r="15">
          <cell r="B15">
            <v>64370132.230000004</v>
          </cell>
          <cell r="F15">
            <v>0</v>
          </cell>
        </row>
        <row r="18">
          <cell r="B18">
            <v>54192994.75</v>
          </cell>
          <cell r="F18">
            <v>0</v>
          </cell>
        </row>
        <row r="21">
          <cell r="B21">
            <v>1958788.23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500703</v>
          </cell>
        </row>
        <row r="54">
          <cell r="D54">
            <v>14320.14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  <sheetName val="Sheet2"/>
    </sheetNames>
    <sheetDataSet>
      <sheetData sheetId="0">
        <row r="8">
          <cell r="B8">
            <v>95419704.909999996</v>
          </cell>
          <cell r="F8">
            <v>89144276.939999998</v>
          </cell>
        </row>
        <row r="11">
          <cell r="B11">
            <v>40270215.649999999</v>
          </cell>
          <cell r="F11">
            <v>34523890.039999999</v>
          </cell>
        </row>
        <row r="12">
          <cell r="B12">
            <v>113349314.18000001</v>
          </cell>
          <cell r="F12">
            <v>35981925.010000005</v>
          </cell>
        </row>
        <row r="15">
          <cell r="B15">
            <v>56232844.670000002</v>
          </cell>
          <cell r="F15">
            <v>0</v>
          </cell>
        </row>
        <row r="18">
          <cell r="B18">
            <v>50128793.399999999</v>
          </cell>
          <cell r="F18">
            <v>0</v>
          </cell>
        </row>
        <row r="21">
          <cell r="B21">
            <v>2726400.13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500463</v>
          </cell>
        </row>
        <row r="54">
          <cell r="D54">
            <v>14313.28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3 RTS Rates"/>
      <sheetName val="hidden1"/>
      <sheetName val="Tables for Exh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F5">
            <v>6.3398244195292672E-3</v>
          </cell>
        </row>
        <row r="6">
          <cell r="F6">
            <v>5.5217825589448464E-3</v>
          </cell>
        </row>
        <row r="7">
          <cell r="F7">
            <v>3.5916127888959029</v>
          </cell>
        </row>
        <row r="8">
          <cell r="F8">
            <v>2.7277605841187542</v>
          </cell>
        </row>
        <row r="9">
          <cell r="F9">
            <v>2.5849100242141994</v>
          </cell>
        </row>
        <row r="10">
          <cell r="F10">
            <v>5.5217825589448464E-3</v>
          </cell>
        </row>
        <row r="12">
          <cell r="F12">
            <v>2.5849100242141994</v>
          </cell>
        </row>
        <row r="15">
          <cell r="F15">
            <v>3.8501448484410065E-3</v>
          </cell>
        </row>
        <row r="16">
          <cell r="F16">
            <v>3.6362479124165056E-3</v>
          </cell>
        </row>
        <row r="17">
          <cell r="F17">
            <v>2.2205710413383506</v>
          </cell>
        </row>
        <row r="18">
          <cell r="F18">
            <v>1.7427252862596165</v>
          </cell>
        </row>
        <row r="19">
          <cell r="F19">
            <v>1.7738472904511819</v>
          </cell>
        </row>
        <row r="20">
          <cell r="F20">
            <v>3.6362479124165061E-3</v>
          </cell>
        </row>
        <row r="21">
          <cell r="F21">
            <v>1.1159003152398188</v>
          </cell>
        </row>
        <row r="22">
          <cell r="F22">
            <v>1.7738472904511815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2014 LV"/>
      <sheetName val="2013 Actual LV"/>
      <sheetName val="Historical LV Charges"/>
    </sheetNames>
    <sheetDataSet>
      <sheetData sheetId="0"/>
      <sheetData sheetId="1">
        <row r="18">
          <cell r="K18">
            <v>173822.49072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21" workbookViewId="0">
      <selection activeCell="Q38" sqref="Q38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12"/>
      <c r="B4" s="312" t="s">
        <v>93</v>
      </c>
      <c r="C4" s="105" t="s">
        <v>94</v>
      </c>
    </row>
    <row r="5" spans="1:3" x14ac:dyDescent="0.2">
      <c r="A5" s="312"/>
      <c r="B5" s="312"/>
      <c r="C5" s="312"/>
    </row>
    <row r="6" spans="1:3" x14ac:dyDescent="0.2">
      <c r="A6" s="312">
        <v>1996</v>
      </c>
      <c r="B6" s="313">
        <f>'Purchased Power Model'!B234/1000000</f>
        <v>1126.778593</v>
      </c>
      <c r="C6" s="313">
        <f>'Purchased Power Model'!N234/1000000</f>
        <v>1161.6864092337323</v>
      </c>
    </row>
    <row r="7" spans="1:3" x14ac:dyDescent="0.2">
      <c r="A7" s="312">
        <v>1997</v>
      </c>
      <c r="B7" s="313">
        <f>'Purchased Power Model'!B235/1000000</f>
        <v>1202.822244</v>
      </c>
      <c r="C7" s="313">
        <f>'Purchased Power Model'!N235/1000000</f>
        <v>1200.4843521881585</v>
      </c>
    </row>
    <row r="8" spans="1:3" x14ac:dyDescent="0.2">
      <c r="A8" s="312">
        <v>1998</v>
      </c>
      <c r="B8" s="313">
        <f>'Purchased Power Model'!B236/1000000</f>
        <v>1272.5511570000001</v>
      </c>
      <c r="C8" s="313">
        <f>'Purchased Power Model'!N236/1000000</f>
        <v>1274.0395523470397</v>
      </c>
    </row>
    <row r="9" spans="1:3" x14ac:dyDescent="0.2">
      <c r="A9" s="312">
        <v>1999</v>
      </c>
      <c r="B9" s="313">
        <f>'Purchased Power Model'!B237/1000000</f>
        <v>1350.8153901000001</v>
      </c>
      <c r="C9" s="313">
        <f>'Purchased Power Model'!N237/1000000</f>
        <v>1376.2098880144531</v>
      </c>
    </row>
    <row r="10" spans="1:3" x14ac:dyDescent="0.2">
      <c r="A10" s="312">
        <v>2000</v>
      </c>
      <c r="B10" s="313">
        <f>'Purchased Power Model'!B238/1000000</f>
        <v>1392.1735917999999</v>
      </c>
      <c r="C10" s="313">
        <f>'Purchased Power Model'!N238/1000000</f>
        <v>1379.3793078130036</v>
      </c>
    </row>
    <row r="11" spans="1:3" x14ac:dyDescent="0.2">
      <c r="A11" s="312">
        <v>2001</v>
      </c>
      <c r="B11" s="313">
        <f>'Purchased Power Model'!B239/1000000</f>
        <v>1420.9777300000001</v>
      </c>
      <c r="C11" s="313">
        <f>'Purchased Power Model'!N239/1000000</f>
        <v>1415.3982318241624</v>
      </c>
    </row>
    <row r="12" spans="1:3" x14ac:dyDescent="0.2">
      <c r="A12" s="312">
        <v>2002</v>
      </c>
      <c r="B12" s="313">
        <f>'Purchased Power Model'!B240/1000000</f>
        <v>1519.1447559999999</v>
      </c>
      <c r="C12" s="313">
        <f>'Purchased Power Model'!N240/1000000</f>
        <v>1472.1697277710734</v>
      </c>
    </row>
    <row r="13" spans="1:3" x14ac:dyDescent="0.2">
      <c r="A13" s="312">
        <v>2003</v>
      </c>
      <c r="B13" s="313">
        <f>'Purchased Power Model'!B241/1000000</f>
        <v>1523.7175299999999</v>
      </c>
      <c r="C13" s="313">
        <f>'Purchased Power Model'!N241/1000000</f>
        <v>1503.5452642280295</v>
      </c>
    </row>
    <row r="14" spans="1:3" x14ac:dyDescent="0.2">
      <c r="A14" s="312">
        <v>2004</v>
      </c>
      <c r="B14" s="313">
        <f>'Purchased Power Model'!B242/1000000</f>
        <v>1570.4059299999999</v>
      </c>
      <c r="C14" s="313">
        <f>'Purchased Power Model'!N242/1000000</f>
        <v>1540.9962251877705</v>
      </c>
    </row>
    <row r="15" spans="1:3" x14ac:dyDescent="0.2">
      <c r="A15" s="312">
        <v>2005</v>
      </c>
      <c r="B15" s="313">
        <f>'Purchased Power Model'!B243/1000000</f>
        <v>1640.988662</v>
      </c>
      <c r="C15" s="313">
        <f>'Purchased Power Model'!N243/1000000</f>
        <v>1632.8619238141684</v>
      </c>
    </row>
    <row r="16" spans="1:3" x14ac:dyDescent="0.2">
      <c r="A16" s="312">
        <v>2006</v>
      </c>
      <c r="B16" s="313">
        <f>'Purchased Power Model'!B244/1000000</f>
        <v>1599.360044</v>
      </c>
      <c r="C16" s="313">
        <f>'Purchased Power Model'!N244/1000000</f>
        <v>1630.5521378152494</v>
      </c>
    </row>
    <row r="17" spans="1:3" x14ac:dyDescent="0.2">
      <c r="A17" s="312">
        <v>2007</v>
      </c>
      <c r="B17" s="313">
        <f>'Purchased Power Model'!B245/1000000</f>
        <v>1609.193923</v>
      </c>
      <c r="C17" s="313">
        <f>'Purchased Power Model'!N245/1000000</f>
        <v>1623.4091476340034</v>
      </c>
    </row>
    <row r="18" spans="1:3" x14ac:dyDescent="0.2">
      <c r="A18" s="312">
        <v>2008</v>
      </c>
      <c r="B18" s="313">
        <f>'Purchased Power Model'!B246/1000000</f>
        <v>1557.5232289999999</v>
      </c>
      <c r="C18" s="313">
        <f>'Purchased Power Model'!N246/1000000</f>
        <v>1602.1092006277265</v>
      </c>
    </row>
    <row r="19" spans="1:3" x14ac:dyDescent="0.2">
      <c r="A19" s="312">
        <v>2009</v>
      </c>
      <c r="B19" s="313">
        <f>'Purchased Power Model'!B247/1000000</f>
        <v>1450.354846</v>
      </c>
      <c r="C19" s="313">
        <f>'Purchased Power Model'!N247/1000000</f>
        <v>1453.0609129809282</v>
      </c>
    </row>
    <row r="20" spans="1:3" x14ac:dyDescent="0.2">
      <c r="A20" s="312">
        <v>2010</v>
      </c>
      <c r="B20" s="313">
        <f>'Purchased Power Model'!B248/1000000</f>
        <v>1513.16563</v>
      </c>
      <c r="C20" s="313">
        <f>'Purchased Power Model'!N248/1000000</f>
        <v>1485.7675454208729</v>
      </c>
    </row>
    <row r="21" spans="1:3" x14ac:dyDescent="0.2">
      <c r="A21" s="312">
        <v>2011</v>
      </c>
      <c r="B21" s="313">
        <f>'Purchased Power Model'!B249/1000000</f>
        <v>1519.43926771</v>
      </c>
      <c r="C21" s="313">
        <f>'Purchased Power Model'!N249/1000000</f>
        <v>1523.5596553013181</v>
      </c>
    </row>
    <row r="22" spans="1:3" x14ac:dyDescent="0.2">
      <c r="A22" s="312">
        <v>2012</v>
      </c>
      <c r="B22" s="313">
        <f>'Purchased Power Model'!B250/1000000</f>
        <v>1526.5913362900003</v>
      </c>
      <c r="C22" s="313">
        <f>'Purchased Power Model'!N250/1000000</f>
        <v>1520.7743776982966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1161.6864092337323</v>
      </c>
      <c r="D49" s="64">
        <f>C49/B49-1</f>
        <v>3.0980191184491579E-2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1200.4843521881585</v>
      </c>
      <c r="D50" s="64">
        <f t="shared" ref="D50:D61" si="1">C50/B50-1</f>
        <v>-1.943671912872813E-3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1274.0395523470397</v>
      </c>
      <c r="D51" s="64">
        <f t="shared" si="1"/>
        <v>1.1696153344031845E-3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1376.2098880144531</v>
      </c>
      <c r="D52" s="64">
        <f t="shared" si="1"/>
        <v>1.8799384505511885E-2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1379.3793078130036</v>
      </c>
      <c r="D53" s="64">
        <f t="shared" si="1"/>
        <v>-9.190149893918087E-3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1415.3982318241624</v>
      </c>
      <c r="D54" s="64">
        <f t="shared" si="1"/>
        <v>-3.9265204922230845E-3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1472.1697277710734</v>
      </c>
      <c r="D55" s="64">
        <f t="shared" si="1"/>
        <v>-3.0922022436238761E-2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1503.5452642280295</v>
      </c>
      <c r="D56" s="64">
        <f t="shared" si="1"/>
        <v>-1.3238848654560265E-2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1540.9962251877705</v>
      </c>
      <c r="D57" s="64">
        <f t="shared" si="1"/>
        <v>-1.8727453997979593E-2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1632.8619238141684</v>
      </c>
      <c r="D58" s="64">
        <f t="shared" si="1"/>
        <v>-4.952342678545274E-3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1630.5521378152494</v>
      </c>
      <c r="D59" s="64">
        <f t="shared" si="1"/>
        <v>1.9502859241898873E-2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1623.4091476340034</v>
      </c>
      <c r="D60" s="64">
        <f t="shared" si="1"/>
        <v>8.8337548575265767E-3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1602.1092006277265</v>
      </c>
      <c r="D61" s="64">
        <f t="shared" si="1"/>
        <v>2.8626200108972322E-2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1453.0609129809282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1485.7675454208729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267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79" t="s">
        <v>213</v>
      </c>
      <c r="B2" s="380"/>
      <c r="C2" s="380"/>
      <c r="D2" s="380"/>
      <c r="E2" s="380"/>
      <c r="F2" s="380"/>
      <c r="G2" s="380"/>
      <c r="H2" s="380"/>
      <c r="I2" s="381"/>
    </row>
    <row r="3" spans="1:16" ht="45" x14ac:dyDescent="0.2">
      <c r="A3" s="268" t="s">
        <v>89</v>
      </c>
      <c r="B3" s="269"/>
      <c r="C3" s="187"/>
      <c r="D3" s="267" t="s">
        <v>168</v>
      </c>
      <c r="E3" s="267" t="s">
        <v>169</v>
      </c>
      <c r="F3" s="267" t="s">
        <v>170</v>
      </c>
      <c r="G3" s="267" t="s">
        <v>171</v>
      </c>
      <c r="H3" s="267" t="s">
        <v>172</v>
      </c>
      <c r="I3" s="267" t="s">
        <v>173</v>
      </c>
    </row>
    <row r="4" spans="1:16" ht="15" x14ac:dyDescent="0.2">
      <c r="A4" s="371" t="s">
        <v>174</v>
      </c>
      <c r="B4" s="372"/>
      <c r="C4" s="372"/>
      <c r="D4" s="372"/>
      <c r="E4" s="372"/>
      <c r="F4" s="372"/>
      <c r="G4" s="372"/>
      <c r="H4" s="372"/>
      <c r="I4" s="373"/>
    </row>
    <row r="5" spans="1:16" ht="15" x14ac:dyDescent="0.2">
      <c r="A5" s="374"/>
      <c r="B5" s="375"/>
      <c r="C5" s="375"/>
      <c r="D5" s="375"/>
      <c r="E5" s="375"/>
      <c r="F5" s="375"/>
      <c r="G5" s="375"/>
      <c r="H5" s="375"/>
      <c r="I5" s="378"/>
      <c r="N5" s="190"/>
      <c r="O5" s="190"/>
      <c r="P5" s="190"/>
    </row>
    <row r="6" spans="1:16" ht="15" x14ac:dyDescent="0.2">
      <c r="A6" s="191" t="s">
        <v>214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374"/>
      <c r="B7" s="375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175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215</v>
      </c>
      <c r="B16" s="192"/>
      <c r="C16" s="188"/>
      <c r="D16" s="193">
        <f>Summary!J12/1000000</f>
        <v>1455.1122390806345</v>
      </c>
      <c r="E16" s="194">
        <f t="shared" si="0"/>
        <v>-63.513444039201659</v>
      </c>
      <c r="F16" s="195">
        <f t="shared" si="1"/>
        <v>-4.1822975039326894E-2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176</v>
      </c>
      <c r="B17" s="192"/>
      <c r="C17" s="207"/>
      <c r="D17" s="193">
        <f>Summary!K12/1000000</f>
        <v>1508.9924556342266</v>
      </c>
      <c r="E17" s="194">
        <f t="shared" si="0"/>
        <v>53.880216553592163</v>
      </c>
      <c r="F17" s="195">
        <f t="shared" si="1"/>
        <v>3.7028220302534623E-2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177</v>
      </c>
      <c r="B18" s="192"/>
      <c r="C18" s="207"/>
      <c r="D18" s="193">
        <f>Summary!L12/1000000</f>
        <v>1511.6081227106395</v>
      </c>
      <c r="E18" s="194">
        <f t="shared" si="0"/>
        <v>2.6156670764128194</v>
      </c>
      <c r="F18" s="195">
        <f t="shared" si="1"/>
        <v>1.7333864504401777E-3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216</v>
      </c>
      <c r="B19" s="192"/>
      <c r="C19" s="207"/>
      <c r="D19" s="193">
        <f>Summary!M12/1000000</f>
        <v>1524.9073127115223</v>
      </c>
      <c r="E19" s="194">
        <f t="shared" si="0"/>
        <v>13.299190000882845</v>
      </c>
      <c r="F19" s="195">
        <f t="shared" si="1"/>
        <v>8.7980408421162275E-3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219</v>
      </c>
      <c r="B20" s="188"/>
      <c r="C20" s="207"/>
      <c r="D20" s="201">
        <f>Summary!N12/1000000</f>
        <v>1516.2973754970337</v>
      </c>
      <c r="E20" s="202">
        <f t="shared" si="0"/>
        <v>-8.609937214488582</v>
      </c>
      <c r="F20" s="203">
        <f t="shared" si="1"/>
        <v>-5.6462036365861308E-3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220</v>
      </c>
      <c r="B21" s="188"/>
      <c r="C21" s="207"/>
      <c r="D21" s="201">
        <f>Summary!O12/1000000</f>
        <v>1511.0258387205981</v>
      </c>
      <c r="E21" s="202">
        <f t="shared" si="0"/>
        <v>-5.271536776435596</v>
      </c>
      <c r="F21" s="203">
        <f t="shared" si="1"/>
        <v>-3.4765850430279982E-3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397" t="s">
        <v>221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</row>
    <row r="24" spans="1:14" ht="60" x14ac:dyDescent="0.2">
      <c r="A24" s="376" t="s">
        <v>89</v>
      </c>
      <c r="B24" s="377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82" t="s">
        <v>178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</row>
    <row r="26" spans="1:14" ht="14.25" customHeight="1" x14ac:dyDescent="0.2">
      <c r="A26" s="383"/>
      <c r="B26" s="383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383"/>
      <c r="B28" s="383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457.22568257655206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1561.1028595852936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390" t="str">
        <f t="shared" si="4"/>
        <v xml:space="preserve">2008 Actual </v>
      </c>
      <c r="B36" s="391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390" t="str">
        <f t="shared" si="4"/>
        <v xml:space="preserve">2009 Actual </v>
      </c>
      <c r="B37" s="391"/>
      <c r="C37" s="188"/>
      <c r="D37" s="193">
        <f>Summary!J17/1000000</f>
        <v>379.58271377996522</v>
      </c>
      <c r="E37" s="193">
        <f>Summary!J21/1000000</f>
        <v>160.30029419006814</v>
      </c>
      <c r="F37" s="193">
        <f>Summary!J25/1000000</f>
        <v>432.46196679929557</v>
      </c>
      <c r="G37" s="193">
        <f>Summary!J30/1000000</f>
        <v>193.00268532998714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9.4705301599761231</v>
      </c>
      <c r="K37" s="193">
        <f>Summary!J50/1000000</f>
        <v>2.1356569424311616</v>
      </c>
      <c r="L37" s="193">
        <f>Summary!J54/1000000</f>
        <v>54.272535558917205</v>
      </c>
      <c r="M37" s="272">
        <f t="shared" si="5"/>
        <v>1455.1122390806345</v>
      </c>
      <c r="N37" s="211"/>
    </row>
    <row r="38" spans="1:20" s="206" customFormat="1" ht="15" customHeight="1" x14ac:dyDescent="0.25">
      <c r="A38" s="390" t="str">
        <f t="shared" si="4"/>
        <v xml:space="preserve">2010 Actual </v>
      </c>
      <c r="B38" s="391"/>
      <c r="C38" s="188"/>
      <c r="D38" s="193">
        <f>Summary!K17/1000000</f>
        <v>396.26683539498083</v>
      </c>
      <c r="E38" s="193">
        <f>Summary!K21/1000000</f>
        <v>163.47989281864909</v>
      </c>
      <c r="F38" s="193">
        <f>Summary!K25/1000000</f>
        <v>426.5137555630784</v>
      </c>
      <c r="G38" s="193">
        <f>Summary!K30/1000000</f>
        <v>220.91766845862432</v>
      </c>
      <c r="H38" s="193">
        <f>Summary!K35/1000000</f>
        <v>196.5572806227056</v>
      </c>
      <c r="I38" s="193">
        <f>Summary!K40/1000000</f>
        <v>43.796746470000002</v>
      </c>
      <c r="J38" s="193">
        <f>Summary!K45/1000000</f>
        <v>9.5192059225450976</v>
      </c>
      <c r="K38" s="193">
        <f>Summary!K50/1000000</f>
        <v>2.1302419105078498</v>
      </c>
      <c r="L38" s="193">
        <f>Summary!K54/1000000</f>
        <v>49.810828473134997</v>
      </c>
      <c r="M38" s="272">
        <f t="shared" si="5"/>
        <v>1508.9924556342262</v>
      </c>
      <c r="N38" s="211"/>
    </row>
    <row r="39" spans="1:20" s="206" customFormat="1" ht="15" x14ac:dyDescent="0.25">
      <c r="A39" s="390" t="str">
        <f t="shared" si="4"/>
        <v xml:space="preserve">2011 Actual </v>
      </c>
      <c r="B39" s="391"/>
      <c r="C39" s="275"/>
      <c r="D39" s="193">
        <f>Summary!L17/1000000</f>
        <v>396.55672036740742</v>
      </c>
      <c r="E39" s="193">
        <f>Summary!L21/1000000</f>
        <v>158.3220692436029</v>
      </c>
      <c r="F39" s="193">
        <f>Summary!L25/1000000</f>
        <v>437.15903608214177</v>
      </c>
      <c r="G39" s="193">
        <f>Summary!L30/1000000</f>
        <v>240.76717487713026</v>
      </c>
      <c r="H39" s="193">
        <f>Summary!L35/1000000</f>
        <v>169.19580019186978</v>
      </c>
      <c r="I39" s="193">
        <f>Summary!L40/1000000</f>
        <v>46.753740940000007</v>
      </c>
      <c r="J39" s="193">
        <f>Summary!L45/1000000</f>
        <v>9.5194855138937466</v>
      </c>
      <c r="K39" s="193">
        <f>Summary!L50/1000000</f>
        <v>2.0676105874618385</v>
      </c>
      <c r="L39" s="193">
        <f>Summary!L54/1000000</f>
        <v>51.266484907131471</v>
      </c>
      <c r="M39" s="272">
        <f t="shared" si="5"/>
        <v>1511.6081227106388</v>
      </c>
      <c r="N39" s="211"/>
    </row>
    <row r="40" spans="1:20" s="206" customFormat="1" ht="15" x14ac:dyDescent="0.25">
      <c r="A40" s="390" t="str">
        <f t="shared" si="4"/>
        <v xml:space="preserve">2012 Actual </v>
      </c>
      <c r="B40" s="391"/>
      <c r="C40" s="275"/>
      <c r="D40" s="193">
        <f>Summary!M17/1000000</f>
        <v>399.58757813183581</v>
      </c>
      <c r="E40" s="193">
        <f>Summary!M21/1000000</f>
        <v>158.5950343760052</v>
      </c>
      <c r="F40" s="193">
        <f>Summary!M25/1000000</f>
        <v>437.40127948903603</v>
      </c>
      <c r="G40" s="193">
        <f>Summary!M30/1000000</f>
        <v>226.22993917028836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2.015389596745051</v>
      </c>
      <c r="L40" s="193">
        <f>Summary!M54/1000000</f>
        <v>44.790760353888786</v>
      </c>
      <c r="M40" s="272">
        <f t="shared" si="5"/>
        <v>1524.9073127115225</v>
      </c>
      <c r="N40" s="211"/>
      <c r="O40"/>
      <c r="P40"/>
      <c r="Q40"/>
      <c r="R40"/>
      <c r="S40"/>
    </row>
    <row r="41" spans="1:20" s="206" customFormat="1" ht="15" x14ac:dyDescent="0.25">
      <c r="A41" s="392" t="str">
        <f t="shared" si="4"/>
        <v>2013 Bridge</v>
      </c>
      <c r="B41" s="393"/>
      <c r="C41" s="275"/>
      <c r="D41" s="201">
        <f>Summary!N17/1000000</f>
        <v>396.73530543328667</v>
      </c>
      <c r="E41" s="201">
        <f>Summary!N21/1000000</f>
        <v>155.76660232186913</v>
      </c>
      <c r="F41" s="201">
        <f>Summary!N25/1000000</f>
        <v>434.02424960020994</v>
      </c>
      <c r="G41" s="201">
        <f>Summary!N30/1000000</f>
        <v>223.64413533006586</v>
      </c>
      <c r="H41" s="201">
        <f>Summary!N35/1000000</f>
        <v>204.68969002683136</v>
      </c>
      <c r="I41" s="201">
        <f>Summary!N40/1000000</f>
        <v>45.803036247554296</v>
      </c>
      <c r="J41" s="201">
        <f>Summary!N45/1000000</f>
        <v>9.6471054435774608</v>
      </c>
      <c r="K41" s="201">
        <f>Summary!N50/1000000</f>
        <v>1.8816774198933208</v>
      </c>
      <c r="L41" s="201">
        <f>Summary!N54/1000000</f>
        <v>44.105573673745504</v>
      </c>
      <c r="M41" s="276">
        <f t="shared" si="5"/>
        <v>1516.2973754970335</v>
      </c>
      <c r="N41" s="213"/>
    </row>
    <row r="42" spans="1:20" s="206" customFormat="1" ht="15" x14ac:dyDescent="0.25">
      <c r="A42" s="394" t="str">
        <f t="shared" si="4"/>
        <v>2014 Test</v>
      </c>
      <c r="B42" s="395"/>
      <c r="C42" s="275"/>
      <c r="D42" s="277">
        <f>Summary!O17/1000000</f>
        <v>395.26405709320613</v>
      </c>
      <c r="E42" s="277">
        <f>Summary!O21/1000000</f>
        <v>153.51708359468054</v>
      </c>
      <c r="F42" s="277">
        <f>Summary!O25/1000000</f>
        <v>431.65753428491877</v>
      </c>
      <c r="G42" s="277">
        <f>Summary!O30/1000000</f>
        <v>221.33561080707443</v>
      </c>
      <c r="H42" s="277">
        <f>Summary!O35/1000000</f>
        <v>208.25697432055796</v>
      </c>
      <c r="I42" s="277">
        <f>Summary!O40/1000000</f>
        <v>46.157493587914743</v>
      </c>
      <c r="J42" s="277">
        <f>Summary!O45/1000000</f>
        <v>9.6493275931708187</v>
      </c>
      <c r="K42" s="277">
        <f>Summary!O50/1000000</f>
        <v>1.7568888018717372</v>
      </c>
      <c r="L42" s="277">
        <f>Summary!O54/1000000</f>
        <v>43.430868637203197</v>
      </c>
      <c r="M42" s="278">
        <f t="shared" si="5"/>
        <v>1511.0258387205984</v>
      </c>
      <c r="N42" s="213"/>
    </row>
    <row r="43" spans="1:20" x14ac:dyDescent="0.2">
      <c r="A43" s="396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211"/>
    </row>
    <row r="44" spans="1:20" ht="15" x14ac:dyDescent="0.2">
      <c r="A44" s="382" t="s">
        <v>179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211"/>
    </row>
    <row r="45" spans="1:20" x14ac:dyDescent="0.2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84"/>
      <c r="B47" s="384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7" t="s">
        <v>229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9"/>
    </row>
    <row r="64" spans="1:22" ht="60" x14ac:dyDescent="0.2">
      <c r="A64" s="385" t="s">
        <v>89</v>
      </c>
      <c r="B64" s="386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82" t="s">
        <v>180</v>
      </c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</row>
    <row r="66" spans="1:12" ht="15" x14ac:dyDescent="0.2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383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706685.75359590736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8639.3480086025338</v>
      </c>
      <c r="E77" s="196">
        <f t="shared" si="13"/>
        <v>35304.546677693681</v>
      </c>
      <c r="F77" s="196">
        <f t="shared" si="13"/>
        <v>624043.24213462556</v>
      </c>
      <c r="G77" s="196">
        <f t="shared" si="13"/>
        <v>7283120.2011315906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760.10515349541504</v>
      </c>
      <c r="K77" s="196">
        <f t="shared" si="13"/>
        <v>4288.4677558858666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8821.5143507970934</v>
      </c>
      <c r="E78" s="196">
        <f t="shared" si="13"/>
        <v>35508.230412391196</v>
      </c>
      <c r="F78" s="196">
        <f t="shared" si="13"/>
        <v>602420.55870491301</v>
      </c>
      <c r="G78" s="196">
        <f t="shared" si="13"/>
        <v>8496833.4022547808</v>
      </c>
      <c r="H78" s="196">
        <f t="shared" si="13"/>
        <v>98278640.311352804</v>
      </c>
      <c r="I78" s="196">
        <f t="shared" si="13"/>
        <v>43796746.469999999</v>
      </c>
      <c r="J78" s="196">
        <f t="shared" si="13"/>
        <v>757.9890848863397</v>
      </c>
      <c r="K78" s="196">
        <f t="shared" si="13"/>
        <v>3963.2407637355345</v>
      </c>
      <c r="L78" s="196">
        <f t="shared" si="13"/>
        <v>24905414.236567497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8662.131701650429</v>
      </c>
      <c r="E79" s="196">
        <f t="shared" si="13"/>
        <v>34198.524515304656</v>
      </c>
      <c r="F79" s="196">
        <f t="shared" si="13"/>
        <v>604228.10792279441</v>
      </c>
      <c r="G79" s="196">
        <f t="shared" si="13"/>
        <v>8598827.6741832234</v>
      </c>
      <c r="H79" s="196">
        <f t="shared" si="13"/>
        <v>84597900.095934883</v>
      </c>
      <c r="I79" s="196">
        <f t="shared" si="13"/>
        <v>46753740.940000005</v>
      </c>
      <c r="J79" s="196">
        <f t="shared" si="13"/>
        <v>754.10825158583168</v>
      </c>
      <c r="K79" s="196">
        <f t="shared" si="13"/>
        <v>4018.6794702854008</v>
      </c>
      <c r="L79" s="196">
        <f t="shared" si="13"/>
        <v>25633242.453565735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8633.477980961592</v>
      </c>
      <c r="E80" s="196">
        <f t="shared" si="13"/>
        <v>34025.967469642819</v>
      </c>
      <c r="F80" s="196">
        <f t="shared" si="13"/>
        <v>593891.75762258796</v>
      </c>
      <c r="G80" s="196">
        <f t="shared" si="13"/>
        <v>8378886.6359366057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4108.8472920388394</v>
      </c>
      <c r="L80" s="196">
        <f t="shared" si="13"/>
        <v>22395380.176944394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8409.2463822258233</v>
      </c>
      <c r="E81" s="204">
        <f t="shared" si="13"/>
        <v>33137.733717706928</v>
      </c>
      <c r="F81" s="204">
        <f t="shared" si="13"/>
        <v>575390.45009296644</v>
      </c>
      <c r="G81" s="204">
        <f t="shared" si="13"/>
        <v>8225365.9059761809</v>
      </c>
      <c r="H81" s="204">
        <f t="shared" si="13"/>
        <v>102344845.01341568</v>
      </c>
      <c r="I81" s="204">
        <f t="shared" si="13"/>
        <v>45803036.247554295</v>
      </c>
      <c r="J81" s="204">
        <f t="shared" si="13"/>
        <v>750.24838825831102</v>
      </c>
      <c r="K81" s="204">
        <f t="shared" si="13"/>
        <v>3868.785130695876</v>
      </c>
      <c r="L81" s="204">
        <f t="shared" si="13"/>
        <v>22052786.836872753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8219.1323038458177</v>
      </c>
      <c r="E82" s="204">
        <f t="shared" si="13"/>
        <v>32384.16682804883</v>
      </c>
      <c r="F82" s="204">
        <f t="shared" si="13"/>
        <v>558739.51444618171</v>
      </c>
      <c r="G82" s="204">
        <f t="shared" si="13"/>
        <v>8083705.4925566744</v>
      </c>
      <c r="H82" s="204">
        <f t="shared" si="13"/>
        <v>104128487.16027898</v>
      </c>
      <c r="I82" s="204">
        <f t="shared" si="13"/>
        <v>46157493.587914743</v>
      </c>
      <c r="J82" s="204">
        <f t="shared" si="13"/>
        <v>742.45225990064171</v>
      </c>
      <c r="K82" s="204">
        <f t="shared" si="13"/>
        <v>3642.8573040977899</v>
      </c>
      <c r="L82" s="204">
        <f t="shared" si="13"/>
        <v>21715434.318601597</v>
      </c>
    </row>
    <row r="83" spans="1:16" x14ac:dyDescent="0.2">
      <c r="A83" s="384"/>
      <c r="B83" s="384"/>
      <c r="C83" s="384"/>
      <c r="D83" s="384"/>
      <c r="E83" s="384"/>
      <c r="F83" s="384"/>
      <c r="G83" s="384"/>
      <c r="H83" s="384"/>
      <c r="I83" s="384"/>
      <c r="J83" s="384"/>
      <c r="K83" s="384"/>
      <c r="L83" s="384"/>
    </row>
    <row r="84" spans="1:16" ht="15" x14ac:dyDescent="0.2">
      <c r="A84" s="427" t="s">
        <v>90</v>
      </c>
      <c r="B84" s="427"/>
      <c r="C84" s="427"/>
      <c r="D84" s="427"/>
      <c r="E84" s="427"/>
      <c r="F84" s="427"/>
      <c r="G84" s="427"/>
      <c r="H84" s="427"/>
      <c r="I84" s="427"/>
      <c r="J84" s="427"/>
      <c r="K84" s="427"/>
      <c r="L84" s="427"/>
    </row>
    <row r="85" spans="1:16" ht="15" x14ac:dyDescent="0.2">
      <c r="A85" s="428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</row>
    <row r="86" spans="1:16" ht="30" customHeight="1" x14ac:dyDescent="0.2">
      <c r="A86" s="425" t="s">
        <v>181</v>
      </c>
      <c r="B86" s="426"/>
      <c r="C86" s="218"/>
      <c r="D86" s="195">
        <f>D67/D78-1</f>
        <v>-2.2785149387103076E-2</v>
      </c>
      <c r="E86" s="195">
        <f t="shared" ref="E86:L86" si="14">E67/E78-1</f>
        <v>3.3957971707406331E-2</v>
      </c>
      <c r="F86" s="195">
        <f t="shared" si="14"/>
        <v>0.13377042793694716</v>
      </c>
      <c r="G86" s="195">
        <f t="shared" si="14"/>
        <v>1.6686738580468541E-2</v>
      </c>
      <c r="H86" s="195">
        <f t="shared" si="14"/>
        <v>-0.18952327028888682</v>
      </c>
      <c r="I86" s="195"/>
      <c r="J86" s="195">
        <f t="shared" si="14"/>
        <v>-1.7541664297676784E-2</v>
      </c>
      <c r="K86" s="195">
        <f t="shared" si="14"/>
        <v>-7.6358558449398317E-2</v>
      </c>
      <c r="L86" s="195">
        <f t="shared" si="14"/>
        <v>6.9430114552907929E-2</v>
      </c>
    </row>
    <row r="87" spans="1:16" ht="15" x14ac:dyDescent="0.2">
      <c r="A87" s="428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-6.2129628853453078E-2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-8.0342977045412267E-3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-3.1238699344739329E-2</v>
      </c>
      <c r="E96" s="195">
        <f t="shared" si="18"/>
        <v>-7.7489664801184244E-2</v>
      </c>
      <c r="F96" s="195">
        <f t="shared" si="18"/>
        <v>-7.0192112580358068E-2</v>
      </c>
      <c r="G96" s="195">
        <f t="shared" si="18"/>
        <v>-7.3913054193746941E-2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-5.2714863440224136E-3</v>
      </c>
      <c r="K96" s="195">
        <f t="shared" si="18"/>
        <v>-7.2152328143077815E-2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2.1085658548905428E-2</v>
      </c>
      <c r="E97" s="195">
        <f t="shared" si="18"/>
        <v>5.7693343737565961E-3</v>
      </c>
      <c r="F97" s="195">
        <f t="shared" si="18"/>
        <v>-3.4649335125798597E-2</v>
      </c>
      <c r="G97" s="195">
        <f t="shared" si="18"/>
        <v>0.16664742138055244</v>
      </c>
      <c r="H97" s="195">
        <f t="shared" si="18"/>
        <v>8.788068839053742E-2</v>
      </c>
      <c r="I97" s="195">
        <f t="shared" si="18"/>
        <v>1.3654546436074888E-2</v>
      </c>
      <c r="J97" s="195">
        <f t="shared" si="18"/>
        <v>-2.7839156192329684E-3</v>
      </c>
      <c r="K97" s="195">
        <f t="shared" si="18"/>
        <v>-7.583757431869742E-2</v>
      </c>
      <c r="L97" s="195">
        <f t="shared" si="18"/>
        <v>-8.2209298678125431E-2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-1.8067493041289739E-2</v>
      </c>
      <c r="E98" s="195">
        <f t="shared" si="18"/>
        <v>-3.6884572446322039E-2</v>
      </c>
      <c r="F98" s="195">
        <f t="shared" si="18"/>
        <v>3.0004773106802052E-3</v>
      </c>
      <c r="G98" s="195">
        <f t="shared" si="18"/>
        <v>1.2003798015078893E-2</v>
      </c>
      <c r="H98" s="195">
        <f t="shared" si="18"/>
        <v>-0.13920359675384697</v>
      </c>
      <c r="I98" s="195">
        <f t="shared" si="18"/>
        <v>6.7516304482240441E-2</v>
      </c>
      <c r="J98" s="195">
        <f t="shared" si="18"/>
        <v>-5.1199065763459783E-3</v>
      </c>
      <c r="K98" s="195">
        <f t="shared" si="18"/>
        <v>1.3988225761387474E-2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-3.3079294653737268E-3</v>
      </c>
      <c r="E99" s="195">
        <f t="shared" si="18"/>
        <v>-5.0457453386508755E-3</v>
      </c>
      <c r="F99" s="195">
        <f t="shared" si="18"/>
        <v>-1.7106702195203383E-2</v>
      </c>
      <c r="G99" s="195">
        <f t="shared" si="18"/>
        <v>-2.5578026049639324E-2</v>
      </c>
      <c r="H99" s="195">
        <f t="shared" si="18"/>
        <v>0.18909278471657709</v>
      </c>
      <c r="I99" s="195">
        <f t="shared" si="18"/>
        <v>-2.7828484391649311E-2</v>
      </c>
      <c r="J99" s="195">
        <f t="shared" si="18"/>
        <v>5.3582731702848108E-3</v>
      </c>
      <c r="K99" s="195">
        <f t="shared" si="18"/>
        <v>2.2437176794056546E-2</v>
      </c>
      <c r="L99" s="195">
        <f t="shared" si="18"/>
        <v>-0.12631497097905908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-2.5972336899479087E-2</v>
      </c>
      <c r="E100" s="203">
        <f t="shared" si="18"/>
        <v>-2.6104584762456917E-2</v>
      </c>
      <c r="F100" s="203">
        <f t="shared" si="18"/>
        <v>-3.115265920457333E-2</v>
      </c>
      <c r="G100" s="203">
        <f t="shared" si="18"/>
        <v>-1.8322330475505244E-2</v>
      </c>
      <c r="H100" s="203">
        <f t="shared" si="18"/>
        <v>1.7397452270854652E-2</v>
      </c>
      <c r="I100" s="203">
        <f t="shared" si="18"/>
        <v>7.7087038389647144E-3</v>
      </c>
      <c r="J100" s="203">
        <f t="shared" si="18"/>
        <v>-1.0420882512937601E-2</v>
      </c>
      <c r="K100" s="203">
        <f t="shared" si="18"/>
        <v>-5.8425671308860672E-2</v>
      </c>
      <c r="L100" s="203">
        <f t="shared" si="18"/>
        <v>-1.529750052755674E-2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-2.2607742684509713E-2</v>
      </c>
      <c r="E101" s="203">
        <f t="shared" si="18"/>
        <v>-2.2740447372701089E-2</v>
      </c>
      <c r="F101" s="203">
        <f t="shared" si="18"/>
        <v>-2.8938498447609651E-2</v>
      </c>
      <c r="G101" s="203">
        <f t="shared" si="18"/>
        <v>-1.7222384394666501E-2</v>
      </c>
      <c r="H101" s="203">
        <f t="shared" si="18"/>
        <v>1.7427767335320921E-2</v>
      </c>
      <c r="I101" s="203">
        <f t="shared" si="18"/>
        <v>7.7387302109119815E-3</v>
      </c>
      <c r="J101" s="203">
        <f t="shared" si="18"/>
        <v>-1.0391396342440573E-2</v>
      </c>
      <c r="K101" s="203">
        <f t="shared" si="18"/>
        <v>-5.8397615521606494E-2</v>
      </c>
      <c r="L101" s="203">
        <f t="shared" si="18"/>
        <v>-1.5297500527556629E-2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400" t="s">
        <v>237</v>
      </c>
      <c r="E105" s="401"/>
      <c r="F105" s="401"/>
      <c r="G105" s="401"/>
      <c r="H105" s="402"/>
      <c r="J105" s="197"/>
    </row>
    <row r="106" spans="1:12" x14ac:dyDescent="0.2">
      <c r="D106" s="403" t="s">
        <v>235</v>
      </c>
      <c r="E106" s="403"/>
      <c r="F106" s="403"/>
      <c r="G106" s="403"/>
      <c r="H106" s="403"/>
      <c r="J106" s="197"/>
    </row>
    <row r="107" spans="1:12" x14ac:dyDescent="0.2">
      <c r="D107" s="404">
        <f>'CDM Activity'!P2</f>
        <v>73660000</v>
      </c>
      <c r="E107" s="404"/>
      <c r="F107" s="404"/>
      <c r="G107" s="404"/>
      <c r="H107" s="404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hidden="1" x14ac:dyDescent="0.2">
      <c r="D109" s="227">
        <f>'CDM Activity'!P7</f>
        <v>0</v>
      </c>
      <c r="E109" s="228">
        <f>'CDM Activity'!Q7</f>
        <v>5.0510147427918595E-2</v>
      </c>
      <c r="F109" s="228">
        <f>E109</f>
        <v>5.0510147427918595E-2</v>
      </c>
      <c r="G109" s="228">
        <f>F109</f>
        <v>5.0510147427918595E-2</v>
      </c>
      <c r="H109" s="228">
        <f>SUM(D109:G109)</f>
        <v>0.15153044228375578</v>
      </c>
      <c r="J109" s="197"/>
    </row>
    <row r="110" spans="1:12" x14ac:dyDescent="0.2">
      <c r="D110" s="403" t="s">
        <v>234</v>
      </c>
      <c r="E110" s="403"/>
      <c r="F110" s="403"/>
      <c r="G110" s="403"/>
      <c r="H110" s="403"/>
      <c r="J110" s="197"/>
    </row>
    <row r="111" spans="1:12" x14ac:dyDescent="0.2">
      <c r="D111" s="229">
        <f>'CDM Activity'!P12</f>
        <v>12883911.853193799</v>
      </c>
      <c r="E111" s="295">
        <f>'CDM Activity'!Q12</f>
        <v>12844986.0181938</v>
      </c>
      <c r="F111" s="295">
        <f>'CDM Activity'!R12</f>
        <v>12842707.5986178</v>
      </c>
      <c r="G111" s="295">
        <f>'CDM Activity'!S12</f>
        <v>12764929.7727517</v>
      </c>
      <c r="H111" s="229">
        <f>SUM(D111:G111)</f>
        <v>51336535.242757097</v>
      </c>
    </row>
    <row r="112" spans="1:12" x14ac:dyDescent="0.2">
      <c r="D112" s="403" t="s">
        <v>236</v>
      </c>
      <c r="E112" s="403"/>
      <c r="F112" s="403"/>
      <c r="G112" s="403"/>
      <c r="H112" s="403"/>
    </row>
    <row r="113" spans="1:15" x14ac:dyDescent="0.2">
      <c r="D113" s="295">
        <f>'CDM Activity'!P13</f>
        <v>0</v>
      </c>
      <c r="E113" s="295">
        <f>'CDM Activity'!Q13</f>
        <v>3720577.4595404835</v>
      </c>
      <c r="F113" s="295">
        <f>'CDM Activity'!R13</f>
        <v>3720577.4595404835</v>
      </c>
      <c r="G113" s="295">
        <f>'CDM Activity'!S13</f>
        <v>3720577.4595404835</v>
      </c>
      <c r="H113" s="295">
        <f>SUM(D113:G113)</f>
        <v>11161732.378621452</v>
      </c>
    </row>
    <row r="114" spans="1:15" x14ac:dyDescent="0.2">
      <c r="D114" s="404" t="s">
        <v>182</v>
      </c>
      <c r="E114" s="404"/>
      <c r="F114" s="404"/>
      <c r="G114" s="404"/>
      <c r="H114" s="405"/>
    </row>
    <row r="115" spans="1:15" x14ac:dyDescent="0.2">
      <c r="D115" s="303">
        <v>2006</v>
      </c>
      <c r="E115" s="303">
        <v>2007</v>
      </c>
      <c r="F115" s="303">
        <v>2008</v>
      </c>
      <c r="G115" s="304">
        <v>2009</v>
      </c>
      <c r="H115" s="305"/>
    </row>
    <row r="116" spans="1:15" x14ac:dyDescent="0.2">
      <c r="D116" s="229">
        <f>'CDM Activity'!C3</f>
        <v>3653791.7195841358</v>
      </c>
      <c r="E116" s="229">
        <f>'CDM Activity'!C4</f>
        <v>6210683.4403872015</v>
      </c>
      <c r="F116" s="229">
        <f>'CDM Activity'!C5</f>
        <v>8702391.973049026</v>
      </c>
      <c r="G116" s="302">
        <f>'CDM Activity'!C6</f>
        <v>14593270.086206168</v>
      </c>
      <c r="H116" s="306"/>
      <c r="J116" s="215">
        <f>D116</f>
        <v>3653791.7195841358</v>
      </c>
      <c r="M116" s="215">
        <f>SUM(J116:L116)</f>
        <v>3653791.7195841358</v>
      </c>
      <c r="N116" s="215">
        <f>'CDM Activity'!F3</f>
        <v>3653791.7195841358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303">
        <v>2014</v>
      </c>
      <c r="J117" s="215">
        <f>E116</f>
        <v>6210683.4403872015</v>
      </c>
      <c r="M117" s="215">
        <f t="shared" ref="M117:M124" si="19">SUM(J117:L117)</f>
        <v>6210683.4403872015</v>
      </c>
      <c r="N117" s="215">
        <f>'CDM Activity'!F4</f>
        <v>6210683.4403872015</v>
      </c>
      <c r="O117" s="215">
        <f t="shared" ref="O117:O124" si="20">M117-N117</f>
        <v>0</v>
      </c>
    </row>
    <row r="118" spans="1:15" x14ac:dyDescent="0.2">
      <c r="D118" s="229">
        <f>'CDM Activity'!C7</f>
        <v>21799853.131231893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5">
        <f>'CDM Activity'!C11</f>
        <v>19030184.128223255</v>
      </c>
      <c r="J118" s="215">
        <f>F116</f>
        <v>8702391.973049026</v>
      </c>
      <c r="M118" s="215">
        <f t="shared" si="19"/>
        <v>8702391.973049026</v>
      </c>
      <c r="N118" s="215">
        <f>'CDM Activity'!F5</f>
        <v>8702391.973049026</v>
      </c>
      <c r="O118" s="215">
        <f t="shared" si="20"/>
        <v>0</v>
      </c>
    </row>
    <row r="119" spans="1:15" x14ac:dyDescent="0.2">
      <c r="J119" s="215">
        <f>G116</f>
        <v>14593270.086206168</v>
      </c>
      <c r="M119" s="215">
        <f t="shared" si="19"/>
        <v>14593270.086206168</v>
      </c>
      <c r="N119" s="215">
        <f>'CDM Activity'!F6</f>
        <v>14593270.086206168</v>
      </c>
      <c r="O119" s="215">
        <f t="shared" si="20"/>
        <v>0</v>
      </c>
    </row>
    <row r="120" spans="1:15" ht="15" x14ac:dyDescent="0.2">
      <c r="A120" s="379" t="s">
        <v>238</v>
      </c>
      <c r="B120" s="380"/>
      <c r="C120" s="380"/>
      <c r="D120" s="381"/>
      <c r="J120" s="215">
        <f>D118</f>
        <v>21799853.131231893</v>
      </c>
      <c r="M120" s="215">
        <f t="shared" si="19"/>
        <v>21799853.131231893</v>
      </c>
      <c r="N120" s="215">
        <f>'CDM Activity'!F7</f>
        <v>21799853.131231893</v>
      </c>
      <c r="O120" s="215">
        <f t="shared" si="20"/>
        <v>0</v>
      </c>
    </row>
    <row r="121" spans="1:15" ht="15" x14ac:dyDescent="0.2">
      <c r="A121" s="398" t="s">
        <v>183</v>
      </c>
      <c r="B121" s="398"/>
      <c r="C121" s="331"/>
      <c r="D121" s="267" t="s">
        <v>101</v>
      </c>
      <c r="J121" s="215">
        <f>E118</f>
        <v>19795632.977069873</v>
      </c>
      <c r="K121" s="215">
        <f>D111</f>
        <v>12883911.853193799</v>
      </c>
      <c r="M121" s="215">
        <f t="shared" si="19"/>
        <v>32679544.830263674</v>
      </c>
      <c r="N121" s="215">
        <f>'CDM Activity'!F8</f>
        <v>32679544.830263674</v>
      </c>
      <c r="O121" s="215">
        <f t="shared" si="20"/>
        <v>0</v>
      </c>
    </row>
    <row r="122" spans="1:15" x14ac:dyDescent="0.2">
      <c r="A122" s="399" t="s">
        <v>31</v>
      </c>
      <c r="B122" s="399"/>
      <c r="C122" s="296"/>
      <c r="D122" s="314">
        <f>'Purchased Power Model'!U6</f>
        <v>0.92953851335452842</v>
      </c>
      <c r="J122" s="215">
        <f>F118</f>
        <v>19505272.310954027</v>
      </c>
      <c r="K122" s="215">
        <f>E111</f>
        <v>12844986.0181938</v>
      </c>
      <c r="L122" s="215">
        <f>E113</f>
        <v>3720577.4595404835</v>
      </c>
      <c r="M122" s="215">
        <f t="shared" si="19"/>
        <v>36070835.788688309</v>
      </c>
      <c r="N122" s="215">
        <f>'CDM Activity'!F9</f>
        <v>36070835.788688309</v>
      </c>
      <c r="O122" s="215">
        <f t="shared" si="20"/>
        <v>0</v>
      </c>
    </row>
    <row r="123" spans="1:15" x14ac:dyDescent="0.2">
      <c r="A123" s="296" t="s">
        <v>32</v>
      </c>
      <c r="B123" s="296"/>
      <c r="C123" s="296"/>
      <c r="D123" s="314">
        <f>'Purchased Power Model'!U7</f>
        <v>0.92664778569727835</v>
      </c>
      <c r="J123" s="215">
        <f>G118</f>
        <v>19444649.840082143</v>
      </c>
      <c r="K123" s="215">
        <f>F111</f>
        <v>12842707.5986178</v>
      </c>
      <c r="L123" s="215">
        <f>F113</f>
        <v>3720577.4595404835</v>
      </c>
      <c r="M123" s="215">
        <f t="shared" si="19"/>
        <v>36007934.898240425</v>
      </c>
      <c r="N123" s="215">
        <f>'CDM Activity'!F10</f>
        <v>36007934.898240425</v>
      </c>
      <c r="O123" s="215">
        <f t="shared" si="20"/>
        <v>0</v>
      </c>
    </row>
    <row r="124" spans="1:15" x14ac:dyDescent="0.2">
      <c r="A124" s="399" t="s">
        <v>184</v>
      </c>
      <c r="B124" s="399"/>
      <c r="C124" s="296"/>
      <c r="D124" s="230">
        <f>'Purchased Power Model'!X13</f>
        <v>321.55866050653077</v>
      </c>
      <c r="J124" s="215">
        <f>H118</f>
        <v>19030184.128223255</v>
      </c>
      <c r="K124" s="215">
        <f>G111</f>
        <v>12764929.7727517</v>
      </c>
      <c r="L124" s="215">
        <f>G113</f>
        <v>3720577.4595404835</v>
      </c>
      <c r="M124" s="215">
        <f t="shared" si="19"/>
        <v>35515691.360515438</v>
      </c>
      <c r="N124" s="215">
        <f>'CDM Activity'!F11</f>
        <v>35515691.360515438</v>
      </c>
      <c r="O124" s="215">
        <f t="shared" si="20"/>
        <v>0</v>
      </c>
    </row>
    <row r="125" spans="1:15" x14ac:dyDescent="0.2">
      <c r="A125" s="399" t="s">
        <v>240</v>
      </c>
      <c r="B125" s="399"/>
      <c r="C125" s="296"/>
      <c r="D125" s="314">
        <f>'Purchased Power Model'!Q251</f>
        <v>1.2782793180572382E-2</v>
      </c>
      <c r="J125" s="215"/>
      <c r="K125" s="215"/>
      <c r="L125" s="215"/>
      <c r="M125" s="215">
        <f>SUM(M116:M124)</f>
        <v>195233997.22816628</v>
      </c>
      <c r="N125" s="215"/>
      <c r="O125" s="215"/>
    </row>
    <row r="126" spans="1:15" x14ac:dyDescent="0.2">
      <c r="A126" s="399" t="s">
        <v>239</v>
      </c>
      <c r="B126" s="399"/>
      <c r="C126" s="296"/>
      <c r="D126" s="314">
        <f>'Purchased Power Model'!Q207</f>
        <v>2.2606843066446843E-2</v>
      </c>
      <c r="J126" s="215"/>
      <c r="K126" s="215"/>
      <c r="L126" s="215"/>
      <c r="N126" s="215"/>
      <c r="O126" s="215"/>
    </row>
    <row r="127" spans="1:15" x14ac:dyDescent="0.2">
      <c r="A127" s="296" t="s">
        <v>185</v>
      </c>
      <c r="B127" s="296"/>
      <c r="C127" s="296"/>
      <c r="D127" s="230"/>
      <c r="J127" s="190"/>
    </row>
    <row r="128" spans="1:15" x14ac:dyDescent="0.2">
      <c r="A128" s="407" t="str">
        <f>'Purchased Power Model'!T19</f>
        <v>Heating Degree Days</v>
      </c>
      <c r="B128" s="408"/>
      <c r="C128" s="296"/>
      <c r="D128" s="231">
        <f>'Purchased Power Model'!W19</f>
        <v>13.793564300549269</v>
      </c>
      <c r="J128" s="190"/>
    </row>
    <row r="129" spans="1:10" ht="14.25" customHeight="1" x14ac:dyDescent="0.2">
      <c r="A129" s="407" t="str">
        <f>'Purchased Power Model'!T20</f>
        <v>Cooling Degree Days</v>
      </c>
      <c r="B129" s="408"/>
      <c r="C129" s="296"/>
      <c r="D129" s="231">
        <f>'Purchased Power Model'!W20</f>
        <v>12.532218015093523</v>
      </c>
      <c r="J129" s="190"/>
    </row>
    <row r="130" spans="1:10" ht="14.25" customHeight="1" x14ac:dyDescent="0.2">
      <c r="A130" s="407" t="str">
        <f>'Purchased Power Model'!T21</f>
        <v>Number of Days in Month</v>
      </c>
      <c r="B130" s="408"/>
      <c r="C130" s="296"/>
      <c r="D130" s="231">
        <f>'Purchased Power Model'!W21</f>
        <v>4.3538839972977277</v>
      </c>
      <c r="J130" s="190"/>
    </row>
    <row r="131" spans="1:10" ht="14.25" customHeight="1" x14ac:dyDescent="0.2">
      <c r="A131" s="407" t="str">
        <f>'Purchased Power Model'!T22</f>
        <v>Spring Fall Flag</v>
      </c>
      <c r="B131" s="408"/>
      <c r="C131" s="296"/>
      <c r="D131" s="231">
        <f>'Purchased Power Model'!W22</f>
        <v>-2.0631309915891913</v>
      </c>
      <c r="J131" s="190"/>
    </row>
    <row r="132" spans="1:10" ht="14.25" customHeight="1" x14ac:dyDescent="0.2">
      <c r="A132" s="407" t="str">
        <f>'Purchased Power Model'!T23</f>
        <v>Number of Peak Hours</v>
      </c>
      <c r="B132" s="408"/>
      <c r="C132" s="296"/>
      <c r="D132" s="231">
        <f>'Purchased Power Model'!W23</f>
        <v>6.3629591523685756</v>
      </c>
    </row>
    <row r="133" spans="1:10" ht="27" customHeight="1" x14ac:dyDescent="0.2">
      <c r="A133" s="407" t="str">
        <f>'Purchased Power Model'!T24</f>
        <v xml:space="preserve">Employment Kitchener-Waterloo-Barrie </v>
      </c>
      <c r="B133" s="408"/>
      <c r="C133" s="296"/>
      <c r="D133" s="231">
        <f>'Purchased Power Model'!W24</f>
        <v>41.765164284973096</v>
      </c>
    </row>
    <row r="134" spans="1:10" ht="14.25" customHeight="1" x14ac:dyDescent="0.2">
      <c r="A134" s="407" t="str">
        <f>'Purchased Power Model'!T25</f>
        <v xml:space="preserve">CDM Activity </v>
      </c>
      <c r="B134" s="408"/>
      <c r="C134" s="296"/>
      <c r="D134" s="231">
        <f>'Purchased Power Model'!W25</f>
        <v>-9.6797954538836102</v>
      </c>
    </row>
    <row r="135" spans="1:10" ht="30" customHeight="1" x14ac:dyDescent="0.2">
      <c r="A135" s="407" t="str">
        <f>'Purchased Power Model'!T26</f>
        <v>Unemployment Kitchener-Waterloo-Barrie</v>
      </c>
      <c r="B135" s="408"/>
      <c r="C135" s="296"/>
      <c r="D135" s="231">
        <f>'Purchased Power Model'!W26</f>
        <v>-6.6605469060259903</v>
      </c>
    </row>
    <row r="136" spans="1:10" ht="14.25" customHeight="1" x14ac:dyDescent="0.2">
      <c r="A136" s="406" t="str">
        <f>'Purchased Power Model'!T18</f>
        <v>Intercept</v>
      </c>
      <c r="B136" s="406"/>
      <c r="C136" s="296"/>
      <c r="D136" s="231">
        <f>'Purchased Power Model'!W18</f>
        <v>-7.8645208955975816</v>
      </c>
    </row>
    <row r="138" spans="1:10" x14ac:dyDescent="0.2">
      <c r="A138" s="310"/>
      <c r="B138" s="259"/>
      <c r="C138" s="259"/>
      <c r="D138" s="311"/>
    </row>
    <row r="139" spans="1:10" x14ac:dyDescent="0.2">
      <c r="A139" s="310"/>
      <c r="B139" s="259"/>
      <c r="C139" s="259"/>
      <c r="D139" s="311"/>
    </row>
    <row r="140" spans="1:10" x14ac:dyDescent="0.2">
      <c r="J140" s="208"/>
    </row>
    <row r="141" spans="1:10" ht="15" x14ac:dyDescent="0.2">
      <c r="A141" s="379" t="s">
        <v>241</v>
      </c>
      <c r="B141" s="380"/>
      <c r="C141" s="380"/>
      <c r="D141" s="380"/>
      <c r="E141" s="380"/>
      <c r="F141" s="381"/>
      <c r="J141" s="197"/>
    </row>
    <row r="142" spans="1:10" ht="30" x14ac:dyDescent="0.2">
      <c r="A142" s="376" t="s">
        <v>89</v>
      </c>
      <c r="B142" s="377"/>
      <c r="C142" s="269"/>
      <c r="D142" s="267" t="s">
        <v>186</v>
      </c>
      <c r="E142" s="267" t="s">
        <v>187</v>
      </c>
      <c r="F142" s="267" t="s">
        <v>11</v>
      </c>
      <c r="J142" s="197"/>
    </row>
    <row r="143" spans="1:10" ht="15" x14ac:dyDescent="0.2">
      <c r="A143" s="371" t="s">
        <v>188</v>
      </c>
      <c r="B143" s="372"/>
      <c r="C143" s="372"/>
      <c r="D143" s="372"/>
      <c r="E143" s="372"/>
      <c r="F143" s="373"/>
      <c r="J143" s="197"/>
    </row>
    <row r="144" spans="1:10" ht="15" x14ac:dyDescent="0.2">
      <c r="A144" s="409">
        <v>1996</v>
      </c>
      <c r="B144" s="410"/>
      <c r="C144" s="291"/>
      <c r="D144" s="193">
        <f>'Purchased Power Model'!B234/1000000</f>
        <v>1126.778593</v>
      </c>
      <c r="E144" s="193">
        <f>'Purchased Power Model'!N234/1000000</f>
        <v>1161.6864092337323</v>
      </c>
      <c r="F144" s="232">
        <f t="shared" ref="F144:F159" si="21">E144/D144-1</f>
        <v>3.0980191184491579E-2</v>
      </c>
      <c r="H144" s="232">
        <f>'Purchased Power Model'!P234</f>
        <v>3.0980191184491402E-2</v>
      </c>
      <c r="J144" s="197"/>
    </row>
    <row r="145" spans="1:10" ht="15" x14ac:dyDescent="0.2">
      <c r="A145" s="409">
        <v>1997</v>
      </c>
      <c r="B145" s="410"/>
      <c r="C145" s="291"/>
      <c r="D145" s="193">
        <f>'Purchased Power Model'!B235/1000000</f>
        <v>1202.822244</v>
      </c>
      <c r="E145" s="193">
        <f>'Purchased Power Model'!N235/1000000</f>
        <v>1200.4843521881585</v>
      </c>
      <c r="F145" s="232">
        <f t="shared" si="21"/>
        <v>-1.943671912872813E-3</v>
      </c>
      <c r="H145" s="232">
        <f>'Purchased Power Model'!P235</f>
        <v>-1.9436719128728449E-3</v>
      </c>
      <c r="J145" s="197"/>
    </row>
    <row r="146" spans="1:10" ht="15" x14ac:dyDescent="0.2">
      <c r="A146" s="409">
        <v>1998</v>
      </c>
      <c r="B146" s="410"/>
      <c r="C146" s="291"/>
      <c r="D146" s="193">
        <f>'Purchased Power Model'!B236/1000000</f>
        <v>1272.5511570000001</v>
      </c>
      <c r="E146" s="193">
        <f>'Purchased Power Model'!N236/1000000</f>
        <v>1274.0395523470397</v>
      </c>
      <c r="F146" s="232">
        <f t="shared" si="21"/>
        <v>1.1696153344031845E-3</v>
      </c>
      <c r="H146" s="232">
        <f>'Purchased Power Model'!P236</f>
        <v>1.1696153344031728E-3</v>
      </c>
      <c r="J146" s="197"/>
    </row>
    <row r="147" spans="1:10" ht="15" x14ac:dyDescent="0.2">
      <c r="A147" s="409">
        <v>1999</v>
      </c>
      <c r="B147" s="410"/>
      <c r="C147" s="291"/>
      <c r="D147" s="193">
        <f>'Purchased Power Model'!B237/1000000</f>
        <v>1350.8153901000001</v>
      </c>
      <c r="E147" s="193">
        <f>'Purchased Power Model'!N237/1000000</f>
        <v>1376.2098880144531</v>
      </c>
      <c r="F147" s="232">
        <f t="shared" si="21"/>
        <v>1.8799384505511885E-2</v>
      </c>
      <c r="H147" s="232">
        <f>'Purchased Power Model'!P237</f>
        <v>1.8799384505511954E-2</v>
      </c>
      <c r="J147" s="197"/>
    </row>
    <row r="148" spans="1:10" ht="15" x14ac:dyDescent="0.2">
      <c r="A148" s="409">
        <v>2000</v>
      </c>
      <c r="B148" s="410"/>
      <c r="C148" s="291"/>
      <c r="D148" s="193">
        <f>'Purchased Power Model'!B238/1000000</f>
        <v>1392.1735917999999</v>
      </c>
      <c r="E148" s="193">
        <f>'Purchased Power Model'!N238/1000000</f>
        <v>1379.3793078130036</v>
      </c>
      <c r="F148" s="232">
        <f t="shared" si="21"/>
        <v>-9.190149893918087E-3</v>
      </c>
      <c r="H148" s="232">
        <f>'Purchased Power Model'!P238</f>
        <v>-9.1901498939181443E-3</v>
      </c>
      <c r="J148" s="197"/>
    </row>
    <row r="149" spans="1:10" ht="15" x14ac:dyDescent="0.2">
      <c r="A149" s="409">
        <v>2001</v>
      </c>
      <c r="B149" s="410"/>
      <c r="C149" s="291"/>
      <c r="D149" s="193">
        <f>'Purchased Power Model'!B239/1000000</f>
        <v>1420.9777300000001</v>
      </c>
      <c r="E149" s="193">
        <f>'Purchased Power Model'!N239/1000000</f>
        <v>1415.3982318241624</v>
      </c>
      <c r="F149" s="232">
        <f t="shared" si="21"/>
        <v>-3.9265204922230845E-3</v>
      </c>
      <c r="H149" s="232">
        <f>'Purchased Power Model'!P239</f>
        <v>-3.9265204922229969E-3</v>
      </c>
      <c r="J149" s="197"/>
    </row>
    <row r="150" spans="1:10" ht="15" x14ac:dyDescent="0.2">
      <c r="A150" s="409">
        <v>2002</v>
      </c>
      <c r="B150" s="410"/>
      <c r="C150" s="291"/>
      <c r="D150" s="193">
        <f>'Purchased Power Model'!B240/1000000</f>
        <v>1519.1447559999999</v>
      </c>
      <c r="E150" s="193">
        <f>'Purchased Power Model'!N240/1000000</f>
        <v>1472.1697277710734</v>
      </c>
      <c r="F150" s="232">
        <f t="shared" si="21"/>
        <v>-3.0922022436238761E-2</v>
      </c>
      <c r="H150" s="232">
        <f>'Purchased Power Model'!P240</f>
        <v>-3.0922022436238893E-2</v>
      </c>
      <c r="J150" s="197"/>
    </row>
    <row r="151" spans="1:10" x14ac:dyDescent="0.2">
      <c r="A151" s="409">
        <v>2003</v>
      </c>
      <c r="B151" s="410"/>
      <c r="C151" s="192"/>
      <c r="D151" s="193">
        <f>'Purchased Power Model'!B241/1000000</f>
        <v>1523.7175299999999</v>
      </c>
      <c r="E151" s="193">
        <f>'Purchased Power Model'!N241/1000000</f>
        <v>1503.5452642280295</v>
      </c>
      <c r="F151" s="232">
        <f t="shared" si="21"/>
        <v>-1.3238848654560265E-2</v>
      </c>
      <c r="G151" s="190"/>
      <c r="H151" s="232">
        <f>'Purchased Power Model'!P241</f>
        <v>-1.3238848654560344E-2</v>
      </c>
      <c r="J151" s="197"/>
    </row>
    <row r="152" spans="1:10" x14ac:dyDescent="0.2">
      <c r="A152" s="409">
        <v>2004</v>
      </c>
      <c r="B152" s="410"/>
      <c r="C152" s="192"/>
      <c r="D152" s="193">
        <f>'Purchased Power Model'!B242/1000000</f>
        <v>1570.4059299999999</v>
      </c>
      <c r="E152" s="193">
        <f>'Purchased Power Model'!N242/1000000</f>
        <v>1540.9962251877705</v>
      </c>
      <c r="F152" s="232">
        <f t="shared" si="21"/>
        <v>-1.8727453997979593E-2</v>
      </c>
      <c r="G152" s="190"/>
      <c r="H152" s="232">
        <f>'Purchased Power Model'!P242</f>
        <v>-1.8727453997979614E-2</v>
      </c>
      <c r="J152" s="197"/>
    </row>
    <row r="153" spans="1:10" x14ac:dyDescent="0.2">
      <c r="A153" s="409">
        <v>2005</v>
      </c>
      <c r="B153" s="410"/>
      <c r="C153" s="192"/>
      <c r="D153" s="193">
        <f>'Purchased Power Model'!B243/1000000</f>
        <v>1640.988662</v>
      </c>
      <c r="E153" s="193">
        <f>'Purchased Power Model'!N243/1000000</f>
        <v>1632.8619238141684</v>
      </c>
      <c r="F153" s="232">
        <f t="shared" si="21"/>
        <v>-4.952342678545274E-3</v>
      </c>
      <c r="G153" s="190"/>
      <c r="H153" s="232">
        <f>'Purchased Power Model'!P243</f>
        <v>-4.9523426785452991E-3</v>
      </c>
      <c r="J153" s="197"/>
    </row>
    <row r="154" spans="1:10" x14ac:dyDescent="0.2">
      <c r="A154" s="409">
        <v>2006</v>
      </c>
      <c r="B154" s="410"/>
      <c r="C154" s="192"/>
      <c r="D154" s="193">
        <f>'Purchased Power Model'!B244/1000000</f>
        <v>1599.360044</v>
      </c>
      <c r="E154" s="193">
        <f>'Purchased Power Model'!N244/1000000</f>
        <v>1630.5521378152494</v>
      </c>
      <c r="F154" s="232">
        <f t="shared" si="21"/>
        <v>1.9502859241898873E-2</v>
      </c>
      <c r="G154" s="190"/>
      <c r="H154" s="232">
        <f>'Purchased Power Model'!P244</f>
        <v>1.9502859241899033E-2</v>
      </c>
      <c r="J154" s="197"/>
    </row>
    <row r="155" spans="1:10" x14ac:dyDescent="0.2">
      <c r="A155" s="409">
        <v>2007</v>
      </c>
      <c r="B155" s="410"/>
      <c r="C155" s="192"/>
      <c r="D155" s="193">
        <f>'Purchased Power Model'!B245/1000000</f>
        <v>1609.193923</v>
      </c>
      <c r="E155" s="193">
        <f>'Purchased Power Model'!N245/1000000</f>
        <v>1623.4091476340034</v>
      </c>
      <c r="F155" s="232">
        <f t="shared" si="21"/>
        <v>8.8337548575265767E-3</v>
      </c>
      <c r="G155" s="190"/>
      <c r="H155" s="232">
        <f>'Purchased Power Model'!P245</f>
        <v>8.833754857526516E-3</v>
      </c>
      <c r="J155" s="197"/>
    </row>
    <row r="156" spans="1:10" x14ac:dyDescent="0.2">
      <c r="A156" s="409">
        <v>2008</v>
      </c>
      <c r="B156" s="410"/>
      <c r="C156" s="192"/>
      <c r="D156" s="193">
        <f>'Purchased Power Model'!B246/1000000</f>
        <v>1557.5232289999999</v>
      </c>
      <c r="E156" s="193">
        <f>'Purchased Power Model'!N246/1000000</f>
        <v>1602.1092006277265</v>
      </c>
      <c r="F156" s="232">
        <f t="shared" si="21"/>
        <v>2.8626200108972322E-2</v>
      </c>
      <c r="G156" s="190"/>
      <c r="H156" s="232">
        <f>'Purchased Power Model'!P246</f>
        <v>2.8626200108972214E-2</v>
      </c>
      <c r="J156" s="197"/>
    </row>
    <row r="157" spans="1:10" x14ac:dyDescent="0.2">
      <c r="A157" s="409">
        <v>2009</v>
      </c>
      <c r="B157" s="410"/>
      <c r="C157" s="192"/>
      <c r="D157" s="193">
        <f>'Purchased Power Model'!B247/1000000</f>
        <v>1450.354846</v>
      </c>
      <c r="E157" s="193">
        <f>'Purchased Power Model'!N247/1000000</f>
        <v>1453.0609129809282</v>
      </c>
      <c r="F157" s="232">
        <f t="shared" si="21"/>
        <v>1.8657964900048452E-3</v>
      </c>
      <c r="G157" s="190"/>
      <c r="H157" s="232">
        <f>'Purchased Power Model'!P247</f>
        <v>1.8657964900047519E-3</v>
      </c>
      <c r="J157" s="197"/>
    </row>
    <row r="158" spans="1:10" x14ac:dyDescent="0.2">
      <c r="A158" s="409">
        <v>2010</v>
      </c>
      <c r="B158" s="410"/>
      <c r="C158" s="192"/>
      <c r="D158" s="193">
        <f>'Purchased Power Model'!B248/1000000</f>
        <v>1513.16563</v>
      </c>
      <c r="E158" s="193">
        <f>'Purchased Power Model'!N248/1000000</f>
        <v>1485.7675454208729</v>
      </c>
      <c r="F158" s="232">
        <f t="shared" si="21"/>
        <v>-1.8106467683334238E-2</v>
      </c>
      <c r="G158" s="190"/>
      <c r="H158" s="232">
        <f>'Purchased Power Model'!P248</f>
        <v>-1.8106467683334224E-2</v>
      </c>
      <c r="J158" s="197"/>
    </row>
    <row r="159" spans="1:10" ht="12.75" customHeight="1" x14ac:dyDescent="0.2">
      <c r="A159" s="409">
        <v>2011</v>
      </c>
      <c r="B159" s="410"/>
      <c r="C159" s="233"/>
      <c r="D159" s="193">
        <f>'Purchased Power Model'!B249/1000000</f>
        <v>1519.43926771</v>
      </c>
      <c r="E159" s="193">
        <f>'Purchased Power Model'!N249/1000000</f>
        <v>1523.5596553013181</v>
      </c>
      <c r="F159" s="232">
        <f t="shared" si="21"/>
        <v>2.7117816939983275E-3</v>
      </c>
      <c r="G159" s="190"/>
      <c r="H159" s="232">
        <f>'Purchased Power Model'!P249</f>
        <v>2.7117816939982802E-3</v>
      </c>
    </row>
    <row r="160" spans="1:10" ht="12.75" customHeight="1" x14ac:dyDescent="0.2">
      <c r="A160" s="409">
        <v>2012</v>
      </c>
      <c r="B160" s="410"/>
      <c r="C160" s="293"/>
      <c r="D160" s="193">
        <f>'Purchased Power Model'!B250/1000000</f>
        <v>1526.5913362900003</v>
      </c>
      <c r="E160" s="193">
        <f>'Purchased Power Model'!N250/1000000</f>
        <v>1520.7743776982966</v>
      </c>
      <c r="F160" s="232">
        <f t="shared" ref="F160" si="22">E160/D160-1</f>
        <v>-3.810422903250843E-3</v>
      </c>
      <c r="G160" s="190"/>
      <c r="H160" s="232">
        <f>'Purchased Power Model'!P250</f>
        <v>-3.8104229032507948E-3</v>
      </c>
    </row>
    <row r="161" spans="1:15" s="206" customFormat="1" ht="12.75" customHeight="1" x14ac:dyDescent="0.25">
      <c r="A161" s="371" t="s">
        <v>104</v>
      </c>
      <c r="B161" s="372"/>
      <c r="C161" s="216"/>
      <c r="D161" s="234"/>
      <c r="E161" s="201">
        <f>'Purchased Power Model'!N251/1000000</f>
        <v>1535.615463747263</v>
      </c>
      <c r="F161" s="235"/>
    </row>
    <row r="162" spans="1:15" s="206" customFormat="1" ht="15" x14ac:dyDescent="0.25">
      <c r="A162" s="371" t="s">
        <v>105</v>
      </c>
      <c r="B162" s="372"/>
      <c r="C162" s="188"/>
      <c r="D162" s="234"/>
      <c r="E162" s="201">
        <f>'Purchased Power Model'!N252/1000000</f>
        <v>1534.5094819614128</v>
      </c>
      <c r="F162" s="235"/>
      <c r="J162" s="236"/>
    </row>
    <row r="163" spans="1:15" s="197" customFormat="1" ht="15" x14ac:dyDescent="0.2">
      <c r="A163" s="200" t="s">
        <v>242</v>
      </c>
      <c r="B163" s="188"/>
      <c r="C163" s="188"/>
      <c r="D163" s="234"/>
      <c r="E163" s="201">
        <f>'Purchased Power Model'!O272/1000000</f>
        <v>1533.2149162740589</v>
      </c>
      <c r="F163" s="235"/>
    </row>
    <row r="164" spans="1:15" s="197" customFormat="1" ht="15" x14ac:dyDescent="0.2">
      <c r="A164" s="200" t="s">
        <v>243</v>
      </c>
      <c r="B164" s="192"/>
      <c r="C164" s="192"/>
      <c r="D164" s="230"/>
      <c r="E164" s="201">
        <f>'Purchased Power Model'!O286/1000000</f>
        <v>1531.548084321852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397" t="s">
        <v>264</v>
      </c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</row>
    <row r="169" spans="1:15" ht="63" customHeight="1" x14ac:dyDescent="0.2">
      <c r="A169" s="411" t="s">
        <v>89</v>
      </c>
      <c r="B169" s="411"/>
      <c r="C169" s="331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82" t="s">
        <v>179</v>
      </c>
      <c r="B170" s="38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</row>
    <row r="171" spans="1:15" ht="15" x14ac:dyDescent="0.2">
      <c r="A171" s="399">
        <f t="shared" ref="A171:A182" si="24">A149</f>
        <v>2001</v>
      </c>
      <c r="B171" s="399"/>
      <c r="C171" s="294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399">
        <f t="shared" si="24"/>
        <v>2002</v>
      </c>
      <c r="B172" s="399"/>
      <c r="C172" s="294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399">
        <f t="shared" si="24"/>
        <v>2003</v>
      </c>
      <c r="B173" s="399"/>
      <c r="C173" s="296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399">
        <f t="shared" si="24"/>
        <v>2004</v>
      </c>
      <c r="B174" s="399"/>
      <c r="C174" s="296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399">
        <f t="shared" si="24"/>
        <v>2005</v>
      </c>
      <c r="B175" s="399"/>
      <c r="C175" s="296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399">
        <f t="shared" si="24"/>
        <v>2006</v>
      </c>
      <c r="B176" s="399"/>
      <c r="C176" s="296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399">
        <f t="shared" si="24"/>
        <v>2007</v>
      </c>
      <c r="B177" s="399"/>
      <c r="C177" s="296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399">
        <f t="shared" si="24"/>
        <v>2008</v>
      </c>
      <c r="B178" s="399"/>
      <c r="C178" s="296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399">
        <f t="shared" si="24"/>
        <v>2009</v>
      </c>
      <c r="B179" s="399"/>
      <c r="C179" s="296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399">
        <f t="shared" si="24"/>
        <v>2010</v>
      </c>
      <c r="B180" s="399"/>
      <c r="C180" s="296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399">
        <f t="shared" si="24"/>
        <v>2011</v>
      </c>
      <c r="B181" s="399"/>
      <c r="C181" s="296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399">
        <f t="shared" si="24"/>
        <v>2012</v>
      </c>
      <c r="B182" s="399"/>
      <c r="C182" s="296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397" t="s">
        <v>265</v>
      </c>
      <c r="B184" s="397"/>
      <c r="C184" s="397"/>
      <c r="D184" s="397"/>
      <c r="E184" s="397"/>
      <c r="F184" s="397"/>
      <c r="G184" s="397"/>
      <c r="H184" s="397"/>
      <c r="I184" s="397"/>
      <c r="J184" s="397"/>
      <c r="K184" s="397"/>
      <c r="L184" s="397"/>
    </row>
    <row r="185" spans="1:23" ht="61.5" customHeight="1" x14ac:dyDescent="0.2">
      <c r="A185" s="411" t="s">
        <v>89</v>
      </c>
      <c r="B185" s="411"/>
      <c r="C185" s="331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82" t="s">
        <v>189</v>
      </c>
      <c r="B186" s="382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</row>
    <row r="187" spans="1:23" ht="15" x14ac:dyDescent="0.2">
      <c r="A187" s="399">
        <f t="shared" ref="A187:A198" si="27">A171</f>
        <v>2001</v>
      </c>
      <c r="B187" s="399"/>
      <c r="C187" s="294"/>
      <c r="D187" s="240"/>
      <c r="E187" s="294"/>
      <c r="F187" s="294"/>
      <c r="G187" s="294"/>
      <c r="H187" s="294"/>
      <c r="I187" s="294"/>
      <c r="J187" s="210"/>
      <c r="K187" s="210"/>
      <c r="L187" s="210"/>
    </row>
    <row r="188" spans="1:23" ht="15" x14ac:dyDescent="0.2">
      <c r="A188" s="399">
        <f t="shared" si="27"/>
        <v>2002</v>
      </c>
      <c r="B188" s="399"/>
      <c r="C188" s="294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399">
        <f t="shared" si="27"/>
        <v>2003</v>
      </c>
      <c r="B189" s="399"/>
      <c r="C189" s="296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399">
        <f t="shared" si="27"/>
        <v>2004</v>
      </c>
      <c r="B190" s="399"/>
      <c r="C190" s="296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399">
        <f t="shared" si="27"/>
        <v>2005</v>
      </c>
      <c r="B191" s="399"/>
      <c r="C191" s="296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399">
        <f t="shared" si="27"/>
        <v>2006</v>
      </c>
      <c r="B192" s="399"/>
      <c r="C192" s="296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399">
        <f t="shared" si="27"/>
        <v>2007</v>
      </c>
      <c r="B193" s="399"/>
      <c r="C193" s="296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399">
        <f t="shared" si="27"/>
        <v>2008</v>
      </c>
      <c r="B194" s="399"/>
      <c r="C194" s="296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399">
        <f t="shared" si="27"/>
        <v>2009</v>
      </c>
      <c r="B195" s="399"/>
      <c r="C195" s="296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399">
        <f t="shared" si="27"/>
        <v>2010</v>
      </c>
      <c r="B196" s="399"/>
      <c r="C196" s="296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399">
        <f t="shared" si="27"/>
        <v>2011</v>
      </c>
      <c r="B197" s="399"/>
      <c r="C197" s="296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399">
        <f t="shared" si="27"/>
        <v>2012</v>
      </c>
      <c r="B198" s="399"/>
      <c r="C198" s="296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82" t="s">
        <v>99</v>
      </c>
      <c r="B199" s="382"/>
      <c r="C199" s="294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397" t="s">
        <v>266</v>
      </c>
      <c r="B201" s="397"/>
      <c r="C201" s="397"/>
      <c r="D201" s="397"/>
      <c r="E201" s="397"/>
      <c r="F201" s="397"/>
      <c r="G201" s="397"/>
      <c r="H201" s="397"/>
      <c r="I201" s="397"/>
      <c r="J201" s="397"/>
      <c r="K201" s="397"/>
      <c r="L201" s="397"/>
      <c r="M201" s="397"/>
    </row>
    <row r="202" spans="1:23" ht="60.75" customHeight="1" x14ac:dyDescent="0.2">
      <c r="A202" s="398" t="s">
        <v>89</v>
      </c>
      <c r="B202" s="398"/>
      <c r="C202" s="332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82" t="s">
        <v>190</v>
      </c>
      <c r="B203" s="382"/>
      <c r="C203" s="382"/>
      <c r="D203" s="382"/>
      <c r="E203" s="382"/>
      <c r="F203" s="382"/>
      <c r="G203" s="382"/>
      <c r="H203" s="382"/>
      <c r="I203" s="382"/>
      <c r="J203" s="246"/>
      <c r="K203" s="210"/>
      <c r="L203" s="210"/>
      <c r="M203" s="210"/>
    </row>
    <row r="204" spans="1:23" ht="15" x14ac:dyDescent="0.2">
      <c r="A204" s="412">
        <v>2013</v>
      </c>
      <c r="B204" s="412"/>
      <c r="C204" s="292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412">
        <v>2014</v>
      </c>
      <c r="B205" s="412"/>
      <c r="C205" s="296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267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398" t="s">
        <v>89</v>
      </c>
      <c r="B208" s="398"/>
      <c r="C208" s="331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82" t="s">
        <v>191</v>
      </c>
      <c r="B209" s="382"/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</row>
    <row r="210" spans="1:12" ht="15" x14ac:dyDescent="0.2">
      <c r="A210" s="399">
        <f t="shared" ref="A210:A221" si="33">A187</f>
        <v>2001</v>
      </c>
      <c r="B210" s="399"/>
      <c r="C210" s="294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399">
        <f t="shared" si="33"/>
        <v>2002</v>
      </c>
      <c r="B211" s="399"/>
      <c r="C211" s="294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399">
        <f t="shared" si="33"/>
        <v>2003</v>
      </c>
      <c r="B212" s="399"/>
      <c r="C212" s="296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399">
        <f t="shared" si="33"/>
        <v>2004</v>
      </c>
      <c r="B213" s="399"/>
      <c r="C213" s="296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399">
        <f t="shared" si="33"/>
        <v>2005</v>
      </c>
      <c r="B214" s="399"/>
      <c r="C214" s="296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399">
        <f t="shared" si="33"/>
        <v>2006</v>
      </c>
      <c r="B215" s="399"/>
      <c r="C215" s="296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706685.75359590736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399">
        <f t="shared" si="33"/>
        <v>2007</v>
      </c>
      <c r="B216" s="399"/>
      <c r="C216" s="296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399">
        <f t="shared" si="33"/>
        <v>2008</v>
      </c>
      <c r="B217" s="399"/>
      <c r="C217" s="296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399">
        <f t="shared" si="33"/>
        <v>2009</v>
      </c>
      <c r="B218" s="399"/>
      <c r="C218" s="296"/>
      <c r="D218" s="239">
        <f t="shared" si="35"/>
        <v>8639.3480086025338</v>
      </c>
      <c r="E218" s="239">
        <f t="shared" si="35"/>
        <v>35304.546677693681</v>
      </c>
      <c r="F218" s="239">
        <f t="shared" si="35"/>
        <v>624043.24213462556</v>
      </c>
      <c r="G218" s="239">
        <f t="shared" si="35"/>
        <v>7283120.2011315906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760.10515349541504</v>
      </c>
      <c r="K218" s="239">
        <f t="shared" si="35"/>
        <v>4288.4677558858666</v>
      </c>
      <c r="L218" s="239">
        <f t="shared" ref="L218" si="43">L77</f>
        <v>27136267.779458601</v>
      </c>
    </row>
    <row r="219" spans="1:12" x14ac:dyDescent="0.2">
      <c r="A219" s="399">
        <f t="shared" si="33"/>
        <v>2010</v>
      </c>
      <c r="B219" s="399"/>
      <c r="C219" s="296"/>
      <c r="D219" s="239">
        <f t="shared" si="35"/>
        <v>8821.5143507970934</v>
      </c>
      <c r="E219" s="239">
        <f t="shared" si="35"/>
        <v>35508.230412391196</v>
      </c>
      <c r="F219" s="239">
        <f t="shared" si="35"/>
        <v>602420.55870491301</v>
      </c>
      <c r="G219" s="239">
        <f t="shared" si="35"/>
        <v>8496833.4022547808</v>
      </c>
      <c r="H219" s="239">
        <f t="shared" si="35"/>
        <v>98278640.311352804</v>
      </c>
      <c r="I219" s="239">
        <f t="shared" si="35"/>
        <v>43796746.469999999</v>
      </c>
      <c r="J219" s="239">
        <f t="shared" si="35"/>
        <v>757.9890848863397</v>
      </c>
      <c r="K219" s="239">
        <f t="shared" si="35"/>
        <v>3963.2407637355345</v>
      </c>
      <c r="L219" s="239">
        <f t="shared" ref="L219" si="44">L78</f>
        <v>24905414.236567497</v>
      </c>
    </row>
    <row r="220" spans="1:12" x14ac:dyDescent="0.2">
      <c r="A220" s="399">
        <f t="shared" si="33"/>
        <v>2011</v>
      </c>
      <c r="B220" s="399"/>
      <c r="C220" s="296"/>
      <c r="D220" s="239">
        <f t="shared" si="35"/>
        <v>8662.131701650429</v>
      </c>
      <c r="E220" s="239">
        <f t="shared" si="35"/>
        <v>34198.524515304656</v>
      </c>
      <c r="F220" s="239">
        <f t="shared" si="35"/>
        <v>604228.10792279441</v>
      </c>
      <c r="G220" s="239">
        <f t="shared" si="35"/>
        <v>8598827.6741832234</v>
      </c>
      <c r="H220" s="239">
        <f t="shared" si="35"/>
        <v>84597900.095934883</v>
      </c>
      <c r="I220" s="239">
        <f t="shared" si="35"/>
        <v>46753740.940000005</v>
      </c>
      <c r="J220" s="239">
        <f t="shared" si="35"/>
        <v>754.10825158583168</v>
      </c>
      <c r="K220" s="239">
        <f t="shared" si="35"/>
        <v>4018.6794702854008</v>
      </c>
      <c r="L220" s="239">
        <f t="shared" ref="L220" si="45">L79</f>
        <v>25633242.453565735</v>
      </c>
    </row>
    <row r="221" spans="1:12" x14ac:dyDescent="0.2">
      <c r="A221" s="399">
        <f t="shared" si="33"/>
        <v>2012</v>
      </c>
      <c r="B221" s="399"/>
      <c r="C221" s="296"/>
      <c r="D221" s="239">
        <f t="shared" si="35"/>
        <v>8633.477980961592</v>
      </c>
      <c r="E221" s="239">
        <f t="shared" si="35"/>
        <v>34025.967469642819</v>
      </c>
      <c r="F221" s="239">
        <f t="shared" si="35"/>
        <v>593891.75762258796</v>
      </c>
      <c r="G221" s="239">
        <f t="shared" si="35"/>
        <v>8378886.6359366057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4108.8472920388394</v>
      </c>
      <c r="L221" s="239">
        <f t="shared" ref="L221" si="46">L80</f>
        <v>22395380.176944394</v>
      </c>
    </row>
    <row r="223" spans="1:12" ht="15" x14ac:dyDescent="0.2">
      <c r="A223" s="397" t="s">
        <v>268</v>
      </c>
      <c r="B223" s="397"/>
      <c r="C223" s="397"/>
      <c r="D223" s="397"/>
      <c r="E223" s="397"/>
      <c r="F223" s="397"/>
      <c r="G223" s="397"/>
      <c r="H223" s="397"/>
      <c r="I223" s="397"/>
      <c r="J223" s="397"/>
      <c r="K223" s="397"/>
      <c r="L223" s="397"/>
    </row>
    <row r="224" spans="1:12" ht="60" x14ac:dyDescent="0.2">
      <c r="A224" s="398" t="s">
        <v>89</v>
      </c>
      <c r="B224" s="398"/>
      <c r="C224" s="331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82" t="s">
        <v>192</v>
      </c>
      <c r="B225" s="382"/>
      <c r="C225" s="382"/>
      <c r="D225" s="382"/>
      <c r="E225" s="382"/>
      <c r="F225" s="382"/>
      <c r="G225" s="382"/>
      <c r="H225" s="382"/>
      <c r="I225" s="382"/>
      <c r="J225" s="382"/>
      <c r="K225" s="382"/>
      <c r="L225" s="382"/>
    </row>
    <row r="226" spans="1:23" ht="15" x14ac:dyDescent="0.2">
      <c r="A226" s="399">
        <f t="shared" ref="A226:A237" si="48">A210</f>
        <v>2001</v>
      </c>
      <c r="B226" s="399"/>
      <c r="C226" s="294"/>
      <c r="D226" s="240"/>
      <c r="E226" s="294"/>
      <c r="F226" s="294"/>
      <c r="G226" s="294"/>
      <c r="H226" s="246"/>
      <c r="I226" s="246"/>
      <c r="J226" s="209"/>
      <c r="K226" s="210"/>
      <c r="L226" s="210"/>
    </row>
    <row r="227" spans="1:23" ht="15" x14ac:dyDescent="0.2">
      <c r="A227" s="399">
        <f t="shared" si="48"/>
        <v>2002</v>
      </c>
      <c r="B227" s="399"/>
      <c r="C227" s="294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399">
        <f t="shared" si="48"/>
        <v>2003</v>
      </c>
      <c r="B228" s="399"/>
      <c r="C228" s="296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399">
        <f t="shared" si="48"/>
        <v>2004</v>
      </c>
      <c r="B229" s="399"/>
      <c r="C229" s="296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399">
        <f t="shared" si="48"/>
        <v>2005</v>
      </c>
      <c r="B230" s="399"/>
      <c r="C230" s="296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399">
        <f t="shared" si="48"/>
        <v>2006</v>
      </c>
      <c r="B231" s="399"/>
      <c r="C231" s="296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-6.2129628853453078E-2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-6.2129628853452967E-2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399">
        <f t="shared" si="48"/>
        <v>2007</v>
      </c>
      <c r="B232" s="399"/>
      <c r="C232" s="296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-8.0342977045412267E-3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-8.0342977045412267E-3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399">
        <f t="shared" si="48"/>
        <v>2008</v>
      </c>
      <c r="B233" s="399"/>
      <c r="C233" s="296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399">
        <f t="shared" si="48"/>
        <v>2009</v>
      </c>
      <c r="B234" s="399"/>
      <c r="C234" s="296"/>
      <c r="D234" s="240">
        <f t="shared" si="50"/>
        <v>-3.1238699344739329E-2</v>
      </c>
      <c r="E234" s="240">
        <f t="shared" ref="E234:K234" si="56">E218/E217-1</f>
        <v>-7.7489664801184244E-2</v>
      </c>
      <c r="F234" s="240">
        <f t="shared" si="56"/>
        <v>-7.0192112580358068E-2</v>
      </c>
      <c r="G234" s="240">
        <f t="shared" si="56"/>
        <v>-7.3913054193746941E-2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-5.2714863440224136E-3</v>
      </c>
      <c r="K234" s="240">
        <f t="shared" si="56"/>
        <v>-7.2152328143077815E-2</v>
      </c>
      <c r="L234" s="240"/>
      <c r="N234" s="240">
        <f>'Rate Class Energy Model'!H59-1</f>
        <v>-3.1238699344739329E-2</v>
      </c>
      <c r="O234" s="240">
        <f>'Rate Class Energy Model'!I59-1</f>
        <v>-7.7489664801184133E-2</v>
      </c>
      <c r="P234" s="240">
        <f>'Rate Class Energy Model'!J59-1</f>
        <v>-7.0192112580358179E-2</v>
      </c>
      <c r="Q234" s="240">
        <f>'Rate Class Energy Model'!K59-1</f>
        <v>-7.3913054193747052E-2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-5.2714863440224136E-3</v>
      </c>
      <c r="U234" s="240">
        <f>'Rate Class Energy Model'!O59-1</f>
        <v>-7.2152328143077815E-2</v>
      </c>
      <c r="V234" s="240"/>
    </row>
    <row r="235" spans="1:23" ht="15" x14ac:dyDescent="0.2">
      <c r="A235" s="399">
        <f t="shared" si="48"/>
        <v>2010</v>
      </c>
      <c r="B235" s="399"/>
      <c r="C235" s="296"/>
      <c r="D235" s="240">
        <f t="shared" si="50"/>
        <v>2.1085658548905428E-2</v>
      </c>
      <c r="E235" s="240">
        <f t="shared" ref="E235:K235" si="57">E219/E218-1</f>
        <v>5.7693343737565961E-3</v>
      </c>
      <c r="F235" s="240">
        <f t="shared" si="57"/>
        <v>-3.4649335125798597E-2</v>
      </c>
      <c r="G235" s="240">
        <f t="shared" si="57"/>
        <v>0.16664742138055244</v>
      </c>
      <c r="H235" s="240">
        <f t="shared" si="57"/>
        <v>8.788068839053742E-2</v>
      </c>
      <c r="I235" s="240">
        <f t="shared" si="57"/>
        <v>1.3654546436074888E-2</v>
      </c>
      <c r="J235" s="240">
        <f t="shared" si="57"/>
        <v>-2.7839156192329684E-3</v>
      </c>
      <c r="K235" s="240">
        <f t="shared" si="57"/>
        <v>-7.583757431869742E-2</v>
      </c>
      <c r="L235" s="240">
        <f t="shared" ref="L235" si="58">L219/L218-1</f>
        <v>-8.2209298678125431E-2</v>
      </c>
      <c r="M235" s="247"/>
      <c r="N235" s="240">
        <f>'Rate Class Energy Model'!H60-1</f>
        <v>2.1085658548905428E-2</v>
      </c>
      <c r="O235" s="240">
        <f>'Rate Class Energy Model'!I60-1</f>
        <v>5.7693343737565961E-3</v>
      </c>
      <c r="P235" s="240">
        <f>'Rate Class Energy Model'!J60-1</f>
        <v>-3.4649335125798597E-2</v>
      </c>
      <c r="Q235" s="240">
        <f>'Rate Class Energy Model'!K60-1</f>
        <v>0.16664742138055288</v>
      </c>
      <c r="R235" s="240">
        <f>'Rate Class Energy Model'!L60-1</f>
        <v>8.788068839053742E-2</v>
      </c>
      <c r="S235" s="240">
        <f>'Rate Class Energy Model'!M60-1</f>
        <v>1.3654546436074888E-2</v>
      </c>
      <c r="T235" s="240">
        <f>'Rate Class Energy Model'!N60-1</f>
        <v>-2.7839156192327463E-3</v>
      </c>
      <c r="U235" s="240">
        <f>'Rate Class Energy Model'!O60-1</f>
        <v>-7.583757431869742E-2</v>
      </c>
      <c r="V235" s="240">
        <f>'Rate Class Energy Model'!P60</f>
        <v>0.99931891366796577</v>
      </c>
      <c r="W235" s="240">
        <f>L235+1</f>
        <v>0.91779070132187457</v>
      </c>
    </row>
    <row r="236" spans="1:23" ht="15" x14ac:dyDescent="0.2">
      <c r="A236" s="399">
        <f t="shared" si="48"/>
        <v>2011</v>
      </c>
      <c r="B236" s="399"/>
      <c r="C236" s="296"/>
      <c r="D236" s="240">
        <f t="shared" si="50"/>
        <v>-1.8067493041289739E-2</v>
      </c>
      <c r="E236" s="240">
        <f t="shared" ref="E236:K237" si="59">E220/E219-1</f>
        <v>-3.6884572446322039E-2</v>
      </c>
      <c r="F236" s="240">
        <f t="shared" si="59"/>
        <v>3.0004773106802052E-3</v>
      </c>
      <c r="G236" s="240">
        <f t="shared" si="59"/>
        <v>1.2003798015078893E-2</v>
      </c>
      <c r="H236" s="240">
        <f t="shared" si="59"/>
        <v>-0.13920359675384697</v>
      </c>
      <c r="I236" s="240">
        <f t="shared" si="59"/>
        <v>6.7516304482240441E-2</v>
      </c>
      <c r="J236" s="240">
        <f t="shared" si="59"/>
        <v>-5.1199065763459783E-3</v>
      </c>
      <c r="K236" s="240">
        <f t="shared" si="59"/>
        <v>1.3988225761387474E-2</v>
      </c>
      <c r="L236" s="240">
        <f t="shared" ref="L236" si="60">L220/L219-1</f>
        <v>2.9223694498106356E-2</v>
      </c>
      <c r="M236" s="247"/>
      <c r="N236" s="240">
        <f>'Rate Class Energy Model'!H61-1</f>
        <v>-1.8067493041289739E-2</v>
      </c>
      <c r="O236" s="240">
        <f>'Rate Class Energy Model'!I61-1</f>
        <v>-3.6884572446322039E-2</v>
      </c>
      <c r="P236" s="240">
        <f>'Rate Class Energy Model'!J61-1</f>
        <v>3.0004773106802052E-3</v>
      </c>
      <c r="Q236" s="240">
        <f>'Rate Class Energy Model'!K61-1</f>
        <v>1.2003798015078671E-2</v>
      </c>
      <c r="R236" s="240">
        <f>'Rate Class Energy Model'!L61-1</f>
        <v>-0.13920359675384697</v>
      </c>
      <c r="S236" s="240">
        <f>'Rate Class Energy Model'!M61-1</f>
        <v>6.7516304482240441E-2</v>
      </c>
      <c r="T236" s="240">
        <f>'Rate Class Energy Model'!N61-1</f>
        <v>-5.1199065763459783E-3</v>
      </c>
      <c r="U236" s="240">
        <f>'Rate Class Energy Model'!O61-1</f>
        <v>1.3988225761387252E-2</v>
      </c>
      <c r="V236" s="240">
        <f>'Rate Class Energy Model'!P61</f>
        <v>0.98998226045825433</v>
      </c>
      <c r="W236" s="240">
        <f t="shared" ref="W236:W237" si="61">L236+1</f>
        <v>1.0292236944981064</v>
      </c>
    </row>
    <row r="237" spans="1:23" ht="15" x14ac:dyDescent="0.2">
      <c r="A237" s="399">
        <f t="shared" si="48"/>
        <v>2012</v>
      </c>
      <c r="B237" s="399"/>
      <c r="C237" s="296"/>
      <c r="D237" s="240">
        <f t="shared" si="50"/>
        <v>-3.3079294653737268E-3</v>
      </c>
      <c r="E237" s="240">
        <f t="shared" si="59"/>
        <v>-5.0457453386508755E-3</v>
      </c>
      <c r="F237" s="240">
        <f t="shared" si="59"/>
        <v>-1.7106702195203383E-2</v>
      </c>
      <c r="G237" s="240">
        <f t="shared" si="59"/>
        <v>-2.5578026049639324E-2</v>
      </c>
      <c r="H237" s="240">
        <f t="shared" si="59"/>
        <v>0.18909278471657709</v>
      </c>
      <c r="I237" s="240">
        <f t="shared" si="59"/>
        <v>-2.7828484391649311E-2</v>
      </c>
      <c r="J237" s="240">
        <f t="shared" si="59"/>
        <v>5.3582731702848108E-3</v>
      </c>
      <c r="K237" s="240">
        <f t="shared" si="59"/>
        <v>2.2437176794056546E-2</v>
      </c>
      <c r="L237" s="240">
        <f t="shared" ref="L237" si="62">L221/L220-1</f>
        <v>-0.12631497097905908</v>
      </c>
      <c r="M237" s="247"/>
      <c r="N237" s="240">
        <f>'Rate Class Energy Model'!H62-1</f>
        <v>-3.3079294653737268E-3</v>
      </c>
      <c r="O237" s="240">
        <f>'Rate Class Energy Model'!I62-1</f>
        <v>-5.0457453386506534E-3</v>
      </c>
      <c r="P237" s="240">
        <f>'Rate Class Energy Model'!J62-1</f>
        <v>-1.7106702195203383E-2</v>
      </c>
      <c r="Q237" s="240">
        <f>'Rate Class Energy Model'!K62-1</f>
        <v>-2.5578026049639324E-2</v>
      </c>
      <c r="R237" s="240">
        <f>'Rate Class Energy Model'!L62-1</f>
        <v>0.18909278471657709</v>
      </c>
      <c r="S237" s="240">
        <f>'Rate Class Energy Model'!M62-1</f>
        <v>-2.7828484391649311E-2</v>
      </c>
      <c r="T237" s="240">
        <f>'Rate Class Energy Model'!N62-1</f>
        <v>5.3582731702848108E-3</v>
      </c>
      <c r="U237" s="240">
        <f>'Rate Class Energy Model'!O62-1</f>
        <v>2.2437176794056768E-2</v>
      </c>
      <c r="V237" s="240">
        <f>'Rate Class Energy Model'!P62</f>
        <v>0.96512507933696601</v>
      </c>
      <c r="W237" s="240">
        <f t="shared" si="61"/>
        <v>0.87368502902094092</v>
      </c>
    </row>
    <row r="238" spans="1:23" ht="15" x14ac:dyDescent="0.2">
      <c r="A238" s="382" t="str">
        <f>A199</f>
        <v>Geometric Mean</v>
      </c>
      <c r="B238" s="382"/>
      <c r="C238" s="294"/>
      <c r="D238" s="241">
        <f>'Rate Class Energy Model'!H66-1</f>
        <v>-7.4523908585429899E-3</v>
      </c>
      <c r="E238" s="241">
        <f>'Rate Class Energy Model'!I66-1</f>
        <v>-7.5871532530679131E-3</v>
      </c>
      <c r="F238" s="241">
        <f>'Rate Class Energy Model'!J66-1</f>
        <v>-1.841816206235658E-2</v>
      </c>
      <c r="G238" s="241">
        <f>'Rate Class Energy Model'!K66-1</f>
        <v>-1.091590635053663E-2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-5.6069824973777327E-2</v>
      </c>
      <c r="L238" s="241">
        <f>W238</f>
        <v>-6.2000138259807325E-2</v>
      </c>
      <c r="V238" s="333">
        <f>GEOMEAN(V235:V237)-1</f>
        <v>-1.529750052755674E-2</v>
      </c>
      <c r="W238" s="333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397" t="s">
        <v>269</v>
      </c>
      <c r="B240" s="397"/>
      <c r="C240" s="397"/>
      <c r="D240" s="397"/>
      <c r="E240" s="397"/>
      <c r="F240" s="397"/>
      <c r="G240" s="397"/>
      <c r="H240" s="397"/>
      <c r="I240" s="397"/>
      <c r="J240" s="397"/>
      <c r="K240" s="397"/>
      <c r="L240" s="397"/>
    </row>
    <row r="241" spans="1:14" ht="60" x14ac:dyDescent="0.2">
      <c r="A241" s="376" t="s">
        <v>89</v>
      </c>
      <c r="B241" s="414"/>
      <c r="C241" s="331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82" t="s">
        <v>193</v>
      </c>
      <c r="B242" s="382"/>
      <c r="C242" s="382"/>
      <c r="D242" s="382"/>
      <c r="E242" s="382"/>
      <c r="F242" s="382"/>
      <c r="G242" s="382"/>
      <c r="H242" s="382"/>
      <c r="I242" s="382"/>
      <c r="J242" s="382"/>
      <c r="K242" s="382"/>
      <c r="L242" s="382"/>
    </row>
    <row r="243" spans="1:14" ht="15" customHeight="1" x14ac:dyDescent="0.2">
      <c r="A243" s="392">
        <v>2013</v>
      </c>
      <c r="B243" s="415"/>
      <c r="C243" s="242"/>
      <c r="D243" s="243">
        <f>D221*(1+D238)</f>
        <v>8569.1379285788425</v>
      </c>
      <c r="E243" s="243">
        <f t="shared" ref="E243:K243" si="64">E221*(1+E238)</f>
        <v>33767.807239866735</v>
      </c>
      <c r="F243" s="243">
        <f t="shared" si="64"/>
        <v>582953.36298319732</v>
      </c>
      <c r="G243" s="243">
        <f t="shared" si="64"/>
        <v>8287423.494096959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3878.4649435302426</v>
      </c>
      <c r="L243" s="243">
        <f>L221*(1+V238)</f>
        <v>22052786.836872753</v>
      </c>
      <c r="M243" s="215"/>
    </row>
    <row r="244" spans="1:14" ht="15" customHeight="1" x14ac:dyDescent="0.2">
      <c r="A244" s="392">
        <v>2014</v>
      </c>
      <c r="B244" s="415"/>
      <c r="C244" s="189"/>
      <c r="D244" s="243">
        <f>D243*(1+D238)</f>
        <v>8505.2773634143068</v>
      </c>
      <c r="E244" s="243">
        <f t="shared" ref="E244:K244" si="65">E243*(1+E238)</f>
        <v>33511.60571131781</v>
      </c>
      <c r="F244" s="243">
        <f t="shared" si="65"/>
        <v>572216.43346897699</v>
      </c>
      <c r="G244" s="243">
        <f t="shared" si="65"/>
        <v>8196958.7553481599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3661.0000929795706</v>
      </c>
      <c r="L244" s="243">
        <f>L243*(1+V238)</f>
        <v>21715434.318601597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397" t="s">
        <v>270</v>
      </c>
      <c r="B246" s="397"/>
      <c r="C246" s="397"/>
      <c r="D246" s="397"/>
      <c r="E246" s="397"/>
      <c r="F246" s="397"/>
      <c r="G246" s="397"/>
      <c r="H246" s="397"/>
      <c r="I246" s="397"/>
      <c r="J246" s="397"/>
      <c r="K246" s="397"/>
      <c r="L246" s="397"/>
      <c r="M246" s="397"/>
    </row>
    <row r="247" spans="1:14" ht="60" x14ac:dyDescent="0.2">
      <c r="A247" s="398" t="s">
        <v>89</v>
      </c>
      <c r="B247" s="398"/>
      <c r="C247" s="331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71" t="s">
        <v>194</v>
      </c>
      <c r="B248" s="372"/>
      <c r="C248" s="372"/>
      <c r="D248" s="372"/>
      <c r="E248" s="372"/>
      <c r="F248" s="372"/>
      <c r="G248" s="372"/>
      <c r="H248" s="372"/>
      <c r="I248" s="372"/>
      <c r="J248" s="372"/>
      <c r="K248" s="372"/>
      <c r="L248" s="372"/>
      <c r="M248" s="372"/>
    </row>
    <row r="249" spans="1:14" ht="15" x14ac:dyDescent="0.2">
      <c r="A249" s="189" t="s">
        <v>195</v>
      </c>
      <c r="B249" s="189"/>
      <c r="C249" s="189"/>
      <c r="D249" s="250">
        <f>D243*D204/1000000</f>
        <v>404.27874257322395</v>
      </c>
      <c r="E249" s="250">
        <f t="shared" ref="E249:L249" si="67">E243*E204/1000000</f>
        <v>158.72831396442976</v>
      </c>
      <c r="F249" s="250">
        <f t="shared" si="67"/>
        <v>439.72904986487174</v>
      </c>
      <c r="G249" s="250">
        <f t="shared" si="67"/>
        <v>225.33145426451676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1.8863854314845321</v>
      </c>
      <c r="L249" s="250">
        <f t="shared" si="67"/>
        <v>44.105573673745504</v>
      </c>
      <c r="M249" s="250">
        <f>SUM(D249:L249)</f>
        <v>1534.8502289095616</v>
      </c>
    </row>
    <row r="250" spans="1:14" ht="15" x14ac:dyDescent="0.2">
      <c r="A250" s="189" t="s">
        <v>271</v>
      </c>
      <c r="B250" s="189"/>
      <c r="C250" s="189"/>
      <c r="D250" s="250">
        <f>D244*D205/1000000</f>
        <v>409.02498135881217</v>
      </c>
      <c r="E250" s="250">
        <f t="shared" ref="E250:L250" si="68">E244*E205/1000000</f>
        <v>158.86170555792916</v>
      </c>
      <c r="F250" s="250">
        <f t="shared" si="68"/>
        <v>442.06920821298075</v>
      </c>
      <c r="G250" s="250">
        <f t="shared" si="68"/>
        <v>224.4365377419966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1.7656387637725968</v>
      </c>
      <c r="L250" s="250">
        <f t="shared" si="68"/>
        <v>43.430868637203197</v>
      </c>
      <c r="M250" s="250">
        <f>SUM(D250:L250)</f>
        <v>1544.9678720240393</v>
      </c>
    </row>
    <row r="252" spans="1:14" ht="15" x14ac:dyDescent="0.2">
      <c r="D252" s="397" t="s">
        <v>272</v>
      </c>
      <c r="E252" s="397"/>
      <c r="F252" s="397"/>
      <c r="G252" s="397"/>
      <c r="H252" s="397"/>
      <c r="I252" s="397"/>
      <c r="J252" s="397"/>
      <c r="K252" s="397"/>
      <c r="L252" s="397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82" t="s">
        <v>100</v>
      </c>
      <c r="E254" s="382"/>
      <c r="F254" s="382"/>
      <c r="G254" s="382"/>
      <c r="H254" s="382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413" t="s">
        <v>273</v>
      </c>
      <c r="C258" s="413"/>
      <c r="D258" s="413"/>
      <c r="E258" s="413"/>
      <c r="F258" s="413"/>
      <c r="G258" s="413"/>
      <c r="H258" s="413"/>
    </row>
    <row r="259" spans="2:13" x14ac:dyDescent="0.2">
      <c r="B259" s="403" t="s">
        <v>196</v>
      </c>
      <c r="C259" s="403"/>
      <c r="D259" s="403"/>
      <c r="E259" s="403"/>
      <c r="F259" s="403"/>
      <c r="G259" s="403"/>
      <c r="H259" s="403"/>
    </row>
    <row r="260" spans="2:13" x14ac:dyDescent="0.2">
      <c r="B260" s="404">
        <f>'CDM Activity'!P2</f>
        <v>73660000</v>
      </c>
      <c r="C260" s="404"/>
      <c r="D260" s="404"/>
      <c r="E260" s="404"/>
      <c r="F260" s="404"/>
      <c r="G260" s="404"/>
      <c r="H260" s="404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197</v>
      </c>
      <c r="C262" s="210"/>
      <c r="D262" s="227">
        <f>'CDM Activity'!P6</f>
        <v>0.17491056004878902</v>
      </c>
      <c r="E262" s="227">
        <f>'CDM Activity'!Q6</f>
        <v>0.17438210722500408</v>
      </c>
      <c r="F262" s="227">
        <f>'CDM Activity'!R6</f>
        <v>0.17435117565324193</v>
      </c>
      <c r="G262" s="227">
        <f>'CDM Activity'!S6</f>
        <v>0.17329527250545343</v>
      </c>
      <c r="H262" s="228">
        <f>SUM(D262:G262)</f>
        <v>0.69693911543248843</v>
      </c>
    </row>
    <row r="263" spans="2:13" x14ac:dyDescent="0.2">
      <c r="B263" s="253" t="s">
        <v>198</v>
      </c>
      <c r="C263" s="210"/>
      <c r="D263" s="228"/>
      <c r="E263" s="228">
        <f>(100%-H262)/6</f>
        <v>5.0510147427918595E-2</v>
      </c>
      <c r="F263" s="228">
        <f>E263</f>
        <v>5.0510147427918595E-2</v>
      </c>
      <c r="G263" s="228">
        <f>F263</f>
        <v>5.0510147427918595E-2</v>
      </c>
      <c r="H263" s="228">
        <f>SUM(D263:G263)</f>
        <v>0.15153044228375578</v>
      </c>
    </row>
    <row r="264" spans="2:13" x14ac:dyDescent="0.2">
      <c r="B264" s="253" t="s">
        <v>199</v>
      </c>
      <c r="C264" s="210"/>
      <c r="D264" s="254"/>
      <c r="E264" s="228"/>
      <c r="F264" s="228">
        <f>F263</f>
        <v>5.0510147427918595E-2</v>
      </c>
      <c r="G264" s="228">
        <f>G263</f>
        <v>5.0510147427918595E-2</v>
      </c>
      <c r="H264" s="228">
        <f>SUM(D264:G264)</f>
        <v>0.10102029485583719</v>
      </c>
    </row>
    <row r="265" spans="2:13" x14ac:dyDescent="0.2">
      <c r="B265" s="253" t="s">
        <v>200</v>
      </c>
      <c r="C265" s="210"/>
      <c r="D265" s="254"/>
      <c r="E265" s="254"/>
      <c r="F265" s="228"/>
      <c r="G265" s="228">
        <f>G264</f>
        <v>5.0510147427918595E-2</v>
      </c>
      <c r="H265" s="228">
        <f>SUM(D265:G265)</f>
        <v>5.0510147427918595E-2</v>
      </c>
    </row>
    <row r="266" spans="2:13" x14ac:dyDescent="0.2">
      <c r="B266" s="253"/>
      <c r="C266" s="210"/>
      <c r="D266" s="228">
        <f>SUM(D262:D265)</f>
        <v>0.17491056004878902</v>
      </c>
      <c r="E266" s="228">
        <f>SUM(E262:E265)</f>
        <v>0.22489225465292267</v>
      </c>
      <c r="F266" s="228">
        <f>SUM(F262:F265)</f>
        <v>0.27537147050907912</v>
      </c>
      <c r="G266" s="228">
        <f>SUM(G262:G265)</f>
        <v>0.32482571478920919</v>
      </c>
      <c r="H266" s="228">
        <f>SUM(D266:G266)</f>
        <v>1</v>
      </c>
    </row>
    <row r="267" spans="2:13" x14ac:dyDescent="0.2">
      <c r="B267" s="403" t="s">
        <v>134</v>
      </c>
      <c r="C267" s="403"/>
      <c r="D267" s="403"/>
      <c r="E267" s="403"/>
      <c r="F267" s="403"/>
      <c r="G267" s="403"/>
      <c r="H267" s="403"/>
    </row>
    <row r="268" spans="2:13" x14ac:dyDescent="0.2">
      <c r="B268" s="253" t="s">
        <v>197</v>
      </c>
      <c r="C268" s="210"/>
      <c r="D268" s="229">
        <f>D262*$B$260</f>
        <v>12883911.853193799</v>
      </c>
      <c r="E268" s="229">
        <f>E262*$B$260</f>
        <v>12844986.0181938</v>
      </c>
      <c r="F268" s="229">
        <f>F262*$B$260</f>
        <v>12842707.598617801</v>
      </c>
      <c r="G268" s="229">
        <f>G262*$B$260</f>
        <v>12764929.7727517</v>
      </c>
      <c r="H268" s="229">
        <f>SUM(D268:G268)</f>
        <v>51336535.242757097</v>
      </c>
      <c r="J268" s="215">
        <f>'CDM Activity'!P12</f>
        <v>12883911.853193799</v>
      </c>
      <c r="K268" s="215">
        <f>'CDM Activity'!Q12</f>
        <v>12844986.0181938</v>
      </c>
      <c r="L268" s="215">
        <f>'CDM Activity'!R12</f>
        <v>12842707.5986178</v>
      </c>
      <c r="M268" s="215">
        <f>'CDM Activity'!S12</f>
        <v>12764929.7727517</v>
      </c>
    </row>
    <row r="269" spans="2:13" x14ac:dyDescent="0.2">
      <c r="B269" s="253" t="s">
        <v>198</v>
      </c>
      <c r="C269" s="210"/>
      <c r="D269" s="229"/>
      <c r="E269" s="229">
        <f>E263*$B$260</f>
        <v>3720577.4595404835</v>
      </c>
      <c r="F269" s="229">
        <f>F263*$B$260</f>
        <v>3720577.4595404835</v>
      </c>
      <c r="G269" s="229">
        <f>G263*$B$260</f>
        <v>3720577.4595404835</v>
      </c>
      <c r="H269" s="229">
        <f>SUM(D269:G269)</f>
        <v>11161732.378621452</v>
      </c>
      <c r="J269" s="215">
        <f>'CDM Activity'!P13</f>
        <v>0</v>
      </c>
      <c r="K269" s="215">
        <f>'CDM Activity'!Q13</f>
        <v>3720577.4595404835</v>
      </c>
      <c r="L269" s="215">
        <f>'CDM Activity'!R13</f>
        <v>3720577.4595404835</v>
      </c>
      <c r="M269" s="215">
        <f>'CDM Activity'!S13</f>
        <v>3720577.4595404835</v>
      </c>
    </row>
    <row r="270" spans="2:13" x14ac:dyDescent="0.2">
      <c r="B270" s="253" t="s">
        <v>199</v>
      </c>
      <c r="C270" s="210"/>
      <c r="D270" s="229"/>
      <c r="E270" s="229"/>
      <c r="F270" s="229">
        <f>F264*$B$260</f>
        <v>3720577.4595404835</v>
      </c>
      <c r="G270" s="229">
        <f>G264*$B$260</f>
        <v>3720577.4595404835</v>
      </c>
      <c r="H270" s="229">
        <f>SUM(D270:G270)</f>
        <v>7441154.9190809671</v>
      </c>
      <c r="J270" s="215">
        <f>'CDM Activity'!P14</f>
        <v>0</v>
      </c>
      <c r="K270" s="215">
        <f>'CDM Activity'!Q14</f>
        <v>0</v>
      </c>
      <c r="L270" s="215">
        <f>'CDM Activity'!R14</f>
        <v>3720577.4595404835</v>
      </c>
      <c r="M270" s="215">
        <f>'CDM Activity'!S14</f>
        <v>3720577.4595404835</v>
      </c>
    </row>
    <row r="271" spans="2:13" x14ac:dyDescent="0.2">
      <c r="B271" s="253" t="s">
        <v>200</v>
      </c>
      <c r="C271" s="210"/>
      <c r="D271" s="229"/>
      <c r="E271" s="229"/>
      <c r="F271" s="229"/>
      <c r="G271" s="229">
        <f>G265*$B$260</f>
        <v>3720577.4595404835</v>
      </c>
      <c r="H271" s="229">
        <f>SUM(D271:G271)</f>
        <v>3720577.4595404835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3720577.4595404835</v>
      </c>
    </row>
    <row r="272" spans="2:13" x14ac:dyDescent="0.2">
      <c r="B272" s="210"/>
      <c r="C272" s="210"/>
      <c r="D272" s="229">
        <f>SUM(D268:D271)</f>
        <v>12883911.853193799</v>
      </c>
      <c r="E272" s="229">
        <f>SUM(E268:E271)</f>
        <v>16565563.477734283</v>
      </c>
      <c r="F272" s="229">
        <f>SUM(F268:F271)</f>
        <v>20283862.517698769</v>
      </c>
      <c r="G272" s="229">
        <f>SUM(G268:G271)</f>
        <v>23926662.151373148</v>
      </c>
      <c r="H272" s="229">
        <f>SUM(D272:G272)</f>
        <v>73660000</v>
      </c>
      <c r="J272" s="215">
        <f>'CDM Activity'!P16</f>
        <v>12883911.853193799</v>
      </c>
      <c r="K272" s="215">
        <f>'CDM Activity'!Q16</f>
        <v>16565563.477734283</v>
      </c>
      <c r="L272" s="215">
        <f>'CDM Activity'!R16</f>
        <v>20283862.517698765</v>
      </c>
      <c r="M272" s="215">
        <f>'CDM Activity'!S16</f>
        <v>23926662.151373148</v>
      </c>
    </row>
    <row r="274" spans="1:13" ht="15" x14ac:dyDescent="0.2">
      <c r="B274" s="397" t="s">
        <v>286</v>
      </c>
      <c r="C274" s="397"/>
      <c r="D274" s="397"/>
      <c r="E274" s="397"/>
      <c r="F274" s="397"/>
      <c r="G274" s="397"/>
      <c r="H274" s="397"/>
      <c r="I274" s="397"/>
      <c r="J274" s="397"/>
      <c r="K274" s="397"/>
      <c r="L274" s="397"/>
      <c r="M274" s="397"/>
    </row>
    <row r="275" spans="1:13" ht="60" x14ac:dyDescent="0.2">
      <c r="A275"/>
      <c r="B275" s="334"/>
      <c r="C275" s="331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4" t="s">
        <v>134</v>
      </c>
      <c r="C276" s="296"/>
      <c r="D276" s="244">
        <f>D250/($M$250-$L$250)*$G$272</f>
        <v>6517723.185222568</v>
      </c>
      <c r="E276" s="244">
        <f t="shared" ref="E276:K276" si="71">E250/($M$250-$L$250)*$G$272</f>
        <v>2531426.3645197973</v>
      </c>
      <c r="F276" s="244">
        <f t="shared" si="71"/>
        <v>7044275.6779081803</v>
      </c>
      <c r="G276" s="244">
        <f t="shared" si="71"/>
        <v>3576346.903782032</v>
      </c>
      <c r="H276" s="244">
        <f t="shared" si="71"/>
        <v>3335056.6299647428</v>
      </c>
      <c r="I276" s="244">
        <f t="shared" si="71"/>
        <v>739172.62802436796</v>
      </c>
      <c r="J276" s="244">
        <f t="shared" si="71"/>
        <v>154525.69629083166</v>
      </c>
      <c r="K276" s="244">
        <f t="shared" si="71"/>
        <v>28135.065660630553</v>
      </c>
      <c r="L276" s="244">
        <v>0</v>
      </c>
      <c r="M276" s="244">
        <f>SUM(D276:L276)</f>
        <v>23926662.151373152</v>
      </c>
    </row>
    <row r="277" spans="1:13" ht="15" x14ac:dyDescent="0.25">
      <c r="B277" s="294" t="s">
        <v>201</v>
      </c>
      <c r="C277" s="296"/>
      <c r="D277" s="250"/>
      <c r="E277" s="250"/>
      <c r="F277" s="244">
        <f>F276*'Rate Class Load Model'!B35</f>
        <v>20018.188813765111</v>
      </c>
      <c r="G277" s="244">
        <f>G276*'Rate Class Load Model'!C35</f>
        <v>8507.0738741397781</v>
      </c>
      <c r="H277" s="244">
        <f>H276*'Rate Class Load Model'!D35</f>
        <v>6910.2894944003874</v>
      </c>
      <c r="I277" s="244">
        <f>I276*'Rate Class Load Model'!E35</f>
        <v>1275.7578217879031</v>
      </c>
      <c r="J277" s="244">
        <f>J276*'Rate Class Load Model'!F35</f>
        <v>414.73527141713129</v>
      </c>
      <c r="K277" s="250"/>
      <c r="L277" s="244">
        <v>0</v>
      </c>
      <c r="M277" s="244">
        <f>SUM(D277:L277)</f>
        <v>37126.045275510311</v>
      </c>
    </row>
    <row r="279" spans="1:13" ht="15" x14ac:dyDescent="0.2">
      <c r="A279" s="397" t="s">
        <v>278</v>
      </c>
      <c r="B279" s="397"/>
      <c r="C279" s="397"/>
      <c r="D279" s="397"/>
      <c r="E279" s="397"/>
      <c r="F279" s="397"/>
      <c r="G279" s="397"/>
      <c r="H279" s="397"/>
      <c r="I279" s="397"/>
      <c r="J279" s="397"/>
      <c r="K279" s="397"/>
      <c r="L279" s="397"/>
      <c r="M279" s="397"/>
    </row>
    <row r="280" spans="1:13" ht="60" x14ac:dyDescent="0.2">
      <c r="A280" s="398" t="s">
        <v>89</v>
      </c>
      <c r="B280" s="398"/>
      <c r="C280" s="331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82" t="s">
        <v>202</v>
      </c>
      <c r="B281" s="382"/>
      <c r="C281" s="382"/>
      <c r="D281" s="382"/>
      <c r="E281" s="382"/>
      <c r="F281" s="382"/>
      <c r="G281" s="382"/>
      <c r="H281" s="382"/>
      <c r="I281" s="382"/>
      <c r="J281" s="382"/>
      <c r="K281" s="382"/>
      <c r="L281" s="382"/>
      <c r="M281" s="382"/>
    </row>
    <row r="282" spans="1:13" ht="15" x14ac:dyDescent="0.2">
      <c r="A282" s="294" t="s">
        <v>274</v>
      </c>
      <c r="B282" s="296"/>
      <c r="C282" s="296"/>
      <c r="D282" s="250">
        <f>D249</f>
        <v>404.27874257322395</v>
      </c>
      <c r="E282" s="250">
        <f t="shared" ref="E282:L282" si="73">E249</f>
        <v>158.72831396442976</v>
      </c>
      <c r="F282" s="250">
        <f t="shared" si="73"/>
        <v>439.72904986487174</v>
      </c>
      <c r="G282" s="250">
        <f t="shared" si="73"/>
        <v>225.33145426451676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1.8863854314845321</v>
      </c>
      <c r="L282" s="250">
        <f t="shared" si="73"/>
        <v>44.105573673745504</v>
      </c>
      <c r="M282" s="250">
        <f>SUM(D282:L282)</f>
        <v>1534.8502289095616</v>
      </c>
    </row>
    <row r="283" spans="1:13" ht="15" x14ac:dyDescent="0.2">
      <c r="A283" s="294" t="s">
        <v>275</v>
      </c>
      <c r="B283" s="296"/>
      <c r="C283" s="296"/>
      <c r="D283" s="250">
        <f>D250</f>
        <v>409.02498135881217</v>
      </c>
      <c r="E283" s="250">
        <f t="shared" ref="E283:L283" si="74">E250</f>
        <v>158.86170555792916</v>
      </c>
      <c r="F283" s="250">
        <f t="shared" si="74"/>
        <v>442.06920821298075</v>
      </c>
      <c r="G283" s="250">
        <f t="shared" si="74"/>
        <v>224.4365377419966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1.7656387637725968</v>
      </c>
      <c r="L283" s="250">
        <f t="shared" si="74"/>
        <v>43.430868637203197</v>
      </c>
      <c r="M283" s="250">
        <f>SUM(D283:L283)</f>
        <v>1544.9678720240393</v>
      </c>
    </row>
    <row r="284" spans="1:13" ht="15" x14ac:dyDescent="0.2">
      <c r="A284" s="382" t="s">
        <v>203</v>
      </c>
      <c r="B284" s="382"/>
      <c r="C284" s="382"/>
      <c r="D284" s="382"/>
      <c r="E284" s="382"/>
      <c r="F284" s="382"/>
      <c r="G284" s="382"/>
      <c r="H284" s="382"/>
      <c r="I284" s="382"/>
      <c r="J284" s="382"/>
      <c r="K284" s="382"/>
      <c r="L284" s="382"/>
      <c r="M284" s="382"/>
    </row>
    <row r="285" spans="1:13" ht="15" x14ac:dyDescent="0.2">
      <c r="A285" s="412">
        <f>A243</f>
        <v>2013</v>
      </c>
      <c r="B285" s="412"/>
      <c r="C285" s="292"/>
      <c r="D285" s="255">
        <f>'Rate Class Energy Model'!H81/1000000</f>
        <v>-6.5344445054800815</v>
      </c>
      <c r="E285" s="255">
        <f>'Rate Class Energy Model'!I81/1000000</f>
        <v>-2.5655599709428825</v>
      </c>
      <c r="F285" s="255">
        <f>'Rate Class Energy Model'!J81/1000000</f>
        <v>-4.6073313014250248</v>
      </c>
      <c r="G285" s="255">
        <f>'Rate Class Energy Model'!K81/1000000</f>
        <v>-1.1249401751392043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-14.832275952987192</v>
      </c>
    </row>
    <row r="286" spans="1:13" ht="15" x14ac:dyDescent="0.2">
      <c r="A286" s="412">
        <f>A244</f>
        <v>2014</v>
      </c>
      <c r="B286" s="412"/>
      <c r="C286" s="296"/>
      <c r="D286" s="255">
        <f>'Rate Class Energy Model'!H82/1000000</f>
        <v>-11.733922436680077</v>
      </c>
      <c r="E286" s="255">
        <f>'Rate Class Energy Model'!I82/1000000</f>
        <v>-4.5573522795181454</v>
      </c>
      <c r="F286" s="255">
        <f>'Rate Class Energy Model'!J82/1000000</f>
        <v>-8.2209150883873434</v>
      </c>
      <c r="G286" s="255">
        <f>'Rate Class Energy Model'!K82/1000000</f>
        <v>-1.9886885797745075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-26.500878384360075</v>
      </c>
    </row>
    <row r="287" spans="1:13" ht="15" customHeight="1" x14ac:dyDescent="0.2">
      <c r="A287" s="382" t="s">
        <v>204</v>
      </c>
      <c r="B287" s="382"/>
      <c r="C287" s="382"/>
      <c r="D287" s="382"/>
      <c r="E287" s="382"/>
      <c r="F287" s="382"/>
      <c r="G287" s="382"/>
      <c r="H287" s="382"/>
      <c r="I287" s="382"/>
      <c r="J287" s="382"/>
      <c r="K287" s="382"/>
      <c r="L287" s="382"/>
      <c r="M287" s="382"/>
    </row>
    <row r="288" spans="1:13" ht="15" x14ac:dyDescent="0.2">
      <c r="A288" s="412">
        <f>A285</f>
        <v>2013</v>
      </c>
      <c r="B288" s="412"/>
      <c r="C288" s="296"/>
      <c r="D288" s="255">
        <f>-'Rate Class Energy Model'!H85/1000000</f>
        <v>-1.0089926344571536</v>
      </c>
      <c r="E288" s="255">
        <f>-'Rate Class Energy Model'!I85/1000000</f>
        <v>-0.3961516716177686</v>
      </c>
      <c r="F288" s="255">
        <f>-'Rate Class Energy Model'!J85/1000000</f>
        <v>-1.097468963236762</v>
      </c>
      <c r="G288" s="255">
        <f>-'Rate Class Energy Model'!K85/1000000</f>
        <v>-0.56237875931168146</v>
      </c>
      <c r="H288" s="255">
        <f>-'Rate Class Energy Model'!L85/1000000</f>
        <v>-0.51213955328350469</v>
      </c>
      <c r="I288" s="255">
        <f>-'Rate Class Energy Model'!M85/1000000</f>
        <v>-0.1146005278515774</v>
      </c>
      <c r="J288" s="255">
        <f>-'Rate Class Energy Model'!N85/1000000</f>
        <v>-2.4137338190824316E-2</v>
      </c>
      <c r="K288" s="255">
        <f>-'Rate Class Energy Model'!O85/1000000</f>
        <v>-4.7080115912115595E-3</v>
      </c>
      <c r="L288" s="255">
        <f>-'Rate Class Energy Model'!P85/1000000</f>
        <v>0</v>
      </c>
      <c r="M288" s="255">
        <f>SUM(D288:L288)</f>
        <v>-3.7205774595404835</v>
      </c>
    </row>
    <row r="289" spans="1:13" ht="15" x14ac:dyDescent="0.2">
      <c r="A289" s="412">
        <f>A286</f>
        <v>2014</v>
      </c>
      <c r="B289" s="412"/>
      <c r="C289" s="296"/>
      <c r="D289" s="255">
        <f>-'Rate Class Energy Model'!H86/1000000</f>
        <v>-2.0270018289259624</v>
      </c>
      <c r="E289" s="255">
        <f>-'Rate Class Energy Model'!I86/1000000</f>
        <v>-0.78726968373048656</v>
      </c>
      <c r="F289" s="255">
        <f>-'Rate Class Energy Model'!J86/1000000</f>
        <v>-2.1907588396746194</v>
      </c>
      <c r="G289" s="255">
        <f>-'Rate Class Energy Model'!K86/1000000</f>
        <v>-1.1122383551476855</v>
      </c>
      <c r="H289" s="255">
        <f>-'Rate Class Energy Model'!L86/1000000</f>
        <v>-1.0371974532206745</v>
      </c>
      <c r="I289" s="255">
        <f>-'Rate Class Energy Model'!M86/1000000</f>
        <v>-0.22988154395609547</v>
      </c>
      <c r="J289" s="255">
        <f>-'Rate Class Energy Model'!N86/1000000</f>
        <v>-4.8057252524583489E-2</v>
      </c>
      <c r="K289" s="255">
        <f>-'Rate Class Energy Model'!O86/1000000</f>
        <v>-8.7499619008601284E-3</v>
      </c>
      <c r="L289" s="255">
        <f>-'Rate Class Energy Model'!P86/1000000</f>
        <v>0</v>
      </c>
      <c r="M289" s="255">
        <f>SUM(D289:L289)</f>
        <v>-7.4411549190809669</v>
      </c>
    </row>
    <row r="290" spans="1:13" ht="15" x14ac:dyDescent="0.2">
      <c r="A290" s="382" t="s">
        <v>205</v>
      </c>
      <c r="B290" s="382"/>
      <c r="C290" s="382"/>
      <c r="D290" s="382"/>
      <c r="E290" s="382"/>
      <c r="F290" s="382"/>
      <c r="G290" s="382"/>
      <c r="H290" s="382"/>
      <c r="I290" s="382"/>
      <c r="J290" s="382"/>
      <c r="K290" s="382"/>
      <c r="L290" s="382"/>
      <c r="M290" s="382"/>
    </row>
    <row r="291" spans="1:13" ht="15" x14ac:dyDescent="0.2">
      <c r="A291" s="294" t="s">
        <v>276</v>
      </c>
      <c r="B291" s="292"/>
      <c r="C291" s="292"/>
      <c r="D291" s="256">
        <f>D282+D285+D288</f>
        <v>396.73530543328673</v>
      </c>
      <c r="E291" s="256">
        <f t="shared" ref="E291:L291" si="75">E282+E285+E288</f>
        <v>155.76660232186913</v>
      </c>
      <c r="F291" s="256">
        <f t="shared" si="75"/>
        <v>434.02424960021</v>
      </c>
      <c r="G291" s="256">
        <f t="shared" si="75"/>
        <v>223.64413533006586</v>
      </c>
      <c r="H291" s="256">
        <f t="shared" si="75"/>
        <v>204.68969002683136</v>
      </c>
      <c r="I291" s="256">
        <f t="shared" si="75"/>
        <v>45.803036247554289</v>
      </c>
      <c r="J291" s="256">
        <f t="shared" si="75"/>
        <v>9.647105443577459</v>
      </c>
      <c r="K291" s="256">
        <f t="shared" si="75"/>
        <v>1.8816774198933206</v>
      </c>
      <c r="L291" s="256">
        <f t="shared" si="75"/>
        <v>44.105573673745504</v>
      </c>
      <c r="M291" s="250">
        <f>SUM(D291:L291)</f>
        <v>1516.2973754970335</v>
      </c>
    </row>
    <row r="292" spans="1:13" ht="15" x14ac:dyDescent="0.2">
      <c r="A292" s="294" t="s">
        <v>277</v>
      </c>
      <c r="B292" s="296"/>
      <c r="C292" s="296"/>
      <c r="D292" s="256">
        <f>D283+D286+D289</f>
        <v>395.26405709320613</v>
      </c>
      <c r="E292" s="256">
        <f t="shared" ref="E292:L292" si="76">E283+E286+E289</f>
        <v>153.51708359468051</v>
      </c>
      <c r="F292" s="256">
        <f t="shared" si="76"/>
        <v>431.65753428491877</v>
      </c>
      <c r="G292" s="256">
        <f t="shared" si="76"/>
        <v>221.3356108070744</v>
      </c>
      <c r="H292" s="256">
        <f t="shared" si="76"/>
        <v>208.25697432055796</v>
      </c>
      <c r="I292" s="256">
        <f t="shared" si="76"/>
        <v>46.157493587914736</v>
      </c>
      <c r="J292" s="256">
        <f t="shared" si="76"/>
        <v>9.6493275931708169</v>
      </c>
      <c r="K292" s="256">
        <f t="shared" si="76"/>
        <v>1.7568888018717366</v>
      </c>
      <c r="L292" s="256">
        <f t="shared" si="76"/>
        <v>43.430868637203197</v>
      </c>
      <c r="M292" s="250">
        <f>SUM(D292:L292)</f>
        <v>1511.0258387205981</v>
      </c>
    </row>
    <row r="294" spans="1:13" ht="15" x14ac:dyDescent="0.2">
      <c r="A294" s="397" t="s">
        <v>279</v>
      </c>
      <c r="B294" s="397"/>
      <c r="C294" s="397"/>
      <c r="D294" s="397"/>
      <c r="E294" s="397"/>
      <c r="F294" s="397"/>
      <c r="G294" s="397"/>
      <c r="H294" s="397"/>
      <c r="I294" s="397"/>
      <c r="J294" s="397"/>
    </row>
    <row r="295" spans="1:13" ht="60" x14ac:dyDescent="0.2">
      <c r="A295" s="398" t="s">
        <v>89</v>
      </c>
      <c r="B295" s="398"/>
      <c r="C295" s="331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82" t="s">
        <v>206</v>
      </c>
      <c r="B296" s="382"/>
      <c r="C296" s="382"/>
      <c r="D296" s="382"/>
      <c r="E296" s="382"/>
      <c r="F296" s="382"/>
      <c r="G296" s="382"/>
      <c r="H296" s="382"/>
      <c r="I296" s="382"/>
      <c r="J296" s="382"/>
    </row>
    <row r="297" spans="1:13" ht="15" x14ac:dyDescent="0.2">
      <c r="A297" s="409">
        <f t="shared" ref="A297:A306" si="78">A228</f>
        <v>2003</v>
      </c>
      <c r="B297" s="410"/>
      <c r="C297" s="335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409">
        <f t="shared" si="78"/>
        <v>2004</v>
      </c>
      <c r="B298" s="410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409">
        <f t="shared" si="78"/>
        <v>2005</v>
      </c>
      <c r="B299" s="410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409">
        <f t="shared" si="78"/>
        <v>2006</v>
      </c>
      <c r="B300" s="410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409">
        <f t="shared" si="78"/>
        <v>2007</v>
      </c>
      <c r="B301" s="410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409">
        <f t="shared" si="78"/>
        <v>2008</v>
      </c>
      <c r="B302" s="410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409">
        <f t="shared" si="78"/>
        <v>2009</v>
      </c>
      <c r="B303" s="410"/>
      <c r="C303" s="192"/>
      <c r="D303" s="258">
        <f>'Rate Class Load Model'!B12</f>
        <v>1337289.374367215</v>
      </c>
      <c r="E303" s="258">
        <f>'Rate Class Load Model'!C12</f>
        <v>530195.33860000013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107590.9891359524</v>
      </c>
      <c r="J303" s="258">
        <f t="shared" si="79"/>
        <v>2486460.1460031676</v>
      </c>
      <c r="L303" s="215">
        <f>'Rate Class Load Model'!H12</f>
        <v>2486460.1460031676</v>
      </c>
    </row>
    <row r="304" spans="1:13" x14ac:dyDescent="0.2">
      <c r="A304" s="409">
        <f t="shared" si="78"/>
        <v>2010</v>
      </c>
      <c r="B304" s="410"/>
      <c r="C304" s="259"/>
      <c r="D304" s="258">
        <f>'Rate Class Load Model'!B13</f>
        <v>1294863.0522035467</v>
      </c>
      <c r="E304" s="258">
        <f>'Rate Class Load Model'!C13</f>
        <v>570059.7252000001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26613.739999999998</v>
      </c>
      <c r="I304" s="258">
        <f>'Rate Class Load Model'!G13</f>
        <v>101371.27183867896</v>
      </c>
      <c r="J304" s="258">
        <f t="shared" si="79"/>
        <v>2490272.3115422265</v>
      </c>
      <c r="L304" s="215">
        <f>'Rate Class Load Model'!H13</f>
        <v>2490272.3115422265</v>
      </c>
    </row>
    <row r="305" spans="1:12" x14ac:dyDescent="0.2">
      <c r="A305" s="409">
        <f t="shared" si="78"/>
        <v>2011</v>
      </c>
      <c r="B305" s="410"/>
      <c r="C305" s="259"/>
      <c r="D305" s="258">
        <f>'Rate Class Load Model'!B14</f>
        <v>1331831.0365679159</v>
      </c>
      <c r="E305" s="258">
        <f>'Rate Class Load Model'!C14</f>
        <v>582382.60674197262</v>
      </c>
      <c r="F305" s="258">
        <f>'Rate Class Load Model'!D14</f>
        <v>431698.85844270035</v>
      </c>
      <c r="G305" s="258">
        <f>'Rate Class Load Model'!E14</f>
        <v>81847.960000000006</v>
      </c>
      <c r="H305" s="258">
        <f>'Rate Class Load Model'!F14</f>
        <v>26604.027249875653</v>
      </c>
      <c r="I305" s="258">
        <f>'Rate Class Load Model'!G14</f>
        <v>107151.21353000897</v>
      </c>
      <c r="J305" s="258">
        <f t="shared" si="79"/>
        <v>2561515.7025324735</v>
      </c>
      <c r="L305" s="215">
        <f>'Rate Class Load Model'!H14</f>
        <v>2561515.7025324735</v>
      </c>
    </row>
    <row r="306" spans="1:12" x14ac:dyDescent="0.2">
      <c r="A306" s="409">
        <f t="shared" si="78"/>
        <v>2012</v>
      </c>
      <c r="B306" s="410"/>
      <c r="C306" s="259"/>
      <c r="D306" s="258">
        <f>'Rate Class Load Model'!B15</f>
        <v>1350651.4097994231</v>
      </c>
      <c r="E306" s="258">
        <f>'Rate Class Load Model'!C15</f>
        <v>527946.7194752692</v>
      </c>
      <c r="F306" s="258">
        <f>'Rate Class Load Model'!D15</f>
        <v>483777.43670654291</v>
      </c>
      <c r="G306" s="258">
        <f>'Rate Class Load Model'!E15</f>
        <v>81650.759999999995</v>
      </c>
      <c r="H306" s="258">
        <f>'Rate Class Load Model'!F15</f>
        <v>26876.159901697181</v>
      </c>
      <c r="I306" s="258">
        <f>'Rate Class Load Model'!G15</f>
        <v>100035.04633331299</v>
      </c>
      <c r="J306" s="258">
        <f t="shared" ref="J306" si="80">SUM(D306:I306)</f>
        <v>2570937.5322162453</v>
      </c>
      <c r="L306" s="215">
        <f>'Rate Class Load Model'!H15</f>
        <v>2570937.5322162453</v>
      </c>
    </row>
    <row r="308" spans="1:12" ht="15" x14ac:dyDescent="0.2">
      <c r="A308" s="416" t="s">
        <v>281</v>
      </c>
      <c r="B308" s="417"/>
      <c r="C308" s="417"/>
      <c r="D308" s="417"/>
      <c r="E308" s="417"/>
      <c r="F308" s="417"/>
      <c r="G308" s="417"/>
      <c r="H308" s="417"/>
      <c r="I308" s="417"/>
      <c r="J308" s="336"/>
    </row>
    <row r="309" spans="1:12" ht="60" x14ac:dyDescent="0.2">
      <c r="A309" s="376" t="s">
        <v>89</v>
      </c>
      <c r="B309" s="377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207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399">
        <f t="shared" ref="A311:A320" si="82">A297</f>
        <v>2003</v>
      </c>
      <c r="B311" s="399"/>
      <c r="C311" s="249"/>
      <c r="D311" s="337">
        <f>'Rate Class Load Model'!B24</f>
        <v>2.6168765453389838E-3</v>
      </c>
      <c r="E311" s="337">
        <f>'Rate Class Load Model'!C24</f>
        <v>2.0261587936549882E-3</v>
      </c>
      <c r="F311" s="337">
        <f>'Rate Class Load Model'!D24</f>
        <v>1.8290986807808411E-3</v>
      </c>
      <c r="G311" s="337"/>
      <c r="H311" s="337">
        <f>'Rate Class Load Model'!F24</f>
        <v>2.8189864799764001E-3</v>
      </c>
      <c r="I311" s="337"/>
    </row>
    <row r="312" spans="1:12" x14ac:dyDescent="0.2">
      <c r="A312" s="399">
        <f t="shared" si="82"/>
        <v>2004</v>
      </c>
      <c r="B312" s="399"/>
      <c r="C312" s="296"/>
      <c r="D312" s="337">
        <f>'Rate Class Load Model'!B25</f>
        <v>2.6359680305252189E-3</v>
      </c>
      <c r="E312" s="337">
        <f>'Rate Class Load Model'!C25</f>
        <v>2.0127118184873455E-3</v>
      </c>
      <c r="F312" s="337">
        <f>'Rate Class Load Model'!D25</f>
        <v>1.9113859575333133E-3</v>
      </c>
      <c r="G312" s="337"/>
      <c r="H312" s="337">
        <f>'Rate Class Load Model'!F25</f>
        <v>2.5737538794872931E-3</v>
      </c>
      <c r="I312" s="337"/>
    </row>
    <row r="313" spans="1:12" x14ac:dyDescent="0.2">
      <c r="A313" s="399">
        <f t="shared" si="82"/>
        <v>2005</v>
      </c>
      <c r="B313" s="399"/>
      <c r="C313" s="296"/>
      <c r="D313" s="337">
        <f>'Rate Class Load Model'!B26</f>
        <v>2.6691210062984149E-3</v>
      </c>
      <c r="E313" s="337">
        <f>'Rate Class Load Model'!C26</f>
        <v>2.1441970714009646E-3</v>
      </c>
      <c r="F313" s="337">
        <f>'Rate Class Load Model'!D26</f>
        <v>1.8755496366105252E-3</v>
      </c>
      <c r="G313" s="337"/>
      <c r="H313" s="337">
        <f>'Rate Class Load Model'!F26</f>
        <v>2.5848435489247592E-3</v>
      </c>
      <c r="I313" s="337"/>
    </row>
    <row r="314" spans="1:12" x14ac:dyDescent="0.2">
      <c r="A314" s="399">
        <f t="shared" si="82"/>
        <v>2006</v>
      </c>
      <c r="B314" s="399"/>
      <c r="C314" s="296"/>
      <c r="D314" s="337">
        <f>'Rate Class Load Model'!B27</f>
        <v>2.7986266930352484E-3</v>
      </c>
      <c r="E314" s="337">
        <f>'Rate Class Load Model'!C27</f>
        <v>2.4903143165170842E-3</v>
      </c>
      <c r="F314" s="337">
        <f>'Rate Class Load Model'!D27</f>
        <v>1.8756429898945824E-3</v>
      </c>
      <c r="G314" s="337">
        <f>'Rate Class Load Model'!E27</f>
        <v>1.7175247858142429E-3</v>
      </c>
      <c r="H314" s="337">
        <f>'Rate Class Load Model'!F27</f>
        <v>2.581350540366205E-3</v>
      </c>
      <c r="I314" s="337"/>
    </row>
    <row r="315" spans="1:12" x14ac:dyDescent="0.2">
      <c r="A315" s="399">
        <f t="shared" si="82"/>
        <v>2007</v>
      </c>
      <c r="B315" s="399"/>
      <c r="C315" s="296"/>
      <c r="D315" s="337">
        <f>'Rate Class Load Model'!B28</f>
        <v>2.7062601827898521E-3</v>
      </c>
      <c r="E315" s="337">
        <f>'Rate Class Load Model'!C28</f>
        <v>2.5176058497532483E-3</v>
      </c>
      <c r="F315" s="337">
        <f>'Rate Class Load Model'!D28</f>
        <v>1.9100500388182851E-3</v>
      </c>
      <c r="G315" s="337">
        <f>'Rate Class Load Model'!E28</f>
        <v>1.7047063019203341E-3</v>
      </c>
      <c r="H315" s="337">
        <f>'Rate Class Load Model'!F28</f>
        <v>2.5608843096378443E-3</v>
      </c>
      <c r="I315" s="337"/>
    </row>
    <row r="316" spans="1:12" x14ac:dyDescent="0.2">
      <c r="A316" s="399">
        <f t="shared" si="82"/>
        <v>2008</v>
      </c>
      <c r="B316" s="399"/>
      <c r="C316" s="296"/>
      <c r="D316" s="337">
        <f>'Rate Class Load Model'!B29</f>
        <v>2.7281622913876355E-3</v>
      </c>
      <c r="E316" s="337">
        <f>'Rate Class Load Model'!C29</f>
        <v>2.5160208661421271E-3</v>
      </c>
      <c r="F316" s="337">
        <f>'Rate Class Load Model'!D29</f>
        <v>1.9385686143000424E-3</v>
      </c>
      <c r="G316" s="337">
        <f>'Rate Class Load Model'!E29</f>
        <v>1.6881727128795095E-3</v>
      </c>
      <c r="H316" s="337">
        <f>'Rate Class Load Model'!F29</f>
        <v>2.549505823065918E-3</v>
      </c>
      <c r="I316" s="337"/>
    </row>
    <row r="317" spans="1:12" x14ac:dyDescent="0.2">
      <c r="A317" s="399">
        <f t="shared" si="82"/>
        <v>2009</v>
      </c>
      <c r="B317" s="399"/>
      <c r="C317" s="296"/>
      <c r="D317" s="337">
        <f>'Rate Class Load Model'!B30</f>
        <v>3.0922704816441059E-3</v>
      </c>
      <c r="E317" s="337">
        <f>'Rate Class Load Model'!C30</f>
        <v>2.7470878847799265E-3</v>
      </c>
      <c r="F317" s="337">
        <f>'Rate Class Load Model'!D30</f>
        <v>2.2797105045900515E-3</v>
      </c>
      <c r="G317" s="337">
        <f>'Rate Class Load Model'!E30</f>
        <v>1.6904243776613866E-3</v>
      </c>
      <c r="H317" s="337">
        <f>'Rate Class Load Model'!F30</f>
        <v>2.7929439591232647E-3</v>
      </c>
      <c r="I317" s="337">
        <f>'Rate Class Load Model'!G30</f>
        <v>1.982420537900864E-3</v>
      </c>
    </row>
    <row r="318" spans="1:12" x14ac:dyDescent="0.2">
      <c r="A318" s="399">
        <f t="shared" si="82"/>
        <v>2010</v>
      </c>
      <c r="B318" s="399"/>
      <c r="C318" s="296"/>
      <c r="D318" s="337">
        <f>'Rate Class Load Model'!B31</f>
        <v>3.0359233091886658E-3</v>
      </c>
      <c r="E318" s="337">
        <f>'Rate Class Load Model'!C31</f>
        <v>2.580417081066409E-3</v>
      </c>
      <c r="F318" s="337">
        <f>'Rate Class Load Model'!D31</f>
        <v>2.1440890969027641E-3</v>
      </c>
      <c r="G318" s="337">
        <f>'Rate Class Load Model'!E31</f>
        <v>1.7336493260294912E-3</v>
      </c>
      <c r="H318" s="337">
        <f>'Rate Class Load Model'!F31</f>
        <v>2.7957941257440964E-3</v>
      </c>
      <c r="I318" s="337">
        <f>'Rate Class Load Model'!G31</f>
        <v>2.0351251915705962E-3</v>
      </c>
    </row>
    <row r="319" spans="1:12" x14ac:dyDescent="0.2">
      <c r="A319" s="399">
        <f t="shared" si="82"/>
        <v>2011</v>
      </c>
      <c r="B319" s="399"/>
      <c r="C319" s="296"/>
      <c r="D319" s="337">
        <f>'Rate Class Load Model'!B32</f>
        <v>3.0465595507390272E-3</v>
      </c>
      <c r="E319" s="337">
        <f>'Rate Class Load Model'!C32</f>
        <v>2.4188621519489837E-3</v>
      </c>
      <c r="F319" s="337">
        <f>'Rate Class Load Model'!D32</f>
        <v>2.5514750245168583E-3</v>
      </c>
      <c r="G319" s="337">
        <f>'Rate Class Load Model'!E32</f>
        <v>1.7506184180007564E-3</v>
      </c>
      <c r="H319" s="337">
        <f>'Rate Class Load Model'!F32</f>
        <v>2.7946917100768647E-3</v>
      </c>
      <c r="I319" s="337">
        <f>'Rate Class Load Model'!G32</f>
        <v>2.0900830966685529E-3</v>
      </c>
    </row>
    <row r="320" spans="1:12" x14ac:dyDescent="0.2">
      <c r="A320" s="399">
        <f t="shared" si="82"/>
        <v>2012</v>
      </c>
      <c r="B320" s="399"/>
      <c r="C320" s="296"/>
      <c r="D320" s="337">
        <f>'Rate Class Load Model'!B33</f>
        <v>3.0878999974056518E-3</v>
      </c>
      <c r="E320" s="337">
        <f>'Rate Class Load Model'!C33</f>
        <v>2.3336730824025545E-3</v>
      </c>
      <c r="F320" s="337">
        <f>'Rate Class Load Model'!D33</f>
        <v>2.4045858465408937E-3</v>
      </c>
      <c r="G320" s="337">
        <f>'Rate Class Load Model'!E33</f>
        <v>1.796391424410425E-3</v>
      </c>
      <c r="H320" s="337">
        <f>'Rate Class Load Model'!F33</f>
        <v>2.786488634453041E-3</v>
      </c>
      <c r="I320" s="337">
        <f>'Rate Class Load Model'!G33</f>
        <v>2.2333857595393069E-3</v>
      </c>
    </row>
    <row r="321" spans="1:12" ht="15" x14ac:dyDescent="0.2">
      <c r="A321" s="382" t="s">
        <v>280</v>
      </c>
      <c r="B321" s="382"/>
      <c r="C321" s="294"/>
      <c r="D321" s="260">
        <f>'Rate Class Load Model'!B35</f>
        <v>2.8417668088352803E-3</v>
      </c>
      <c r="E321" s="260">
        <f>'Rate Class Load Model'!C35</f>
        <v>2.3787048916153633E-3</v>
      </c>
      <c r="F321" s="260">
        <f>'Rate Class Load Model'!D35</f>
        <v>2.072015639048816E-3</v>
      </c>
      <c r="G321" s="260">
        <f>'Rate Class Load Model'!E35</f>
        <v>1.7259267638165922E-3</v>
      </c>
      <c r="H321" s="260">
        <f>'Rate Class Load Model'!F35</f>
        <v>2.6839243010855691E-3</v>
      </c>
      <c r="I321" s="260">
        <f>'Rate Class Load Model'!G35</f>
        <v>2.08525364641983E-3</v>
      </c>
    </row>
    <row r="323" spans="1:12" ht="15" x14ac:dyDescent="0.2">
      <c r="A323" s="397" t="s">
        <v>282</v>
      </c>
      <c r="B323" s="397"/>
      <c r="C323" s="397"/>
      <c r="D323" s="397"/>
      <c r="E323" s="397"/>
      <c r="F323" s="397"/>
      <c r="G323" s="397"/>
      <c r="H323" s="397"/>
      <c r="I323" s="397"/>
      <c r="J323" s="397"/>
    </row>
    <row r="324" spans="1:12" ht="60" x14ac:dyDescent="0.2">
      <c r="A324" s="411" t="s">
        <v>89</v>
      </c>
      <c r="B324" s="411"/>
      <c r="C324" s="331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4" t="s">
        <v>208</v>
      </c>
      <c r="B325" s="294"/>
      <c r="C325" s="294"/>
      <c r="D325" s="294"/>
      <c r="E325" s="294"/>
      <c r="F325" s="210"/>
      <c r="G325" s="210"/>
      <c r="H325" s="210"/>
      <c r="I325" s="210"/>
      <c r="J325" s="210"/>
    </row>
    <row r="326" spans="1:12" ht="15" x14ac:dyDescent="0.2">
      <c r="A326" s="294" t="s">
        <v>276</v>
      </c>
      <c r="B326" s="296"/>
      <c r="C326" s="296"/>
      <c r="D326" s="243">
        <f>D321*F291*1000000</f>
        <v>1233395.706743516</v>
      </c>
      <c r="E326" s="243">
        <f t="shared" ref="E326:H326" si="84">E321*G291*1000000</f>
        <v>531983.39869071601</v>
      </c>
      <c r="F326" s="243">
        <f t="shared" si="84"/>
        <v>424120.23888764903</v>
      </c>
      <c r="G326" s="243">
        <f t="shared" si="84"/>
        <v>79052.686123715437</v>
      </c>
      <c r="H326" s="243">
        <f t="shared" si="84"/>
        <v>25892.10073515242</v>
      </c>
      <c r="I326" s="243">
        <f>I321*L291*1000000</f>
        <v>91971.308330616273</v>
      </c>
      <c r="J326" s="243">
        <f>SUM(D326:I326)</f>
        <v>2386415.4395113653</v>
      </c>
      <c r="L326" s="215">
        <f>'Rate Class Load Model'!H16</f>
        <v>2386415.4395113653</v>
      </c>
    </row>
    <row r="327" spans="1:12" ht="15" x14ac:dyDescent="0.2">
      <c r="A327" s="294" t="s">
        <v>277</v>
      </c>
      <c r="B327" s="296"/>
      <c r="C327" s="296"/>
      <c r="D327" s="243">
        <f>D321*F292*1000000</f>
        <v>1226670.0537145592</v>
      </c>
      <c r="E327" s="243">
        <f t="shared" ref="E327:H327" si="85">E321*G292*1000000</f>
        <v>526492.10011546209</v>
      </c>
      <c r="F327" s="243">
        <f t="shared" si="85"/>
        <v>431511.70773318375</v>
      </c>
      <c r="G327" s="243">
        <f t="shared" si="85"/>
        <v>79664.453534074797</v>
      </c>
      <c r="H327" s="243">
        <f t="shared" si="85"/>
        <v>25898.064816446684</v>
      </c>
      <c r="I327" s="243">
        <f>I321*L292*1000000</f>
        <v>90564.377192908592</v>
      </c>
      <c r="J327" s="243">
        <f>SUM(D327:I327)</f>
        <v>2380800.7571066343</v>
      </c>
      <c r="L327" s="215">
        <f>'Rate Class Load Model'!H17</f>
        <v>2380800.7571066348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79" t="s">
        <v>283</v>
      </c>
      <c r="B329" s="380"/>
      <c r="C329" s="380"/>
      <c r="D329" s="380"/>
      <c r="E329" s="380"/>
      <c r="F329" s="380"/>
      <c r="G329" s="380"/>
      <c r="H329" s="380"/>
      <c r="I329" s="381"/>
    </row>
    <row r="330" spans="1:12" ht="60" x14ac:dyDescent="0.2">
      <c r="A330" s="423"/>
      <c r="B330" s="424"/>
      <c r="C330" s="331"/>
      <c r="D330" s="338" t="s">
        <v>214</v>
      </c>
      <c r="E330" s="338" t="s">
        <v>107</v>
      </c>
      <c r="F330" s="338" t="s">
        <v>103</v>
      </c>
      <c r="G330" s="338" t="s">
        <v>102</v>
      </c>
      <c r="H330" s="274" t="s">
        <v>284</v>
      </c>
      <c r="I330" s="274" t="s">
        <v>285</v>
      </c>
    </row>
    <row r="331" spans="1:12" x14ac:dyDescent="0.2">
      <c r="A331" s="387"/>
      <c r="B331" s="389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71" t="s">
        <v>209</v>
      </c>
      <c r="B332" s="372"/>
      <c r="C332" s="372"/>
      <c r="D332" s="372"/>
      <c r="E332" s="372"/>
      <c r="F332" s="372"/>
      <c r="G332" s="372"/>
      <c r="H332" s="372"/>
      <c r="I332" s="373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1485767545.4208729</v>
      </c>
      <c r="F334" s="214">
        <f>Summary!L5</f>
        <v>1523559655.3013182</v>
      </c>
      <c r="G334" s="214">
        <f>Summary!M5</f>
        <v>1520774377.6982965</v>
      </c>
      <c r="H334" s="214">
        <f>Summary!N5</f>
        <v>1535615463.747263</v>
      </c>
      <c r="I334" s="214">
        <f>Summary!O5</f>
        <v>1534509481.9614129</v>
      </c>
    </row>
    <row r="335" spans="1:12" ht="15" customHeight="1" x14ac:dyDescent="0.2">
      <c r="A335" s="431" t="s">
        <v>210</v>
      </c>
      <c r="B335" s="432"/>
      <c r="C335" s="432"/>
      <c r="D335" s="433"/>
      <c r="E335" s="263">
        <f>E334/E333-1</f>
        <v>-1.8106467683334238E-2</v>
      </c>
      <c r="F335" s="263">
        <f>F334/F333-1</f>
        <v>2.7117816939983275E-3</v>
      </c>
      <c r="G335" s="263">
        <f>G334/G333-1</f>
        <v>-3.810422903250843E-3</v>
      </c>
      <c r="H335" s="261"/>
      <c r="I335" s="210"/>
    </row>
    <row r="336" spans="1:12" x14ac:dyDescent="0.2">
      <c r="A336" s="418" t="s">
        <v>217</v>
      </c>
      <c r="B336" s="434"/>
      <c r="C336" s="434"/>
      <c r="D336" s="419"/>
      <c r="E336" s="263"/>
      <c r="F336" s="263"/>
      <c r="G336" s="263"/>
      <c r="H336" s="339">
        <f>Summary!N7</f>
        <v>-3837772.6840290693</v>
      </c>
      <c r="I336" s="339">
        <f>Summary!O7</f>
        <v>-7675545.3680581385</v>
      </c>
    </row>
    <row r="337" spans="1:11" x14ac:dyDescent="0.2">
      <c r="A337" s="418" t="s">
        <v>218</v>
      </c>
      <c r="B337" s="434"/>
      <c r="C337" s="434"/>
      <c r="D337" s="419"/>
      <c r="E337" s="263"/>
      <c r="F337" s="263"/>
      <c r="G337" s="263"/>
      <c r="H337" s="265">
        <f>SUM(H334:H336)</f>
        <v>1531777691.0632339</v>
      </c>
      <c r="I337" s="265">
        <f>SUM(I334:I336)</f>
        <v>1526833936.5933547</v>
      </c>
    </row>
    <row r="338" spans="1:11" ht="12.75" customHeight="1" x14ac:dyDescent="0.2">
      <c r="A338" s="387"/>
      <c r="B338" s="389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71" t="s">
        <v>211</v>
      </c>
      <c r="B339" s="372"/>
      <c r="C339" s="372"/>
      <c r="D339" s="372"/>
      <c r="E339" s="372"/>
      <c r="F339" s="372"/>
      <c r="G339" s="372"/>
      <c r="H339" s="372"/>
      <c r="I339" s="373"/>
    </row>
    <row r="340" spans="1:11" x14ac:dyDescent="0.2">
      <c r="A340" s="264" t="s">
        <v>212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409" t="s">
        <v>59</v>
      </c>
      <c r="B342" s="420"/>
      <c r="C342" s="238"/>
      <c r="D342" s="214">
        <f>D27*1000000</f>
        <v>389793819</v>
      </c>
      <c r="E342" s="214">
        <f>Summary!K17</f>
        <v>396266835.39498085</v>
      </c>
      <c r="F342" s="214">
        <f>Summary!L17</f>
        <v>396556720.36740744</v>
      </c>
      <c r="G342" s="214">
        <f>Summary!M17</f>
        <v>399587578.13183582</v>
      </c>
      <c r="H342" s="214">
        <f>Summary!N17</f>
        <v>396735305.43328667</v>
      </c>
      <c r="I342" s="214">
        <f>Summary!O17</f>
        <v>395264057.09320611</v>
      </c>
    </row>
    <row r="343" spans="1:11" x14ac:dyDescent="0.2">
      <c r="A343" s="387"/>
      <c r="B343" s="389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421" t="str">
        <f>E280</f>
        <v>General Service &lt; 50 kW</v>
      </c>
      <c r="B344" s="422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409" t="s">
        <v>59</v>
      </c>
      <c r="B346" s="420"/>
      <c r="C346" s="238"/>
      <c r="D346" s="214">
        <f>E27*1000000</f>
        <v>168223630</v>
      </c>
      <c r="E346" s="214">
        <f>Summary!K21</f>
        <v>163479892.81864908</v>
      </c>
      <c r="F346" s="214">
        <f>Summary!L21</f>
        <v>158322069.2436029</v>
      </c>
      <c r="G346" s="214">
        <f>Summary!M21</f>
        <v>158595034.3760052</v>
      </c>
      <c r="H346" s="214">
        <f>Summary!N21</f>
        <v>155766602.32186913</v>
      </c>
      <c r="I346" s="214">
        <f>Summary!O21</f>
        <v>153517083.59468055</v>
      </c>
    </row>
    <row r="347" spans="1:11" x14ac:dyDescent="0.2">
      <c r="A347" s="387"/>
      <c r="B347" s="389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421" t="str">
        <f>Summary!A23</f>
        <v>General Service &gt; 50 to 999 kW</v>
      </c>
      <c r="B348" s="422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409" t="s">
        <v>59</v>
      </c>
      <c r="B350" s="420"/>
      <c r="C350" s="238"/>
      <c r="D350" s="214">
        <f>F27*1000000</f>
        <v>494496789</v>
      </c>
      <c r="E350" s="214">
        <f>Summary!K25</f>
        <v>426513755.5630784</v>
      </c>
      <c r="F350" s="214">
        <f>Summary!L25</f>
        <v>437159036.08214176</v>
      </c>
      <c r="G350" s="214">
        <f>Summary!M25</f>
        <v>437401279.48903602</v>
      </c>
      <c r="H350" s="214">
        <f>Summary!N25</f>
        <v>434024249.60020995</v>
      </c>
      <c r="I350" s="214">
        <f>Summary!O25</f>
        <v>431657534.28491879</v>
      </c>
    </row>
    <row r="351" spans="1:11" x14ac:dyDescent="0.2">
      <c r="A351" s="409" t="s">
        <v>60</v>
      </c>
      <c r="B351" s="420"/>
      <c r="C351" s="238"/>
      <c r="D351" s="214">
        <v>1312686</v>
      </c>
      <c r="E351" s="214">
        <f>Summary!K26</f>
        <v>1294863.0522035467</v>
      </c>
      <c r="F351" s="214">
        <f>Summary!L26</f>
        <v>1331831.0365679159</v>
      </c>
      <c r="G351" s="214">
        <f>Summary!M26</f>
        <v>1350651.4097994231</v>
      </c>
      <c r="H351" s="214">
        <f>Summary!N26</f>
        <v>1233395.7067435158</v>
      </c>
      <c r="I351" s="214">
        <f>Summary!O26</f>
        <v>1226670.0537145592</v>
      </c>
    </row>
    <row r="352" spans="1:11" x14ac:dyDescent="0.2">
      <c r="A352" s="387"/>
      <c r="B352" s="389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421" t="str">
        <f>Summary!A28</f>
        <v>General Service &gt; 1000 to 4999 kW</v>
      </c>
      <c r="B353" s="422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409" t="s">
        <v>59</v>
      </c>
      <c r="B355" s="420"/>
      <c r="C355" s="238"/>
      <c r="D355" s="214">
        <f>G27*1000000</f>
        <v>215965446</v>
      </c>
      <c r="E355" s="214">
        <f>Summary!K30</f>
        <v>220917668.45862433</v>
      </c>
      <c r="F355" s="214">
        <f>Summary!L30</f>
        <v>240767174.87713027</v>
      </c>
      <c r="G355" s="214">
        <f>Summary!M30</f>
        <v>226229939.17028835</v>
      </c>
      <c r="H355" s="214">
        <f>Summary!N30</f>
        <v>223644135.33006588</v>
      </c>
      <c r="I355" s="214">
        <f>Summary!O30</f>
        <v>221335610.80707443</v>
      </c>
    </row>
    <row r="356" spans="1:9" x14ac:dyDescent="0.2">
      <c r="A356" s="409" t="s">
        <v>60</v>
      </c>
      <c r="B356" s="420"/>
      <c r="C356" s="238"/>
      <c r="D356" s="214">
        <v>478860</v>
      </c>
      <c r="E356" s="214">
        <f>Summary!K31</f>
        <v>570059.7252000001</v>
      </c>
      <c r="F356" s="214">
        <f>Summary!L31</f>
        <v>582382.60674197262</v>
      </c>
      <c r="G356" s="214">
        <f>Summary!M31</f>
        <v>527946.7194752692</v>
      </c>
      <c r="H356" s="214">
        <f>Summary!N31</f>
        <v>531983.39869071601</v>
      </c>
      <c r="I356" s="214">
        <f>Summary!O31</f>
        <v>526492.10011546221</v>
      </c>
    </row>
    <row r="357" spans="1:9" x14ac:dyDescent="0.2">
      <c r="A357" s="387"/>
      <c r="B357" s="389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421" t="str">
        <f>Summary!A33</f>
        <v>Large User</v>
      </c>
      <c r="B358" s="422"/>
      <c r="C358" s="296"/>
      <c r="D358" s="214"/>
      <c r="E358" s="214"/>
      <c r="F358" s="214"/>
      <c r="G358" s="214"/>
      <c r="H358" s="214"/>
      <c r="I358" s="210"/>
    </row>
    <row r="359" spans="1:9" x14ac:dyDescent="0.2">
      <c r="A359" s="296" t="str">
        <f>A354</f>
        <v xml:space="preserve">  Customers</v>
      </c>
      <c r="B359" s="296"/>
      <c r="C359" s="296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409" t="s">
        <v>59</v>
      </c>
      <c r="B360" s="420"/>
      <c r="C360" s="296"/>
      <c r="D360" s="214">
        <f>H27*1000000</f>
        <v>159305102</v>
      </c>
      <c r="E360" s="214">
        <f>Summary!K35</f>
        <v>196557280.62270561</v>
      </c>
      <c r="F360" s="214">
        <f>Summary!L35</f>
        <v>169195800.19186977</v>
      </c>
      <c r="G360" s="214">
        <f>Summary!M35</f>
        <v>201189505.21250001</v>
      </c>
      <c r="H360" s="214">
        <f>Summary!N35</f>
        <v>204689690.02683136</v>
      </c>
      <c r="I360" s="214">
        <f>Summary!O35</f>
        <v>208256974.32055795</v>
      </c>
    </row>
    <row r="361" spans="1:9" x14ac:dyDescent="0.2">
      <c r="A361" s="409" t="s">
        <v>60</v>
      </c>
      <c r="B361" s="420"/>
      <c r="C361" s="296"/>
      <c r="D361" s="214">
        <v>308824</v>
      </c>
      <c r="E361" s="214">
        <f>Summary!K36</f>
        <v>421436.3223</v>
      </c>
      <c r="F361" s="214">
        <f>Summary!L36</f>
        <v>431698.85844270035</v>
      </c>
      <c r="G361" s="214">
        <f>Summary!M36</f>
        <v>483777.43670654291</v>
      </c>
      <c r="H361" s="214">
        <f>Summary!N36</f>
        <v>424120.23888764903</v>
      </c>
      <c r="I361" s="214">
        <f>Summary!O36</f>
        <v>431511.70773318375</v>
      </c>
    </row>
    <row r="362" spans="1:9" x14ac:dyDescent="0.2">
      <c r="A362" s="387"/>
      <c r="B362" s="389"/>
      <c r="C362" s="296"/>
      <c r="D362" s="214"/>
      <c r="E362" s="214"/>
      <c r="F362" s="214"/>
      <c r="G362" s="214"/>
      <c r="H362" s="214"/>
      <c r="I362" s="210"/>
    </row>
    <row r="363" spans="1:9" x14ac:dyDescent="0.2">
      <c r="A363" s="421" t="str">
        <f>Summary!A38</f>
        <v>Direct Market Participant</v>
      </c>
      <c r="B363" s="422"/>
      <c r="C363" s="296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6" t="str">
        <f>A359</f>
        <v xml:space="preserve">  Customers</v>
      </c>
      <c r="B364" s="296"/>
      <c r="C364" s="296"/>
      <c r="D364" s="214"/>
      <c r="E364" s="214">
        <f>Summary!K40</f>
        <v>43796746.469999999</v>
      </c>
      <c r="F364" s="214">
        <f>Summary!L40</f>
        <v>46753740.940000005</v>
      </c>
      <c r="G364" s="214">
        <f>Summary!M40</f>
        <v>45452655.189999998</v>
      </c>
      <c r="H364" s="214">
        <f>Summary!N40</f>
        <v>45803036.247554295</v>
      </c>
      <c r="I364" s="214">
        <f>Summary!O40</f>
        <v>46157493.587914743</v>
      </c>
    </row>
    <row r="365" spans="1:9" x14ac:dyDescent="0.2">
      <c r="A365" s="409" t="s">
        <v>59</v>
      </c>
      <c r="B365" s="420"/>
      <c r="C365" s="296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79052.686123715452</v>
      </c>
      <c r="I365" s="214">
        <f>Summary!O41</f>
        <v>79664.453534074797</v>
      </c>
    </row>
    <row r="366" spans="1:9" x14ac:dyDescent="0.2">
      <c r="A366" s="409" t="s">
        <v>60</v>
      </c>
      <c r="B366" s="420"/>
      <c r="C366" s="296"/>
      <c r="D366" s="214"/>
      <c r="E366" s="214"/>
      <c r="F366" s="214"/>
      <c r="G366" s="214"/>
      <c r="H366" s="214"/>
      <c r="I366" s="210"/>
    </row>
    <row r="367" spans="1:9" x14ac:dyDescent="0.2">
      <c r="A367" s="387"/>
      <c r="B367" s="389"/>
      <c r="C367" s="296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409" t="s">
        <v>59</v>
      </c>
      <c r="B370" s="420"/>
      <c r="C370" s="238"/>
      <c r="D370" s="214">
        <f>J27*1000000</f>
        <v>9470257</v>
      </c>
      <c r="E370" s="214">
        <f>Summary!K45</f>
        <v>9519205.9225450978</v>
      </c>
      <c r="F370" s="214">
        <f>Summary!L45</f>
        <v>9519485.5138937458</v>
      </c>
      <c r="G370" s="214">
        <f>Summary!M45</f>
        <v>9645171.1912231408</v>
      </c>
      <c r="H370" s="214">
        <f>Summary!N45</f>
        <v>9647105.4435774609</v>
      </c>
      <c r="I370" s="214">
        <f>Summary!O45</f>
        <v>9649327.5931708179</v>
      </c>
    </row>
    <row r="371" spans="1:9" x14ac:dyDescent="0.2">
      <c r="A371" s="409" t="s">
        <v>60</v>
      </c>
      <c r="B371" s="420"/>
      <c r="C371" s="238"/>
      <c r="D371" s="214">
        <v>24144</v>
      </c>
      <c r="E371" s="214">
        <f>Summary!K46</f>
        <v>26613.739999999998</v>
      </c>
      <c r="F371" s="214">
        <f>Summary!L46</f>
        <v>26604.027249875653</v>
      </c>
      <c r="G371" s="214">
        <f>Summary!M46</f>
        <v>26876.159901697181</v>
      </c>
      <c r="H371" s="214">
        <f>Summary!N46</f>
        <v>25892.100735152428</v>
      </c>
      <c r="I371" s="214">
        <f>Summary!O46</f>
        <v>25898.064816446684</v>
      </c>
    </row>
    <row r="372" spans="1:9" x14ac:dyDescent="0.2">
      <c r="A372" s="387"/>
      <c r="B372" s="389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421" t="str">
        <f>Summary!A48</f>
        <v xml:space="preserve">Unmetered Loads </v>
      </c>
      <c r="B373" s="422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409" t="s">
        <v>59</v>
      </c>
      <c r="B375" s="420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2067610.5874618385</v>
      </c>
      <c r="G375" s="214">
        <f>Summary!M50</f>
        <v>2015389.596745051</v>
      </c>
      <c r="H375" s="214">
        <f>Summary!N50</f>
        <v>1881677.4198933209</v>
      </c>
      <c r="I375" s="214">
        <f>Summary!O50</f>
        <v>1756888.8018717372</v>
      </c>
    </row>
    <row r="376" spans="1:9" x14ac:dyDescent="0.2">
      <c r="A376" s="387"/>
      <c r="B376" s="389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421" t="str">
        <f>Summary!A52</f>
        <v>Embedded Distributor</v>
      </c>
      <c r="B377" s="422"/>
      <c r="C377" s="296"/>
      <c r="D377" s="214"/>
      <c r="E377" s="214"/>
      <c r="F377" s="214"/>
      <c r="G377" s="214"/>
      <c r="H377" s="214"/>
      <c r="I377" s="210"/>
    </row>
    <row r="378" spans="1:9" x14ac:dyDescent="0.2">
      <c r="A378" s="296" t="str">
        <f>Summary!A53</f>
        <v xml:space="preserve">  Customers</v>
      </c>
      <c r="B378" s="296"/>
      <c r="C378" s="296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409" t="str">
        <f>Summary!A54</f>
        <v xml:space="preserve">  kWh</v>
      </c>
      <c r="B379" s="420"/>
      <c r="C379" s="296"/>
      <c r="D379" s="214">
        <f>L27*1000000</f>
        <v>53269200</v>
      </c>
      <c r="E379" s="214">
        <f>Summary!K54</f>
        <v>49810828.473134995</v>
      </c>
      <c r="F379" s="214">
        <f>Summary!L54</f>
        <v>51266484.907131471</v>
      </c>
      <c r="G379" s="214">
        <f>Summary!M54</f>
        <v>44790760.353888787</v>
      </c>
      <c r="H379" s="214">
        <f>Summary!N54</f>
        <v>44105573.673745506</v>
      </c>
      <c r="I379" s="214">
        <f>Summary!O54</f>
        <v>43430868.637203194</v>
      </c>
    </row>
    <row r="380" spans="1:9" x14ac:dyDescent="0.2">
      <c r="A380" s="409" t="str">
        <f>Summary!A55</f>
        <v xml:space="preserve">  kW</v>
      </c>
      <c r="B380" s="420"/>
      <c r="C380" s="296"/>
      <c r="D380" s="214">
        <v>103266</v>
      </c>
      <c r="E380" s="214">
        <f>Summary!K55</f>
        <v>101371.27183867896</v>
      </c>
      <c r="F380" s="214">
        <f>Summary!L55</f>
        <v>107151.21353000897</v>
      </c>
      <c r="G380" s="214">
        <f>Summary!M55</f>
        <v>100035.04633331299</v>
      </c>
      <c r="H380" s="214">
        <f>Summary!N55</f>
        <v>91971.308330616273</v>
      </c>
      <c r="I380" s="214">
        <f>Summary!O55</f>
        <v>90564.377192908592</v>
      </c>
    </row>
    <row r="381" spans="1:9" x14ac:dyDescent="0.2">
      <c r="A381" s="387"/>
      <c r="B381" s="389"/>
      <c r="C381" s="296"/>
      <c r="D381" s="214"/>
      <c r="E381" s="214"/>
      <c r="F381" s="214"/>
      <c r="G381" s="214"/>
      <c r="H381" s="214"/>
      <c r="I381" s="210"/>
    </row>
    <row r="382" spans="1:9" x14ac:dyDescent="0.2">
      <c r="A382" s="429" t="s">
        <v>25</v>
      </c>
      <c r="B382" s="430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418" t="s">
        <v>59</v>
      </c>
      <c r="B384" s="419"/>
      <c r="C384" s="238"/>
      <c r="D384" s="266">
        <f t="shared" ref="D384:I385" si="87">D342+D346+D350+D355+D360+D364+D370+D375+D379</f>
        <v>1492380174</v>
      </c>
      <c r="E384" s="266">
        <f t="shared" si="87"/>
        <v>1508992455.6342266</v>
      </c>
      <c r="F384" s="266">
        <f t="shared" si="87"/>
        <v>1511608122.7106395</v>
      </c>
      <c r="G384" s="266">
        <f t="shared" si="87"/>
        <v>1524907312.7115223</v>
      </c>
      <c r="H384" s="266">
        <f t="shared" si="87"/>
        <v>1516297375.4970336</v>
      </c>
      <c r="I384" s="266">
        <f t="shared" si="87"/>
        <v>1511025838.7205987</v>
      </c>
    </row>
    <row r="385" spans="1:9" x14ac:dyDescent="0.2">
      <c r="A385" s="418" t="s">
        <v>69</v>
      </c>
      <c r="B385" s="419"/>
      <c r="C385" s="238"/>
      <c r="D385" s="266">
        <f t="shared" si="87"/>
        <v>2227780</v>
      </c>
      <c r="E385" s="266">
        <f t="shared" si="87"/>
        <v>2490272.3115422265</v>
      </c>
      <c r="F385" s="266">
        <f t="shared" si="87"/>
        <v>2561515.7025324735</v>
      </c>
      <c r="G385" s="266">
        <f t="shared" si="87"/>
        <v>2570937.5322162453</v>
      </c>
      <c r="H385" s="266">
        <f t="shared" si="87"/>
        <v>2386415.4395113653</v>
      </c>
      <c r="I385" s="266">
        <f t="shared" si="87"/>
        <v>2380800.7571066348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1508992455.6342266</v>
      </c>
      <c r="F388" s="266">
        <f>Summary!L63</f>
        <v>1511608122.7106395</v>
      </c>
      <c r="G388" s="266">
        <f>Summary!M63</f>
        <v>1524907312.7115223</v>
      </c>
      <c r="H388" s="266">
        <f>Summary!N63</f>
        <v>1516297375.4970336</v>
      </c>
      <c r="I388" s="266">
        <f>Summary!O63</f>
        <v>1511025838.7205987</v>
      </c>
    </row>
    <row r="389" spans="1:9" s="190" customFormat="1" x14ac:dyDescent="0.2">
      <c r="D389" s="266">
        <v>2227780</v>
      </c>
      <c r="E389" s="266">
        <f>Summary!K64</f>
        <v>2490272.3115422265</v>
      </c>
      <c r="F389" s="266">
        <f>Summary!L64</f>
        <v>2561515.7025324735</v>
      </c>
      <c r="G389" s="266">
        <f>Summary!M64</f>
        <v>2570937.5322162453</v>
      </c>
      <c r="H389" s="266">
        <f>Summary!N64</f>
        <v>2386415.4395113653</v>
      </c>
      <c r="I389" s="266">
        <f>Summary!O64</f>
        <v>2380800.7571066348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52" sqref="A52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167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1415398231.8241625</v>
      </c>
      <c r="C5" s="29">
        <f>'Purchased Power Model'!N240</f>
        <v>1472169727.7710733</v>
      </c>
      <c r="D5" s="29">
        <f>'Purchased Power Model'!N241</f>
        <v>1503545264.2280295</v>
      </c>
      <c r="E5" s="29">
        <f>'Purchased Power Model'!N242</f>
        <v>1540996225.1877706</v>
      </c>
      <c r="F5" s="29">
        <f>'Purchased Power Model'!N243</f>
        <v>1632861923.8141685</v>
      </c>
      <c r="G5" s="29">
        <f>'Purchased Power Model'!N244</f>
        <v>1630552137.8152494</v>
      </c>
      <c r="H5" s="29">
        <f>'Purchased Power Model'!N245</f>
        <v>1623409147.6340034</v>
      </c>
      <c r="I5" s="29">
        <f>'Purchased Power Model'!N246</f>
        <v>1602109200.6277266</v>
      </c>
      <c r="J5" s="96">
        <f>'Purchased Power Model'!N247</f>
        <v>1453060912.9809282</v>
      </c>
      <c r="K5" s="96">
        <f>'Purchased Power Model'!N248</f>
        <v>1485767545.4208729</v>
      </c>
      <c r="L5" s="6">
        <f>'Purchased Power Model'!N249</f>
        <v>1523559655.3013182</v>
      </c>
      <c r="M5" s="27">
        <f>'Purchased Power Model'!N250</f>
        <v>1520774377.6982965</v>
      </c>
      <c r="N5" s="27">
        <f>'Purchased Power Model'!N251</f>
        <v>1535615463.747263</v>
      </c>
      <c r="O5" s="27">
        <f>'Purchased Power Model'!N252</f>
        <v>1534509481.9614129</v>
      </c>
    </row>
    <row r="6" spans="1:16" x14ac:dyDescent="0.2">
      <c r="A6" s="18" t="s">
        <v>11</v>
      </c>
      <c r="B6" s="46">
        <f t="shared" ref="B6:M6" si="0">(B5-B4)/B4</f>
        <v>-3.9265204922229969E-3</v>
      </c>
      <c r="C6" s="46">
        <f t="shared" si="0"/>
        <v>-3.0922022436238893E-2</v>
      </c>
      <c r="D6" s="46">
        <f t="shared" si="0"/>
        <v>-1.3238848654560344E-2</v>
      </c>
      <c r="E6" s="46">
        <f t="shared" si="0"/>
        <v>-1.8727453997979614E-2</v>
      </c>
      <c r="F6" s="46">
        <f t="shared" si="0"/>
        <v>-4.9523426785452991E-3</v>
      </c>
      <c r="G6" s="46">
        <f t="shared" si="0"/>
        <v>1.9502859241899033E-2</v>
      </c>
      <c r="H6" s="46">
        <f t="shared" si="0"/>
        <v>8.833754857526516E-3</v>
      </c>
      <c r="I6" s="46">
        <f t="shared" si="0"/>
        <v>2.8626200108972214E-2</v>
      </c>
      <c r="J6" s="178">
        <f t="shared" si="0"/>
        <v>1.8657964900047519E-3</v>
      </c>
      <c r="K6" s="178">
        <f t="shared" si="0"/>
        <v>-1.8106467683334224E-2</v>
      </c>
      <c r="L6" s="46">
        <f t="shared" si="0"/>
        <v>2.7117816939982802E-3</v>
      </c>
      <c r="M6" s="178">
        <f t="shared" si="0"/>
        <v>-3.8104229032507948E-3</v>
      </c>
      <c r="N6" s="23"/>
      <c r="O6" s="23"/>
    </row>
    <row r="7" spans="1:16" x14ac:dyDescent="0.2">
      <c r="A7" s="18" t="s">
        <v>217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-3837772.6840290693</v>
      </c>
      <c r="O7" s="270">
        <f>-'Rate Class Energy Model'!G86*'Rate Class Energy Model'!$F$27</f>
        <v>-7675545.3680581385</v>
      </c>
    </row>
    <row r="8" spans="1:16" x14ac:dyDescent="0.2">
      <c r="A8" s="18" t="s">
        <v>218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1531777691.0632339</v>
      </c>
      <c r="O8" s="271">
        <f>O5+O7</f>
        <v>1526833936.5933547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225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1414463967.9417174</v>
      </c>
      <c r="K10" s="271">
        <f>'Rate Class Energy Model'!G21</f>
        <v>1472796612.2808111</v>
      </c>
      <c r="L10" s="6">
        <f>'Rate Class Energy Model'!G22</f>
        <v>1473820231.5484335</v>
      </c>
      <c r="M10" s="27">
        <f>'Rate Class Energy Model'!G23</f>
        <v>1493125081.2150555</v>
      </c>
      <c r="N10" s="27">
        <f>'Rate Class Energy Model'!G24-'Rate Class Energy Model'!G85</f>
        <v>1485001332.703651</v>
      </c>
      <c r="O10" s="27">
        <f>'Rate Class Energy Model'!G25-'Rate Class Energy Model'!G86</f>
        <v>1480208547.1583576</v>
      </c>
    </row>
    <row r="11" spans="1:16" x14ac:dyDescent="0.2">
      <c r="A11" s="18" t="s">
        <v>226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36195843.353415474</v>
      </c>
      <c r="L11" s="96">
        <f>'Rate Class Energy Model'!R22</f>
        <v>37787891.162206046</v>
      </c>
      <c r="M11" s="96">
        <f>'Rate Class Energy Model'!R23</f>
        <v>31782231.496466905</v>
      </c>
      <c r="N11" s="27">
        <f>'Rate Class Energy Model'!P89</f>
        <v>31296042.793382771</v>
      </c>
      <c r="O11" s="27">
        <f>'Rate Class Energy Model'!P90</f>
        <v>30817291.56224056</v>
      </c>
    </row>
    <row r="12" spans="1:16" x14ac:dyDescent="0.2">
      <c r="A12" s="18" t="s">
        <v>224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1455112239.0806346</v>
      </c>
      <c r="K12" s="29">
        <f t="shared" si="1"/>
        <v>1508992455.6342266</v>
      </c>
      <c r="L12" s="29">
        <f t="shared" si="1"/>
        <v>1511608122.7106395</v>
      </c>
      <c r="M12" s="29">
        <f t="shared" si="1"/>
        <v>1524907312.7115223</v>
      </c>
      <c r="N12" s="29">
        <f t="shared" si="1"/>
        <v>1516297375.4970338</v>
      </c>
      <c r="O12" s="29">
        <f t="shared" si="1"/>
        <v>1511025838.7205982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379582713.77996522</v>
      </c>
      <c r="K17" s="27">
        <f>'Rate Class Energy Model'!H21</f>
        <v>396266835.39498085</v>
      </c>
      <c r="L17" s="59">
        <f>'Rate Class Energy Model'!H22</f>
        <v>396556720.36740744</v>
      </c>
      <c r="M17" s="27">
        <f>'Rate Class Energy Model'!H23</f>
        <v>399587578.13183582</v>
      </c>
      <c r="N17" s="27">
        <f>'Rate Class Energy Model'!H73</f>
        <v>396735305.43328667</v>
      </c>
      <c r="O17" s="27">
        <f>'Rate Class Energy Model'!H74</f>
        <v>395264057.09320611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160300294.19006816</v>
      </c>
      <c r="K21" s="27">
        <f>'Rate Class Energy Model'!I21</f>
        <v>163479892.81864908</v>
      </c>
      <c r="L21" s="6">
        <f>'Rate Class Energy Model'!I22</f>
        <v>158322069.2436029</v>
      </c>
      <c r="M21" s="27">
        <f>'Rate Class Energy Model'!I23</f>
        <v>158595034.3760052</v>
      </c>
      <c r="N21" s="27">
        <f>'Rate Class Energy Model'!I73</f>
        <v>155766602.32186913</v>
      </c>
      <c r="O21" s="27">
        <f>'Rate Class Energy Model'!I74</f>
        <v>153517083.59468055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457225682.57655203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432461966.79929554</v>
      </c>
      <c r="K25" s="27">
        <f>'Rate Class Energy Model'!J21</f>
        <v>426513755.5630784</v>
      </c>
      <c r="L25" s="6">
        <f>'Rate Class Energy Model'!J22</f>
        <v>437159036.08214176</v>
      </c>
      <c r="M25" s="27">
        <f>'Rate Class Energy Model'!J23</f>
        <v>437401279.48903602</v>
      </c>
      <c r="N25" s="27">
        <f>'Rate Class Energy Model'!J73</f>
        <v>434024249.60020995</v>
      </c>
      <c r="O25" s="27">
        <f>'Rate Class Energy Model'!J74</f>
        <v>431657534.28491879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1337289.374367215</v>
      </c>
      <c r="K26" s="27">
        <f>'Rate Class Load Model'!B13</f>
        <v>1294863.0522035467</v>
      </c>
      <c r="L26" s="6">
        <f>'Rate Class Load Model'!B14</f>
        <v>1331831.0365679159</v>
      </c>
      <c r="M26" s="27">
        <f>'Rate Class Load Model'!B15</f>
        <v>1350651.4097994231</v>
      </c>
      <c r="N26" s="27">
        <f>'Rate Class Load Model'!B16</f>
        <v>1233395.7067435158</v>
      </c>
      <c r="O26" s="27">
        <f>'Rate Class Load Model'!B17</f>
        <v>1226670.0537145592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193002685.32998714</v>
      </c>
      <c r="K30" s="27">
        <f>'Rate Class Energy Model'!K21</f>
        <v>220917668.45862433</v>
      </c>
      <c r="L30" s="6">
        <f>'Rate Class Energy Model'!K22</f>
        <v>240767174.87713027</v>
      </c>
      <c r="M30" s="27">
        <f>'Rate Class Energy Model'!K23</f>
        <v>226229939.17028835</v>
      </c>
      <c r="N30" s="27">
        <f>'Rate Class Energy Model'!K73</f>
        <v>223644135.33006588</v>
      </c>
      <c r="O30" s="27">
        <f>'Rate Class Energy Model'!K74</f>
        <v>221335610.80707443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530195.33860000013</v>
      </c>
      <c r="K31" s="27">
        <f>'Rate Class Load Model'!C13</f>
        <v>570059.7252000001</v>
      </c>
      <c r="L31" s="6">
        <f>'Rate Class Load Model'!C14</f>
        <v>582382.60674197262</v>
      </c>
      <c r="M31" s="27">
        <f>'Rate Class Load Model'!C15</f>
        <v>527946.7194752692</v>
      </c>
      <c r="N31" s="27">
        <f>'Rate Class Load Model'!C16</f>
        <v>531983.39869071601</v>
      </c>
      <c r="O31" s="27">
        <f>'Rate Class Load Model'!C17</f>
        <v>526492.10011546221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196557280.62270561</v>
      </c>
      <c r="L35" s="6">
        <f>'Rate Class Energy Model'!L22</f>
        <v>169195800.19186977</v>
      </c>
      <c r="M35" s="27">
        <f>'Rate Class Energy Model'!L23</f>
        <v>201189505.21250001</v>
      </c>
      <c r="N35" s="27">
        <f>'Rate Class Energy Model'!L73</f>
        <v>204689690.02683136</v>
      </c>
      <c r="O35" s="27">
        <f>'Rate Class Energy Model'!L74</f>
        <v>208256974.32055795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431698.85844270035</v>
      </c>
      <c r="M36" s="27">
        <f>'Rate Class Load Model'!D15</f>
        <v>483777.43670654291</v>
      </c>
      <c r="N36" s="27">
        <f>'Rate Class Load Model'!D16</f>
        <v>424120.23888764903</v>
      </c>
      <c r="O36" s="27">
        <f>'Rate Class Load Model'!D17</f>
        <v>431511.70773318375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46753740.940000005</v>
      </c>
      <c r="M40" s="27">
        <f>'Rate Class Energy Model'!M23</f>
        <v>45452655.189999998</v>
      </c>
      <c r="N40" s="27">
        <f>'Rate Class Energy Model'!M73</f>
        <v>45803036.247554295</v>
      </c>
      <c r="O40" s="27">
        <f>'Rate Class Energy Model'!M74</f>
        <v>46157493.587914743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79052.686123715452</v>
      </c>
      <c r="O41" s="27">
        <f>'Rate Class Load Model'!E17</f>
        <v>79664.453534074797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9470530.1599761229</v>
      </c>
      <c r="K45" s="27">
        <f>'Rate Class Energy Model'!N21</f>
        <v>9519205.9225450978</v>
      </c>
      <c r="L45" s="6">
        <f>'Rate Class Energy Model'!N22</f>
        <v>9519485.5138937458</v>
      </c>
      <c r="M45" s="27">
        <f>'Rate Class Energy Model'!N23</f>
        <v>9645171.1912231408</v>
      </c>
      <c r="N45" s="27">
        <f>'Rate Class Energy Model'!N73</f>
        <v>9647105.4435774609</v>
      </c>
      <c r="O45" s="27">
        <f>'Rate Class Energy Model'!N74</f>
        <v>9649327.5931708179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26613.739999999998</v>
      </c>
      <c r="L46" s="6">
        <f>'Rate Class Load Model'!F14</f>
        <v>26604.027249875653</v>
      </c>
      <c r="M46" s="27">
        <f>'Rate Class Load Model'!F15</f>
        <v>26876.159901697181</v>
      </c>
      <c r="N46" s="27">
        <f>'Rate Class Load Model'!F16</f>
        <v>25892.100735152428</v>
      </c>
      <c r="O46" s="27">
        <f>'Rate Class Load Model'!F17</f>
        <v>25898.064816446684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2135656.9424311616</v>
      </c>
      <c r="K50" s="27">
        <f>'Rate Class Energy Model'!O21</f>
        <v>2130241.9105078499</v>
      </c>
      <c r="L50" s="6">
        <f>'Rate Class Energy Model'!O22</f>
        <v>2067610.5874618385</v>
      </c>
      <c r="M50" s="27">
        <f>'Rate Class Energy Model'!O23</f>
        <v>2015389.596745051</v>
      </c>
      <c r="N50" s="27">
        <f>'Rate Class Energy Model'!O73</f>
        <v>1881677.4198933209</v>
      </c>
      <c r="O50" s="27">
        <f>'Rate Class Energy Model'!O74</f>
        <v>1756888.8018717372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49810828.473134995</v>
      </c>
      <c r="L54" s="27">
        <f>'Rate Class Energy Model'!P22+'Rate Class Energy Model'!R22</f>
        <v>51266484.907131471</v>
      </c>
      <c r="M54" s="27">
        <f>'Rate Class Energy Model'!P23+'Rate Class Energy Model'!R23</f>
        <v>44790760.353888787</v>
      </c>
      <c r="N54" s="27">
        <f>'Rate Class Energy Model'!P73</f>
        <v>44105573.673745506</v>
      </c>
      <c r="O54" s="27">
        <f>'Rate Class Energy Model'!P74</f>
        <v>43430868.637203194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107590.9891359524</v>
      </c>
      <c r="K55" s="27">
        <f>'Rate Class Load Model'!G13</f>
        <v>101371.27183867896</v>
      </c>
      <c r="L55" s="27">
        <f>'Rate Class Load Model'!G14</f>
        <v>107151.21353000897</v>
      </c>
      <c r="M55" s="27">
        <f>'Rate Class Load Model'!G15</f>
        <v>100035.04633331299</v>
      </c>
      <c r="N55" s="27">
        <f>'Rate Class Load Model'!G16</f>
        <v>91971.308330616273</v>
      </c>
      <c r="O55" s="27">
        <f>'Rate Class Load Model'!G17</f>
        <v>90564.377192908592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1455112239.0806346</v>
      </c>
      <c r="K59" s="27">
        <f t="shared" si="3"/>
        <v>1508992455.6342266</v>
      </c>
      <c r="L59" s="27">
        <f t="shared" si="3"/>
        <v>1511608122.7106395</v>
      </c>
      <c r="M59" s="27">
        <f t="shared" si="3"/>
        <v>1524907312.7115223</v>
      </c>
      <c r="N59" s="27">
        <f>N17+N21+N25+N30+N35+N45+N50+N54+N40</f>
        <v>1516297375.4970336</v>
      </c>
      <c r="O59" s="27">
        <f>O17+O21+O25+O30+O35+O45+O50+O54+O40</f>
        <v>1511025838.7205987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2486460.1460031676</v>
      </c>
      <c r="K60" s="27">
        <f t="shared" si="4"/>
        <v>2490272.3115422265</v>
      </c>
      <c r="L60" s="27">
        <f t="shared" si="4"/>
        <v>2561515.7025324735</v>
      </c>
      <c r="M60" s="27">
        <f t="shared" si="4"/>
        <v>2570937.5322162453</v>
      </c>
      <c r="N60" s="27">
        <f>N26+N31+N36+N46+N55+N41</f>
        <v>2386415.4395113653</v>
      </c>
      <c r="O60" s="27">
        <f>O26+O31+O36+O46+O55+O41</f>
        <v>2380800.7571066348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1455112239.0806346</v>
      </c>
      <c r="K63" s="27">
        <f>'Rate Class Energy Model'!G21+'Rate Class Energy Model'!R21</f>
        <v>1508992455.6342266</v>
      </c>
      <c r="L63" s="27">
        <f>'Rate Class Energy Model'!G22+'Rate Class Energy Model'!R22</f>
        <v>1511608122.7106395</v>
      </c>
      <c r="M63" s="27">
        <f>'Rate Class Energy Model'!G23+'Rate Class Energy Model'!R23</f>
        <v>1524907312.7115223</v>
      </c>
      <c r="N63" s="27">
        <f>'Rate Class Energy Model'!Q73</f>
        <v>1516297375.4970336</v>
      </c>
      <c r="O63" s="27">
        <f>'Rate Class Energy Model'!Q74</f>
        <v>1511025838.7205987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2486460.1460031676</v>
      </c>
      <c r="K64" s="27">
        <f>'Rate Class Load Model'!H13</f>
        <v>2490272.3115422265</v>
      </c>
      <c r="L64" s="27">
        <f>'Rate Class Load Model'!H14</f>
        <v>2561515.7025324735</v>
      </c>
      <c r="M64" s="27">
        <f>'Rate Class Load Model'!H15</f>
        <v>2570937.5322162453</v>
      </c>
      <c r="N64" s="27">
        <f>'Rate Class Load Model'!H16</f>
        <v>2386415.4395113653</v>
      </c>
      <c r="O64" s="27">
        <f>'Rate Class Load Model'!H17</f>
        <v>2380800.7571066348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f>'[6]2009'!$G$31</f>
        <v>80581.967535952397</v>
      </c>
      <c r="K67" s="101">
        <f>'[6]2010'!$G$32</f>
        <v>73663.072638678961</v>
      </c>
      <c r="L67" s="181">
        <f>'[6]2011_V2'!$G$34</f>
        <v>78979.83257687786</v>
      </c>
      <c r="M67" s="181">
        <f>'[6]2012_V2'!$G$32</f>
        <v>70981.98323059082</v>
      </c>
      <c r="N67" s="182"/>
      <c r="O67" s="182"/>
    </row>
    <row r="68" spans="1:15" x14ac:dyDescent="0.2">
      <c r="A68" t="s">
        <v>87</v>
      </c>
      <c r="J68" s="101">
        <f>'[6]2009'!$F$31</f>
        <v>27009.021600000004</v>
      </c>
      <c r="K68" s="101">
        <f>'[6]2010'!$F$32</f>
        <v>27708.199200000003</v>
      </c>
      <c r="L68" s="181">
        <f>'[6]2011_V2'!$F$34</f>
        <v>28171.38095313112</v>
      </c>
      <c r="M68" s="181">
        <f>'[6]2012_V2'!$F$32</f>
        <v>29053.063102722168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101371.27183867896</v>
      </c>
      <c r="L69" s="102">
        <f t="shared" si="5"/>
        <v>107151.21353000897</v>
      </c>
      <c r="M69" s="102">
        <f t="shared" si="5"/>
        <v>100035.04633331299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65" orientation="landscape" verticalDpi="300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zoomScale="90" zoomScaleNormal="9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A207" sqref="A207:XFD207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" style="23" bestFit="1" customWidth="1"/>
    <col min="10" max="10" width="14.85546875" style="23" customWidth="1"/>
    <col min="11" max="11" width="12.28515625" style="33" hidden="1" customWidth="1"/>
    <col min="12" max="12" width="14.85546875" style="158" hidden="1" customWidth="1"/>
    <col min="13" max="13" width="12.42578125" style="158" hidden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7109375" bestFit="1" customWidth="1"/>
    <col min="38" max="38" width="42.85546875" bestFit="1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158</v>
      </c>
      <c r="I2" s="85" t="s">
        <v>230</v>
      </c>
      <c r="J2" s="85" t="s">
        <v>159</v>
      </c>
      <c r="K2" s="87" t="s">
        <v>8</v>
      </c>
      <c r="L2" s="85" t="s">
        <v>160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161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U18+U19*C3+U20*D3+U21*E3+U22*F3+U23*G3+U24*H3+U25*I3+U26*J3</f>
        <v>104181872.68816519</v>
      </c>
      <c r="O3" s="53">
        <f t="shared" ref="O3:O66" si="0">N3-B3</f>
        <v>-1226862.3118348122</v>
      </c>
      <c r="P3" s="171">
        <f t="shared" ref="P3:P66" si="1">O3/B3</f>
        <v>-1.1639095297318691E-2</v>
      </c>
      <c r="Q3" s="13">
        <f>ABS(P3)</f>
        <v>1.1639095297318691E-2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>U18+U19*C4+U20*D4+U21*E4+U22*F4+U23*G4+U24*H4+U25*I4+U26*J4</f>
        <v>98440796.452464148</v>
      </c>
      <c r="O4" s="53">
        <f t="shared" si="0"/>
        <v>499633.4524641484</v>
      </c>
      <c r="P4" s="171">
        <f t="shared" si="1"/>
        <v>5.101363279340969E-3</v>
      </c>
      <c r="Q4" s="13">
        <f t="shared" ref="Q4:Q67" si="2">ABS(P4)</f>
        <v>5.101363279340969E-3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>U18+U19*C5+U20*D5+U21*E5+U22*F5+U23*G5+U24*H5+U25*I5+U26*J5</f>
        <v>99648950.704500169</v>
      </c>
      <c r="O5" s="53">
        <f t="shared" si="0"/>
        <v>1303406.7045001686</v>
      </c>
      <c r="P5" s="171">
        <f t="shared" si="1"/>
        <v>1.325333768554037E-2</v>
      </c>
      <c r="Q5" s="13">
        <f t="shared" si="2"/>
        <v>1.325333768554037E-2</v>
      </c>
      <c r="R5" s="13"/>
      <c r="S5" s="13"/>
      <c r="T5" s="34" t="s">
        <v>30</v>
      </c>
      <c r="U5" s="166">
        <v>0.96412577672963828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>U18+U19*C6+U20*D6+U21*E6+U22*F6+U23*G6+U24*H6+U25*I6+U26*J6</f>
        <v>93361974.624591932</v>
      </c>
      <c r="O6" s="53">
        <f t="shared" si="0"/>
        <v>4684624.6245919317</v>
      </c>
      <c r="P6" s="171">
        <f t="shared" si="1"/>
        <v>5.2827747159696715E-2</v>
      </c>
      <c r="Q6" s="13">
        <f t="shared" si="2"/>
        <v>5.2827747159696715E-2</v>
      </c>
      <c r="R6" s="13"/>
      <c r="S6" s="13"/>
      <c r="T6" s="34" t="s">
        <v>31</v>
      </c>
      <c r="U6" s="166">
        <v>0.92953851335452842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>U18+U19*C7+U20*D7+U21*E7+U22*F7+U23*G7+U24*H7+U25*I7+U26*J7</f>
        <v>95304237.76698181</v>
      </c>
      <c r="O7" s="53">
        <f t="shared" si="0"/>
        <v>9193463.7669818103</v>
      </c>
      <c r="P7" s="171">
        <f t="shared" si="1"/>
        <v>0.10676322299671595</v>
      </c>
      <c r="Q7" s="13">
        <f t="shared" si="2"/>
        <v>0.10676322299671595</v>
      </c>
      <c r="R7" s="13"/>
      <c r="S7" s="13"/>
      <c r="T7" s="34" t="s">
        <v>32</v>
      </c>
      <c r="U7" s="166">
        <v>0.92664778569727835</v>
      </c>
    </row>
    <row r="8" spans="1:25" x14ac:dyDescent="0.2">
      <c r="A8" s="54">
        <f t="shared" ref="A8:A71" si="3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>U18+U19*C8+U20*D8+U21*E8+U22*F8+U23*G8+U24*H8+U25*I8+U26*J8</f>
        <v>94236784.224890217</v>
      </c>
      <c r="O8" s="53">
        <f t="shared" si="0"/>
        <v>6882816.2248902172</v>
      </c>
      <c r="P8" s="171">
        <f t="shared" si="1"/>
        <v>7.8792256178794498E-2</v>
      </c>
      <c r="Q8" s="13">
        <f t="shared" si="2"/>
        <v>7.8792256178794498E-2</v>
      </c>
      <c r="R8" s="13"/>
      <c r="S8" s="13"/>
      <c r="T8" s="34" t="s">
        <v>33</v>
      </c>
      <c r="U8" s="168">
        <v>3666539.9509274792</v>
      </c>
    </row>
    <row r="9" spans="1:25" ht="13.5" thickBot="1" x14ac:dyDescent="0.25">
      <c r="A9" s="54">
        <f t="shared" si="3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>U18+U19*C9+U20*D9+U21*E9+U22*F9+U23*G9+U24*H9+U25*I9+U26*J9</f>
        <v>100343656.5812265</v>
      </c>
      <c r="O9" s="53">
        <f t="shared" si="0"/>
        <v>10890494.581226498</v>
      </c>
      <c r="P9" s="171">
        <f t="shared" si="1"/>
        <v>0.12174521657743634</v>
      </c>
      <c r="Q9" s="13">
        <f t="shared" si="2"/>
        <v>0.12174521657743634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3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>U18+U19*C10+U20*D10+U21*E10+U22*F10+U23*G10+U24*H10+U25*I10+U26*J10</f>
        <v>100435765.2471724</v>
      </c>
      <c r="O10" s="53">
        <f t="shared" si="0"/>
        <v>4912832.2471724004</v>
      </c>
      <c r="P10" s="171">
        <f t="shared" si="1"/>
        <v>5.143091918222821E-2</v>
      </c>
      <c r="Q10" s="13">
        <f t="shared" si="2"/>
        <v>5.143091918222821E-2</v>
      </c>
      <c r="R10" s="13"/>
      <c r="S10" s="13"/>
    </row>
    <row r="11" spans="1:25" ht="13.5" thickBot="1" x14ac:dyDescent="0.25">
      <c r="A11" s="54">
        <f t="shared" si="3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>U18+U19*C11+U20*D11+U21*E11+U22*F11+U23*G11+U24*H11+U25*I11+U26*J11</f>
        <v>88504267.826750934</v>
      </c>
      <c r="O11" s="53">
        <f t="shared" si="0"/>
        <v>-101340.17324906588</v>
      </c>
      <c r="P11" s="171">
        <f t="shared" si="1"/>
        <v>-1.1437218877733549E-3</v>
      </c>
      <c r="Q11" s="13">
        <f t="shared" si="2"/>
        <v>1.1437218877733549E-3</v>
      </c>
      <c r="R11" s="13"/>
      <c r="S11" s="13"/>
      <c r="T11" t="s">
        <v>35</v>
      </c>
    </row>
    <row r="12" spans="1:25" x14ac:dyDescent="0.2">
      <c r="A12" s="54">
        <f t="shared" si="3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>U18+U19*C12+U20*D12+U21*E12+U22*F12+U23*G12+U24*H12+U25*I12+U26*J12</f>
        <v>94311436.361919656</v>
      </c>
      <c r="O12" s="53">
        <f t="shared" si="0"/>
        <v>2462388.3619196564</v>
      </c>
      <c r="P12" s="171">
        <f t="shared" si="1"/>
        <v>2.6809078760616618E-2</v>
      </c>
      <c r="Q12" s="13">
        <f t="shared" si="2"/>
        <v>2.6809078760616618E-2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3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>U18+U19*C13+U20*D13+U21*E13+U22*F13+U23*G13+U24*H13+U25*I13+U26*J13</f>
        <v>94227947.820267648</v>
      </c>
      <c r="O13" s="53">
        <f t="shared" si="0"/>
        <v>-3596114.1797323525</v>
      </c>
      <c r="P13" s="171">
        <f t="shared" si="1"/>
        <v>-3.6761039218882081E-2</v>
      </c>
      <c r="Q13" s="13">
        <f t="shared" si="2"/>
        <v>3.6761039218882081E-2</v>
      </c>
      <c r="R13" s="13"/>
      <c r="S13" s="13"/>
      <c r="T13" s="34" t="s">
        <v>36</v>
      </c>
      <c r="U13" s="34">
        <v>8</v>
      </c>
      <c r="V13" s="34">
        <v>3.4583029951909008E+16</v>
      </c>
      <c r="W13" s="34">
        <v>4322878743988626</v>
      </c>
      <c r="X13" s="34">
        <v>321.55866050653077</v>
      </c>
      <c r="Y13" s="34">
        <v>6.2571996436967327E-108</v>
      </c>
    </row>
    <row r="14" spans="1:25" x14ac:dyDescent="0.2">
      <c r="A14" s="54">
        <f t="shared" si="3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>U18+U19*C14+U20*D14+U21*E14+U22*F14+U23*G14+U24*H14+U25*I14+U26*J14</f>
        <v>98688718.934801683</v>
      </c>
      <c r="O14" s="53">
        <f t="shared" si="0"/>
        <v>-997527.06519831717</v>
      </c>
      <c r="P14" s="171">
        <f t="shared" si="1"/>
        <v>-1.000666696986781E-2</v>
      </c>
      <c r="Q14" s="13">
        <f t="shared" si="2"/>
        <v>1.000666696986781E-2</v>
      </c>
      <c r="R14" s="13"/>
      <c r="S14" s="13"/>
      <c r="T14" s="34" t="s">
        <v>37</v>
      </c>
      <c r="U14" s="34">
        <v>195</v>
      </c>
      <c r="V14" s="34">
        <v>2621485466290720</v>
      </c>
      <c r="W14" s="34">
        <v>13443515211747.281</v>
      </c>
      <c r="X14" s="34"/>
      <c r="Y14" s="34"/>
    </row>
    <row r="15" spans="1:25" ht="13.5" thickBot="1" x14ac:dyDescent="0.25">
      <c r="A15" s="54">
        <f t="shared" si="3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>U18+U19*C15+U20*D15+U21*E15+U22*F15+U23*G15+U24*H15+U25*I15+U26*J15</f>
        <v>106953439.15125079</v>
      </c>
      <c r="O15" s="53">
        <f t="shared" si="0"/>
        <v>-1734044.8487492055</v>
      </c>
      <c r="P15" s="171">
        <f t="shared" si="1"/>
        <v>-1.5954411537847407E-2</v>
      </c>
      <c r="Q15" s="13">
        <f t="shared" si="2"/>
        <v>1.5954411537847407E-2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3"/>
        <v>35489</v>
      </c>
      <c r="B16" s="10">
        <v>96889088</v>
      </c>
      <c r="C16" s="1">
        <v>615</v>
      </c>
      <c r="D16" s="1">
        <v>0</v>
      </c>
      <c r="E16" s="10">
        <v>29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>U18+U19*C16+U20*D16+U21*E16+U22*F16+U23*G16+U24*H16+U25*I16+U26*J16</f>
        <v>97565711.208959356</v>
      </c>
      <c r="O16" s="53">
        <f t="shared" si="0"/>
        <v>676623.20895935595</v>
      </c>
      <c r="P16" s="171">
        <f t="shared" si="1"/>
        <v>6.9834820713696464E-3</v>
      </c>
      <c r="Q16" s="13">
        <f t="shared" si="2"/>
        <v>6.9834820713696464E-3</v>
      </c>
      <c r="R16" s="13"/>
      <c r="S16" s="13"/>
    </row>
    <row r="17" spans="1:28" x14ac:dyDescent="0.2">
      <c r="A17" s="54">
        <f t="shared" si="3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>U18+U19*C17+U20*D17+U21*E17+U22*F17+U23*G17+U24*H17+U25*I17+U26*J17</f>
        <v>97500953.112337038</v>
      </c>
      <c r="O17" s="53">
        <f t="shared" si="0"/>
        <v>-4447768.8876629621</v>
      </c>
      <c r="P17" s="171">
        <f t="shared" si="1"/>
        <v>-4.362750999137549E-2</v>
      </c>
      <c r="Q17" s="13">
        <f t="shared" si="2"/>
        <v>4.362750999137549E-2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</row>
    <row r="18" spans="1:28" x14ac:dyDescent="0.2">
      <c r="A18" s="54">
        <f t="shared" si="3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>U18+U19*C18+U20*D18+U21*E18+U22*F18+U23*G18+U24*H18+U25*I18+U26*J18</f>
        <v>96678079.677055955</v>
      </c>
      <c r="O18" s="53">
        <f t="shared" si="0"/>
        <v>992007.67705595493</v>
      </c>
      <c r="P18" s="171">
        <f t="shared" si="1"/>
        <v>1.0367315287599588E-2</v>
      </c>
      <c r="Q18" s="13">
        <f t="shared" si="2"/>
        <v>1.0367315287599588E-2</v>
      </c>
      <c r="R18" s="13"/>
      <c r="S18" s="13"/>
      <c r="T18" s="34" t="s">
        <v>38</v>
      </c>
      <c r="U18" s="168">
        <v>-85787246.813998595</v>
      </c>
      <c r="V18" s="34">
        <v>10908133.877808217</v>
      </c>
      <c r="W18" s="289">
        <v>-7.8645208955975816</v>
      </c>
      <c r="X18" s="34">
        <v>2.4736726534329777E-13</v>
      </c>
      <c r="Y18" s="34">
        <v>-107300312.63959055</v>
      </c>
      <c r="Z18" s="34">
        <v>-64274180.988406643</v>
      </c>
      <c r="AA18" s="34">
        <v>-107300312.63959055</v>
      </c>
      <c r="AB18" s="34">
        <v>-64274180.988406643</v>
      </c>
    </row>
    <row r="19" spans="1:28" x14ac:dyDescent="0.2">
      <c r="A19" s="54">
        <f t="shared" si="3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>U18+U19*C19+U20*D19+U21*E19+U22*F19+U23*G19+U24*H19+U25*I19+U26*J19</f>
        <v>94952384.363797039</v>
      </c>
      <c r="O19" s="53">
        <f t="shared" si="0"/>
        <v>1140945.3637970388</v>
      </c>
      <c r="P19" s="171">
        <f t="shared" si="1"/>
        <v>1.2162113447561964E-2</v>
      </c>
      <c r="Q19" s="13">
        <f t="shared" si="2"/>
        <v>1.2162113447561964E-2</v>
      </c>
      <c r="R19" s="13"/>
      <c r="S19" s="13"/>
      <c r="T19" s="34" t="s">
        <v>4</v>
      </c>
      <c r="U19" s="168">
        <v>21728.135613519153</v>
      </c>
      <c r="V19" s="34">
        <v>1575.2372004858762</v>
      </c>
      <c r="W19" s="289">
        <v>13.793564300549269</v>
      </c>
      <c r="X19" s="34">
        <v>1.1869666290502367E-30</v>
      </c>
      <c r="Y19" s="34">
        <v>18621.446425012142</v>
      </c>
      <c r="Z19" s="34">
        <v>24834.824802026164</v>
      </c>
      <c r="AA19" s="34">
        <v>18621.446425012142</v>
      </c>
      <c r="AB19" s="34">
        <v>24834.824802026164</v>
      </c>
    </row>
    <row r="20" spans="1:28" x14ac:dyDescent="0.2">
      <c r="A20" s="54">
        <f t="shared" si="3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>U18+U19*C20+U20*D20+U21*E20+U22*F20+U23*G20+U24*H20+U25*I20+U26*J20</f>
        <v>100637447.12553388</v>
      </c>
      <c r="O20" s="53">
        <f t="shared" si="0"/>
        <v>1540307.1255338788</v>
      </c>
      <c r="P20" s="171">
        <f t="shared" si="1"/>
        <v>1.5543406454857111E-2</v>
      </c>
      <c r="Q20" s="13">
        <f t="shared" si="2"/>
        <v>1.5543406454857111E-2</v>
      </c>
      <c r="R20" s="13"/>
      <c r="S20" s="13"/>
      <c r="T20" s="34" t="s">
        <v>5</v>
      </c>
      <c r="U20" s="168">
        <v>194644.09333070612</v>
      </c>
      <c r="V20" s="34">
        <v>15531.495948784255</v>
      </c>
      <c r="W20" s="289">
        <v>12.532218015093523</v>
      </c>
      <c r="X20" s="34">
        <v>8.1774641064295914E-27</v>
      </c>
      <c r="Y20" s="34">
        <v>164012.81409825437</v>
      </c>
      <c r="Z20" s="34">
        <v>225275.37256315787</v>
      </c>
      <c r="AA20" s="34">
        <v>164012.81409825437</v>
      </c>
      <c r="AB20" s="34">
        <v>225275.37256315787</v>
      </c>
    </row>
    <row r="21" spans="1:28" x14ac:dyDescent="0.2">
      <c r="A21" s="54">
        <f t="shared" si="3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>U18+U19*C21+U20*D21+U21*E21+U22*F21+U23*G21+U24*H21+U25*I21+U26*J21</f>
        <v>106436449.4172847</v>
      </c>
      <c r="O21" s="53">
        <f t="shared" si="0"/>
        <v>3538096.4172846973</v>
      </c>
      <c r="P21" s="171">
        <f t="shared" si="1"/>
        <v>3.4384383366026249E-2</v>
      </c>
      <c r="Q21" s="13">
        <f t="shared" si="2"/>
        <v>3.4384383366026249E-2</v>
      </c>
      <c r="R21" s="13"/>
      <c r="S21" s="13"/>
      <c r="T21" s="34" t="s">
        <v>6</v>
      </c>
      <c r="U21" s="168">
        <v>1519288.092851138</v>
      </c>
      <c r="V21" s="34">
        <v>348950.06247159914</v>
      </c>
      <c r="W21" s="289">
        <v>4.3538839972977277</v>
      </c>
      <c r="X21" s="34">
        <v>2.1578731136538461E-5</v>
      </c>
      <c r="Y21" s="34">
        <v>831087.3659542728</v>
      </c>
      <c r="Z21" s="34">
        <v>2207488.819748003</v>
      </c>
      <c r="AA21" s="34">
        <v>831087.3659542728</v>
      </c>
      <c r="AB21" s="34">
        <v>2207488.819748003</v>
      </c>
    </row>
    <row r="22" spans="1:28" x14ac:dyDescent="0.2">
      <c r="A22" s="54">
        <f t="shared" si="3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>U18+U19*C22+U20*D22+U21*E22+U22*F22+U23*G22+U24*H22+U25*I22+U26*J22</f>
        <v>97016682.73812148</v>
      </c>
      <c r="O22" s="53">
        <f t="shared" si="0"/>
        <v>-809815.26187852025</v>
      </c>
      <c r="P22" s="171">
        <f t="shared" si="1"/>
        <v>-8.2780767832302468E-3</v>
      </c>
      <c r="Q22" s="13">
        <f t="shared" si="2"/>
        <v>8.2780767832302468E-3</v>
      </c>
      <c r="R22" s="13"/>
      <c r="S22" s="13"/>
      <c r="T22" s="34" t="s">
        <v>27</v>
      </c>
      <c r="U22" s="168">
        <v>-1411239.9603352239</v>
      </c>
      <c r="V22" s="34">
        <v>684028.28811571095</v>
      </c>
      <c r="W22" s="289">
        <v>-2.0631309915891913</v>
      </c>
      <c r="X22" s="34">
        <v>4.0425048391625445E-2</v>
      </c>
      <c r="Y22" s="34">
        <v>-2760283.3213392487</v>
      </c>
      <c r="Z22" s="34">
        <v>-62196.599331198959</v>
      </c>
      <c r="AA22" s="34">
        <v>-2760283.3213392487</v>
      </c>
      <c r="AB22" s="34">
        <v>-62196.599331198959</v>
      </c>
    </row>
    <row r="23" spans="1:28" x14ac:dyDescent="0.2">
      <c r="A23" s="54">
        <f t="shared" si="3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>U18+U19*C23+U20*D23+U21*E23+U22*F23+U23*G23+U24*H23+U25*I23+U26*J23</f>
        <v>94259122.967321143</v>
      </c>
      <c r="O23" s="53">
        <f t="shared" si="0"/>
        <v>-1090056.0326788574</v>
      </c>
      <c r="P23" s="171">
        <f t="shared" si="1"/>
        <v>-1.1432253996427777E-2</v>
      </c>
      <c r="Q23" s="13">
        <f t="shared" si="2"/>
        <v>1.1432253996427777E-2</v>
      </c>
      <c r="R23" s="13"/>
      <c r="S23" s="13"/>
      <c r="T23" s="34" t="s">
        <v>7</v>
      </c>
      <c r="U23" s="168">
        <v>105292.31248056669</v>
      </c>
      <c r="V23" s="34">
        <v>16547.695806183547</v>
      </c>
      <c r="W23" s="289">
        <v>6.3629591523685756</v>
      </c>
      <c r="X23" s="34">
        <v>1.3810273860233405E-9</v>
      </c>
      <c r="Y23" s="34">
        <v>72656.879772453627</v>
      </c>
      <c r="Z23" s="34">
        <v>137927.74518867975</v>
      </c>
      <c r="AA23" s="34">
        <v>72656.879772453627</v>
      </c>
      <c r="AB23" s="34">
        <v>137927.74518867975</v>
      </c>
    </row>
    <row r="24" spans="1:28" ht="15" customHeight="1" x14ac:dyDescent="0.2">
      <c r="A24" s="54">
        <f t="shared" si="3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>U18+U19*C24+U20*D24+U21*E24+U22*F24+U23*G24+U24*H24+U25*I24+U26*J24</f>
        <v>101385442.30177771</v>
      </c>
      <c r="O24" s="53">
        <f t="shared" si="0"/>
        <v>771360.30177770555</v>
      </c>
      <c r="P24" s="171">
        <f t="shared" si="1"/>
        <v>7.6665242721958701E-3</v>
      </c>
      <c r="Q24" s="13">
        <f t="shared" si="2"/>
        <v>7.6665242721958701E-3</v>
      </c>
      <c r="R24" s="13"/>
      <c r="S24" s="13"/>
      <c r="T24" s="300" t="s">
        <v>232</v>
      </c>
      <c r="U24" s="168">
        <v>214864.25968108277</v>
      </c>
      <c r="V24" s="34">
        <v>5144.5807375499753</v>
      </c>
      <c r="W24" s="289">
        <v>41.765164284973096</v>
      </c>
      <c r="X24" s="34">
        <v>3.247033080896778E-99</v>
      </c>
      <c r="Y24" s="34">
        <v>204718.09670840908</v>
      </c>
      <c r="Z24" s="34">
        <v>225010.42265375645</v>
      </c>
      <c r="AA24" s="34">
        <v>204718.09670840908</v>
      </c>
      <c r="AB24" s="34">
        <v>225010.42265375645</v>
      </c>
    </row>
    <row r="25" spans="1:28" x14ac:dyDescent="0.2">
      <c r="A25" s="54">
        <f t="shared" si="3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>U18+U19*C25+U20*D25+U21*E25+U22*F25+U23*G25+U24*H25+U25*I25+U26*J25</f>
        <v>98755585.44494468</v>
      </c>
      <c r="O25" s="53">
        <f t="shared" si="0"/>
        <v>-4296829.5550553203</v>
      </c>
      <c r="P25" s="171">
        <f t="shared" si="1"/>
        <v>-4.1695573607424145E-2</v>
      </c>
      <c r="Q25" s="13">
        <f t="shared" si="2"/>
        <v>4.1695573607424145E-2</v>
      </c>
      <c r="R25" s="13"/>
      <c r="S25" s="13"/>
      <c r="T25" s="34" t="s">
        <v>231</v>
      </c>
      <c r="U25" s="299">
        <v>-4.5980740021262818</v>
      </c>
      <c r="V25" s="34">
        <v>0.47501768235004371</v>
      </c>
      <c r="W25" s="289">
        <v>-9.6797954538836102</v>
      </c>
      <c r="X25" s="34">
        <v>2.4059690648822512E-18</v>
      </c>
      <c r="Y25" s="34">
        <v>-5.5349057996811855</v>
      </c>
      <c r="Z25" s="34">
        <v>-3.6612422045713777</v>
      </c>
      <c r="AA25" s="34">
        <v>-5.5349057996811855</v>
      </c>
      <c r="AB25" s="34">
        <v>-3.6612422045713777</v>
      </c>
    </row>
    <row r="26" spans="1:28" ht="13.5" thickBot="1" x14ac:dyDescent="0.25">
      <c r="A26" s="54">
        <f t="shared" si="3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>U18+U19*C26+U20*D26+U21*E26+U22*F26+U23*G26+U24*H26+U25*I26+U26*J26</f>
        <v>108343054.67977445</v>
      </c>
      <c r="O26" s="53">
        <f t="shared" si="0"/>
        <v>1381282.6797744483</v>
      </c>
      <c r="P26" s="171">
        <f t="shared" si="1"/>
        <v>1.291379764888757E-2</v>
      </c>
      <c r="Q26" s="13">
        <f t="shared" si="2"/>
        <v>1.291379764888757E-2</v>
      </c>
      <c r="R26" s="13"/>
      <c r="S26" s="13"/>
      <c r="T26" s="301" t="s">
        <v>233</v>
      </c>
      <c r="U26" s="298">
        <v>-265758.24234003341</v>
      </c>
      <c r="V26" s="35">
        <v>39900.363452075413</v>
      </c>
      <c r="W26" s="290">
        <v>-6.6605469060259903</v>
      </c>
      <c r="X26" s="35">
        <v>2.713399967251671E-10</v>
      </c>
      <c r="Y26" s="35">
        <v>-344449.90078729996</v>
      </c>
      <c r="Z26" s="35">
        <v>-187066.58389276685</v>
      </c>
      <c r="AA26" s="35">
        <v>-344449.90078729996</v>
      </c>
      <c r="AB26" s="35">
        <v>-187066.58389276685</v>
      </c>
    </row>
    <row r="27" spans="1:28" x14ac:dyDescent="0.2">
      <c r="A27" s="54">
        <f t="shared" si="3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>U18+U19*C27+U20*D27+U21*E27+U22*F27+U23*G27+U24*H27+U25*I27+U26*J27</f>
        <v>109372840.77206236</v>
      </c>
      <c r="O27" s="53">
        <f t="shared" si="0"/>
        <v>-1593602.2279376388</v>
      </c>
      <c r="P27" s="171">
        <f t="shared" si="1"/>
        <v>-1.4361118414308718E-2</v>
      </c>
      <c r="Q27" s="13">
        <f t="shared" si="2"/>
        <v>1.4361118414308718E-2</v>
      </c>
      <c r="R27" s="13"/>
      <c r="S27" s="13"/>
    </row>
    <row r="28" spans="1:28" x14ac:dyDescent="0.2">
      <c r="A28" s="54">
        <f t="shared" si="3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>U18+U19*C28+U20*D28+U21*E28+U22*F28+U23*G28+U24*H28+U25*I28+U26*J28</f>
        <v>100220305.60299326</v>
      </c>
      <c r="O28" s="53">
        <f t="shared" si="0"/>
        <v>219290.60299326479</v>
      </c>
      <c r="P28" s="171">
        <f t="shared" si="1"/>
        <v>2.1928837721623606E-3</v>
      </c>
      <c r="Q28" s="13">
        <f t="shared" si="2"/>
        <v>2.1928837721623606E-3</v>
      </c>
      <c r="R28" s="13"/>
      <c r="S28" s="13"/>
    </row>
    <row r="29" spans="1:28" x14ac:dyDescent="0.2">
      <c r="A29" s="54">
        <f t="shared" si="3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>U18+U19*C29+U20*D29+U21*E29+U22*F29+U23*G29+U24*H29+U25*I29+U26*J29</f>
        <v>105297663.38038602</v>
      </c>
      <c r="O29" s="53">
        <f t="shared" si="0"/>
        <v>-4440469.6196139753</v>
      </c>
      <c r="P29" s="171">
        <f t="shared" si="1"/>
        <v>-4.0464235158930356E-2</v>
      </c>
      <c r="Q29" s="13">
        <f t="shared" si="2"/>
        <v>4.0464235158930356E-2</v>
      </c>
      <c r="R29" s="13"/>
      <c r="S29" s="13"/>
    </row>
    <row r="30" spans="1:28" x14ac:dyDescent="0.2">
      <c r="A30" s="54">
        <f t="shared" si="3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>U18+U19*C30+U20*D30+U21*E30+U22*F30+U23*G30+U24*H30+U25*I30+U26*J30</f>
        <v>98580615.168956116</v>
      </c>
      <c r="O30" s="53">
        <f t="shared" si="0"/>
        <v>1827129.1689561158</v>
      </c>
      <c r="P30" s="171">
        <f t="shared" si="1"/>
        <v>1.8884375586799177E-2</v>
      </c>
      <c r="Q30" s="13">
        <f t="shared" si="2"/>
        <v>1.8884375586799177E-2</v>
      </c>
      <c r="R30" s="13"/>
      <c r="S30" s="13"/>
      <c r="T30" t="s">
        <v>28</v>
      </c>
    </row>
    <row r="31" spans="1:28" ht="13.5" thickBot="1" x14ac:dyDescent="0.25">
      <c r="A31" s="54">
        <f t="shared" si="3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>U18+U19*C31+U20*D31+U21*E31+U22*F31+U23*G31+U24*H31+U25*I31+U26*J31</f>
        <v>97293892.967928678</v>
      </c>
      <c r="O31" s="53">
        <f t="shared" si="0"/>
        <v>-3731776.0320713222</v>
      </c>
      <c r="P31" s="171">
        <f t="shared" si="1"/>
        <v>-3.6938889581333255E-2</v>
      </c>
      <c r="Q31" s="13">
        <f t="shared" si="2"/>
        <v>3.6938889581333255E-2</v>
      </c>
      <c r="R31" s="13"/>
      <c r="S31" s="13"/>
    </row>
    <row r="32" spans="1:28" x14ac:dyDescent="0.2">
      <c r="A32" s="54">
        <f t="shared" si="3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>U18+U19*C32+U20*D32+U21*E32+U22*F32+U23*G32+U24*H32+U25*I32+U26*J32</f>
        <v>111104910.39997299</v>
      </c>
      <c r="O32" s="53">
        <f t="shared" si="0"/>
        <v>3482674.3999729902</v>
      </c>
      <c r="P32" s="171">
        <f t="shared" si="1"/>
        <v>3.2360175084756554E-2</v>
      </c>
      <c r="Q32" s="13">
        <f t="shared" si="2"/>
        <v>3.2360175084756554E-2</v>
      </c>
      <c r="R32" s="13"/>
      <c r="S32" s="13"/>
      <c r="T32" s="37" t="s">
        <v>29</v>
      </c>
      <c r="U32" s="37"/>
    </row>
    <row r="33" spans="1:39" x14ac:dyDescent="0.2">
      <c r="A33" s="54">
        <f t="shared" si="3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>U18+U19*C33+U20*D33+U21*E33+U22*F33+U23*G33+U24*H33+U25*I33+U26*J33</f>
        <v>112876360.08280328</v>
      </c>
      <c r="O33" s="53">
        <f t="shared" si="0"/>
        <v>1617336.0828032792</v>
      </c>
      <c r="P33" s="171">
        <f t="shared" si="1"/>
        <v>1.4536673293154893E-2</v>
      </c>
      <c r="Q33" s="13">
        <f t="shared" si="2"/>
        <v>1.4536673293154893E-2</v>
      </c>
      <c r="R33" s="13"/>
      <c r="S33" s="13"/>
      <c r="T33" s="34" t="s">
        <v>30</v>
      </c>
      <c r="U33" s="166">
        <v>0.96193269073081633</v>
      </c>
    </row>
    <row r="34" spans="1:39" x14ac:dyDescent="0.2">
      <c r="A34" s="54">
        <f t="shared" si="3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>U18+U19*C34+U20*D34+U21*E34+U22*F34+U23*G34+U24*H34+U25*I34+U26*J34</f>
        <v>114321878.34403867</v>
      </c>
      <c r="O34" s="53">
        <f t="shared" si="0"/>
        <v>3683295.3440386653</v>
      </c>
      <c r="P34" s="171">
        <f t="shared" si="1"/>
        <v>3.3291237506527585E-2</v>
      </c>
      <c r="Q34" s="13">
        <f t="shared" si="2"/>
        <v>3.3291237506527585E-2</v>
      </c>
      <c r="R34" s="13"/>
      <c r="S34" s="13"/>
      <c r="T34" s="34" t="s">
        <v>31</v>
      </c>
      <c r="U34" s="166">
        <v>0.92531450149662842</v>
      </c>
    </row>
    <row r="35" spans="1:39" x14ac:dyDescent="0.2">
      <c r="A35" s="54">
        <f t="shared" si="3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>U18+U19*C35+U20*D35+U21*E35+U22*F35+U23*G35+U24*H35+U25*I35+U26*J35</f>
        <v>102826560.48122479</v>
      </c>
      <c r="O35" s="53">
        <f t="shared" si="0"/>
        <v>-291444.51877520978</v>
      </c>
      <c r="P35" s="171">
        <f t="shared" si="1"/>
        <v>-2.826320377078763E-3</v>
      </c>
      <c r="Q35" s="13">
        <f t="shared" si="2"/>
        <v>2.826320377078763E-3</v>
      </c>
      <c r="R35" s="13"/>
      <c r="S35" s="13"/>
      <c r="T35" s="34" t="s">
        <v>32</v>
      </c>
      <c r="U35" s="166">
        <v>0.92184971032894625</v>
      </c>
    </row>
    <row r="36" spans="1:39" x14ac:dyDescent="0.2">
      <c r="A36" s="54">
        <f t="shared" si="3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>U18+U19*C36+U20*D36+U21*E36+U22*F36+U23*G36+U24*H36+U25*I36+U26*J36</f>
        <v>103322062.28111376</v>
      </c>
      <c r="O36" s="53">
        <f t="shared" si="0"/>
        <v>443468.28111375868</v>
      </c>
      <c r="P36" s="171">
        <f t="shared" si="1"/>
        <v>4.3105981902684118E-3</v>
      </c>
      <c r="Q36" s="13">
        <f t="shared" si="2"/>
        <v>4.3105981902684118E-3</v>
      </c>
      <c r="R36" s="13"/>
      <c r="S36" s="13"/>
      <c r="T36" s="34" t="s">
        <v>33</v>
      </c>
      <c r="U36" s="168">
        <v>3770284.2018179595</v>
      </c>
    </row>
    <row r="37" spans="1:39" ht="13.5" thickBot="1" x14ac:dyDescent="0.25">
      <c r="A37" s="54">
        <f t="shared" si="3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>U18+U19*C37+U20*D37+U21*E37+U22*F37+U23*G37+U24*H37+U25*I37+U26*J37</f>
        <v>105900577.26815841</v>
      </c>
      <c r="O37" s="53">
        <f t="shared" si="0"/>
        <v>-1445371.731841594</v>
      </c>
      <c r="P37" s="171">
        <f t="shared" si="1"/>
        <v>-1.3464613665501191E-2</v>
      </c>
      <c r="Q37" s="13">
        <f t="shared" si="2"/>
        <v>1.3464613665501191E-2</v>
      </c>
      <c r="R37" s="13"/>
      <c r="S37" s="13"/>
      <c r="T37" s="35" t="s">
        <v>34</v>
      </c>
      <c r="U37" s="35">
        <v>204</v>
      </c>
    </row>
    <row r="38" spans="1:39" x14ac:dyDescent="0.2">
      <c r="A38" s="54">
        <f t="shared" si="3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>U18+U19*C38+U20*D38+U21*E38+U22*F38+U23*G38+U24*H38+U25*I38+U26*J38</f>
        <v>112921885.59740128</v>
      </c>
      <c r="O38" s="53">
        <f t="shared" si="0"/>
        <v>1717865.5974012762</v>
      </c>
      <c r="P38" s="171">
        <f t="shared" si="1"/>
        <v>1.5447873174020833E-2</v>
      </c>
      <c r="Q38" s="13">
        <f t="shared" si="2"/>
        <v>1.5447873174020833E-2</v>
      </c>
      <c r="R38" s="13"/>
      <c r="S38" s="13"/>
    </row>
    <row r="39" spans="1:39" ht="13.5" thickBot="1" x14ac:dyDescent="0.25">
      <c r="A39" s="54">
        <f t="shared" si="3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>U18+U19*C39+U20*D39+U21*E39+U22*F39+U23*G39+U24*H39+U25*I39+U26*J39</f>
        <v>117513631.43375927</v>
      </c>
      <c r="O39" s="53">
        <f t="shared" si="0"/>
        <v>-3118581.266240716</v>
      </c>
      <c r="P39" s="171">
        <f t="shared" si="1"/>
        <v>-2.5851977647100857E-2</v>
      </c>
      <c r="Q39" s="13">
        <f t="shared" si="2"/>
        <v>2.5851977647100857E-2</v>
      </c>
      <c r="R39" s="13"/>
      <c r="S39" s="13"/>
      <c r="T39" t="s">
        <v>35</v>
      </c>
    </row>
    <row r="40" spans="1:39" x14ac:dyDescent="0.2">
      <c r="A40" s="54">
        <f t="shared" si="3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>U18+U19*C40+U20*D40+U21*E40+U22*F40+U23*G40+U24*H40+U25*I40+U26*J40</f>
        <v>108301911.82800621</v>
      </c>
      <c r="O40" s="53">
        <f t="shared" si="0"/>
        <v>1241236.7280062139</v>
      </c>
      <c r="P40" s="171">
        <f t="shared" si="1"/>
        <v>1.1593768924461172E-2</v>
      </c>
      <c r="Q40" s="13">
        <f t="shared" si="2"/>
        <v>1.1593768924461172E-2</v>
      </c>
      <c r="R40" s="13"/>
      <c r="S40" s="13"/>
      <c r="T40" s="36"/>
      <c r="U40" s="36" t="s">
        <v>39</v>
      </c>
      <c r="V40" s="36" t="s">
        <v>40</v>
      </c>
      <c r="W40" s="36" t="s">
        <v>41</v>
      </c>
      <c r="X40" s="36" t="s">
        <v>42</v>
      </c>
      <c r="Y40" s="36" t="s">
        <v>43</v>
      </c>
    </row>
    <row r="41" spans="1:39" x14ac:dyDescent="0.2">
      <c r="A41" s="54">
        <f t="shared" si="3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>U18+U19*C41+U20*D41+U21*E41+U22*F41+U23*G41+U24*H41+U25*I41+U26*J41</f>
        <v>116333461.31418101</v>
      </c>
      <c r="O41" s="53">
        <f t="shared" si="0"/>
        <v>254062.41418100893</v>
      </c>
      <c r="P41" s="171">
        <f t="shared" si="1"/>
        <v>2.1886951223780752E-3</v>
      </c>
      <c r="Q41" s="13">
        <f t="shared" si="2"/>
        <v>2.1886951223780752E-3</v>
      </c>
      <c r="R41" s="13"/>
      <c r="S41" s="13"/>
      <c r="T41" s="34" t="s">
        <v>36</v>
      </c>
      <c r="U41" s="34">
        <v>9</v>
      </c>
      <c r="V41" s="34">
        <v>3.4166696578252684E+16</v>
      </c>
      <c r="W41" s="34">
        <v>3796299619805854</v>
      </c>
      <c r="X41" s="34">
        <v>267.06212776328118</v>
      </c>
      <c r="Y41" s="34">
        <v>3.2361244901689729E-104</v>
      </c>
    </row>
    <row r="42" spans="1:39" x14ac:dyDescent="0.2">
      <c r="A42" s="54">
        <f t="shared" si="3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>U18+U19*C42+U20*D42+U21*E42+U22*F42+U23*G42+U24*H42+U25*I42+U26*J42</f>
        <v>106451474.684378</v>
      </c>
      <c r="O42" s="53">
        <f t="shared" si="0"/>
        <v>3888049.8843779862</v>
      </c>
      <c r="P42" s="171">
        <f t="shared" si="1"/>
        <v>3.7908736881200417E-2</v>
      </c>
      <c r="Q42" s="13">
        <f t="shared" si="2"/>
        <v>3.7908736881200417E-2</v>
      </c>
      <c r="R42" s="13"/>
      <c r="S42" s="13"/>
      <c r="T42" s="34" t="s">
        <v>37</v>
      </c>
      <c r="U42" s="34">
        <v>194</v>
      </c>
      <c r="V42" s="34">
        <v>2757718334720749</v>
      </c>
      <c r="W42" s="34">
        <v>14215042962478.088</v>
      </c>
      <c r="X42" s="34"/>
      <c r="Y42" s="34"/>
    </row>
    <row r="43" spans="1:39" ht="13.5" thickBot="1" x14ac:dyDescent="0.25">
      <c r="A43" s="54">
        <f t="shared" si="3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>U18+U19*C43+U20*D43+U21*E43+U22*F43+U23*G43+U24*H43+U25*I43+U26*J43</f>
        <v>104560100.4350747</v>
      </c>
      <c r="O43" s="53">
        <f t="shared" si="0"/>
        <v>361881.43507470191</v>
      </c>
      <c r="P43" s="171">
        <f t="shared" si="1"/>
        <v>3.4730097937153985E-3</v>
      </c>
      <c r="Q43" s="13">
        <f t="shared" si="2"/>
        <v>3.4730097937153985E-3</v>
      </c>
      <c r="R43" s="13"/>
      <c r="S43" s="13"/>
      <c r="T43" s="35" t="s">
        <v>12</v>
      </c>
      <c r="U43" s="35">
        <v>203</v>
      </c>
      <c r="V43" s="35">
        <v>3.6924414912973432E+16</v>
      </c>
      <c r="W43" s="35"/>
      <c r="X43" s="35"/>
      <c r="Y43" s="35"/>
    </row>
    <row r="44" spans="1:39" ht="13.5" thickBot="1" x14ac:dyDescent="0.25">
      <c r="A44" s="54">
        <f t="shared" si="3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>U18+U19*C44+U20*D44+U21*E44+U22*F44+U23*G44+U24*H44+U25*I44+U26*J44</f>
        <v>120411953.72127721</v>
      </c>
      <c r="O44" s="53">
        <f t="shared" si="0"/>
        <v>3714953.0212772042</v>
      </c>
      <c r="P44" s="171">
        <f t="shared" si="1"/>
        <v>3.1834177390963607E-2</v>
      </c>
      <c r="Q44" s="13">
        <f t="shared" si="2"/>
        <v>3.1834177390963607E-2</v>
      </c>
      <c r="R44" s="13"/>
      <c r="S44" s="13"/>
    </row>
    <row r="45" spans="1:39" ht="13.5" thickBot="1" x14ac:dyDescent="0.25">
      <c r="A45" s="54">
        <f t="shared" si="3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>U18+U19*C45+U20*D45+U21*E45+U22*F45+U23*G45+U24*H45+U25*I45+U26*J45</f>
        <v>133114232.64200424</v>
      </c>
      <c r="O45" s="53">
        <f t="shared" si="0"/>
        <v>13268386.34200424</v>
      </c>
      <c r="P45" s="171">
        <f t="shared" si="1"/>
        <v>0.11071210852640322</v>
      </c>
      <c r="Q45" s="13">
        <f t="shared" si="2"/>
        <v>0.11071210852640322</v>
      </c>
      <c r="R45" s="13"/>
      <c r="S45" s="13"/>
      <c r="T45" s="36"/>
      <c r="U45" s="36" t="s">
        <v>44</v>
      </c>
      <c r="V45" s="36" t="s">
        <v>33</v>
      </c>
      <c r="W45" s="36" t="s">
        <v>45</v>
      </c>
      <c r="X45" s="36" t="s">
        <v>46</v>
      </c>
      <c r="Y45" s="36" t="s">
        <v>47</v>
      </c>
      <c r="Z45" s="36" t="s">
        <v>48</v>
      </c>
      <c r="AA45" s="36" t="s">
        <v>49</v>
      </c>
      <c r="AB45" s="36" t="s">
        <v>50</v>
      </c>
    </row>
    <row r="46" spans="1:39" x14ac:dyDescent="0.2">
      <c r="A46" s="54">
        <f t="shared" si="3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>U18+U19*C46+U20*D46+U21*E46+U22*F46+U23*G46+U24*H46+U25*I46+U26*J46</f>
        <v>113665834.7626254</v>
      </c>
      <c r="O46" s="53">
        <f t="shared" si="0"/>
        <v>-612294.53737461567</v>
      </c>
      <c r="P46" s="171">
        <f t="shared" si="1"/>
        <v>-5.3579328006607089E-3</v>
      </c>
      <c r="Q46" s="13">
        <f t="shared" si="2"/>
        <v>5.3579328006607089E-3</v>
      </c>
      <c r="R46" s="13"/>
      <c r="S46" s="13"/>
      <c r="T46" s="34" t="s">
        <v>38</v>
      </c>
      <c r="U46" s="168">
        <v>-88748467.793523639</v>
      </c>
      <c r="V46" s="34">
        <v>11226365.466966664</v>
      </c>
      <c r="W46" s="167">
        <v>-7.9053606489708601</v>
      </c>
      <c r="X46" s="34">
        <v>1.966202110308314E-13</v>
      </c>
      <c r="Y46" s="34">
        <v>-110889863.91292329</v>
      </c>
      <c r="Z46" s="34">
        <v>-66607071.674123988</v>
      </c>
      <c r="AA46" s="34">
        <v>-110889863.91292329</v>
      </c>
      <c r="AB46" s="34">
        <v>-66607071.674123988</v>
      </c>
      <c r="AD46" s="36"/>
      <c r="AE46" s="36" t="s">
        <v>4</v>
      </c>
      <c r="AF46" s="36" t="s">
        <v>5</v>
      </c>
      <c r="AG46" s="36" t="s">
        <v>8</v>
      </c>
      <c r="AH46" s="36" t="s">
        <v>6</v>
      </c>
      <c r="AI46" s="36" t="s">
        <v>27</v>
      </c>
      <c r="AJ46" s="36" t="s">
        <v>7</v>
      </c>
      <c r="AK46" s="36" t="s">
        <v>158</v>
      </c>
      <c r="AL46" s="36" t="s">
        <v>159</v>
      </c>
      <c r="AM46" s="36" t="s">
        <v>109</v>
      </c>
    </row>
    <row r="47" spans="1:39" x14ac:dyDescent="0.2">
      <c r="A47" s="54">
        <f t="shared" si="3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>U18+U19*C47+U20*D47+U21*E47+U22*F47+U23*G47+U24*H47+U25*I47+U26*J47</f>
        <v>111752227.1730313</v>
      </c>
      <c r="O47" s="53">
        <f t="shared" si="0"/>
        <v>1964460.0730313063</v>
      </c>
      <c r="P47" s="171">
        <f t="shared" si="1"/>
        <v>1.7893250996187774E-2</v>
      </c>
      <c r="Q47" s="13">
        <f t="shared" si="2"/>
        <v>1.7893250996187774E-2</v>
      </c>
      <c r="R47" s="13"/>
      <c r="S47" s="13"/>
      <c r="T47" s="34" t="s">
        <v>4</v>
      </c>
      <c r="U47" s="168">
        <v>18949.953151648544</v>
      </c>
      <c r="V47" s="34">
        <v>1555.3772471274481</v>
      </c>
      <c r="W47" s="167">
        <v>12.183509297597292</v>
      </c>
      <c r="X47" s="34">
        <v>9.9650454553217516E-26</v>
      </c>
      <c r="Y47" s="34">
        <v>15882.333106222095</v>
      </c>
      <c r="Z47" s="34">
        <v>22017.573197074991</v>
      </c>
      <c r="AA47" s="34">
        <v>15882.333106222095</v>
      </c>
      <c r="AB47" s="34">
        <v>22017.573197074991</v>
      </c>
      <c r="AD47" s="34" t="s">
        <v>4</v>
      </c>
      <c r="AE47" s="34">
        <v>1</v>
      </c>
      <c r="AF47" s="34"/>
      <c r="AG47" s="34"/>
      <c r="AH47" s="34"/>
      <c r="AI47" s="34"/>
      <c r="AJ47" s="34"/>
      <c r="AK47" s="34"/>
      <c r="AL47" s="34"/>
      <c r="AM47" s="34"/>
    </row>
    <row r="48" spans="1:39" x14ac:dyDescent="0.2">
      <c r="A48" s="54">
        <f t="shared" si="3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>U18+U19*C48+U20*D48+U21*E48+U22*F48+U23*G48+U24*H48+U25*I48+U26*J48</f>
        <v>110702534.59348194</v>
      </c>
      <c r="O48" s="53">
        <f t="shared" si="0"/>
        <v>2244898.493481949</v>
      </c>
      <c r="P48" s="171">
        <f t="shared" si="1"/>
        <v>2.0698390396524134E-2</v>
      </c>
      <c r="Q48" s="13">
        <f t="shared" si="2"/>
        <v>2.0698390396524134E-2</v>
      </c>
      <c r="R48" s="13"/>
      <c r="S48" s="13"/>
      <c r="T48" s="34" t="s">
        <v>5</v>
      </c>
      <c r="U48" s="168">
        <v>173062.1941932168</v>
      </c>
      <c r="V48" s="34">
        <v>14948.133300527186</v>
      </c>
      <c r="W48" s="167">
        <v>11.577512102271211</v>
      </c>
      <c r="X48" s="34">
        <v>6.6175940969912104E-24</v>
      </c>
      <c r="Y48" s="34">
        <v>143580.47621187716</v>
      </c>
      <c r="Z48" s="34">
        <v>202543.91217455643</v>
      </c>
      <c r="AA48" s="34">
        <v>143580.47621187716</v>
      </c>
      <c r="AB48" s="34">
        <v>202543.91217455643</v>
      </c>
      <c r="AD48" s="34" t="s">
        <v>5</v>
      </c>
      <c r="AE48" s="166">
        <v>-0.65732569222408876</v>
      </c>
      <c r="AF48" s="166">
        <v>1</v>
      </c>
      <c r="AG48" s="166"/>
      <c r="AH48" s="166"/>
      <c r="AI48" s="166"/>
      <c r="AJ48" s="166"/>
      <c r="AK48" s="166"/>
      <c r="AL48" s="166"/>
      <c r="AM48" s="166"/>
    </row>
    <row r="49" spans="1:39" x14ac:dyDescent="0.2">
      <c r="A49" s="54">
        <f t="shared" si="3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>U18+U19*C49+U20*D49+U21*E49+U22*F49+U23*G49+U24*H49+U25*I49+U26*J49</f>
        <v>113842049.2000761</v>
      </c>
      <c r="O49" s="53">
        <f t="shared" si="0"/>
        <v>429193.30007609725</v>
      </c>
      <c r="P49" s="171">
        <f t="shared" si="1"/>
        <v>3.7843443467690443E-3</v>
      </c>
      <c r="Q49" s="13">
        <f t="shared" si="2"/>
        <v>3.7843443467690443E-3</v>
      </c>
      <c r="R49" s="13"/>
      <c r="S49" s="13"/>
      <c r="T49" s="34" t="s">
        <v>8</v>
      </c>
      <c r="U49" s="168">
        <v>290192.82755770802</v>
      </c>
      <c r="V49" s="34">
        <v>102674.13644032195</v>
      </c>
      <c r="W49" s="167">
        <v>2.8263478770661874</v>
      </c>
      <c r="X49" s="34">
        <v>5.2013243425917234E-3</v>
      </c>
      <c r="Y49" s="34">
        <v>87691.961820552591</v>
      </c>
      <c r="Z49" s="34">
        <v>492693.69329486345</v>
      </c>
      <c r="AA49" s="34">
        <v>87691.961820552591</v>
      </c>
      <c r="AB49" s="34">
        <v>492693.69329486345</v>
      </c>
      <c r="AD49" s="34" t="s">
        <v>8</v>
      </c>
      <c r="AE49" s="166">
        <v>-2.7697218286445859E-2</v>
      </c>
      <c r="AF49" s="166">
        <v>1.9956897811351324E-2</v>
      </c>
      <c r="AG49" s="166">
        <v>1</v>
      </c>
      <c r="AH49" s="166"/>
      <c r="AI49" s="166"/>
      <c r="AJ49" s="166"/>
      <c r="AK49" s="166"/>
      <c r="AL49" s="166"/>
      <c r="AM49" s="166"/>
    </row>
    <row r="50" spans="1:39" x14ac:dyDescent="0.2">
      <c r="A50" s="54">
        <f t="shared" si="3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>U18+U19*C50+U20*D50+U21*E50+U22*F50+U23*G50+U24*H50+U25*I50+U26*J50</f>
        <v>119560476.22655781</v>
      </c>
      <c r="O50" s="53">
        <f t="shared" si="0"/>
        <v>1758252.0265578181</v>
      </c>
      <c r="P50" s="171">
        <f t="shared" si="1"/>
        <v>1.4925456955487757E-2</v>
      </c>
      <c r="Q50" s="13">
        <f t="shared" si="2"/>
        <v>1.4925456955487757E-2</v>
      </c>
      <c r="R50" s="13"/>
      <c r="S50" s="13"/>
      <c r="T50" s="34" t="s">
        <v>6</v>
      </c>
      <c r="U50" s="168">
        <v>1714025.6439336045</v>
      </c>
      <c r="V50" s="34">
        <v>359405.25352124718</v>
      </c>
      <c r="W50" s="167">
        <v>4.7690611841105861</v>
      </c>
      <c r="X50" s="34">
        <v>3.6285285416756419E-6</v>
      </c>
      <c r="Y50" s="34">
        <v>1005182.3313741969</v>
      </c>
      <c r="Z50" s="34">
        <v>2422868.9564930121</v>
      </c>
      <c r="AA50" s="34">
        <v>1005182.3313741969</v>
      </c>
      <c r="AB50" s="34">
        <v>2422868.9564930121</v>
      </c>
      <c r="AD50" s="34" t="s">
        <v>6</v>
      </c>
      <c r="AE50" s="166">
        <v>-0.16287731173737979</v>
      </c>
      <c r="AF50" s="166">
        <v>0.17657599493150186</v>
      </c>
      <c r="AG50" s="166">
        <v>4.7529899368226811E-3</v>
      </c>
      <c r="AH50" s="166">
        <v>1</v>
      </c>
      <c r="AI50" s="166"/>
      <c r="AJ50" s="166"/>
      <c r="AK50" s="166"/>
      <c r="AL50" s="166"/>
      <c r="AM50" s="166"/>
    </row>
    <row r="51" spans="1:39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>U18+U19*C51+U20*D51+U21*E51+U22*F51+U23*G51+U24*H51+U25*I51+U26*J51</f>
        <v>120185621.88471413</v>
      </c>
      <c r="O51" s="53">
        <f t="shared" si="0"/>
        <v>-4723941.9152858853</v>
      </c>
      <c r="P51" s="171">
        <f t="shared" si="1"/>
        <v>-3.7818896900878335E-2</v>
      </c>
      <c r="Q51" s="13">
        <f t="shared" si="2"/>
        <v>3.7818896900878335E-2</v>
      </c>
      <c r="R51" s="13"/>
      <c r="S51" s="13"/>
      <c r="T51" s="34" t="s">
        <v>27</v>
      </c>
      <c r="U51" s="168">
        <v>-2489208.5878322618</v>
      </c>
      <c r="V51" s="34">
        <v>683819.8319294611</v>
      </c>
      <c r="W51" s="167">
        <v>-3.6401526712214953</v>
      </c>
      <c r="X51" s="34">
        <v>3.4941421313711645E-4</v>
      </c>
      <c r="Y51" s="34">
        <v>-3837884.2404825115</v>
      </c>
      <c r="Z51" s="34">
        <v>-1140532.9351820122</v>
      </c>
      <c r="AA51" s="34">
        <v>-3837884.2404825115</v>
      </c>
      <c r="AB51" s="34">
        <v>-1140532.9351820122</v>
      </c>
      <c r="AD51" s="34" t="s">
        <v>27</v>
      </c>
      <c r="AE51" s="166">
        <v>-6.1882653897409629E-2</v>
      </c>
      <c r="AF51" s="166">
        <v>-0.41763573420816941</v>
      </c>
      <c r="AG51" s="166">
        <v>7.9718391525257642E-3</v>
      </c>
      <c r="AH51" s="166">
        <v>6.7964712445596029E-2</v>
      </c>
      <c r="AI51" s="166">
        <v>1</v>
      </c>
      <c r="AJ51" s="166"/>
      <c r="AK51" s="166"/>
      <c r="AL51" s="166"/>
      <c r="AM51" s="166"/>
    </row>
    <row r="52" spans="1:39" x14ac:dyDescent="0.2">
      <c r="A52" s="54">
        <f t="shared" si="3"/>
        <v>36585</v>
      </c>
      <c r="B52" s="10">
        <v>116693943</v>
      </c>
      <c r="C52" s="1">
        <v>643.79999999999995</v>
      </c>
      <c r="D52" s="1">
        <v>0</v>
      </c>
      <c r="E52" s="10">
        <v>28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>U18+U19*C52+U20*D52+U21*E52+U22*F52+U23*G52+U24*H52+U25*I52+U26*J52</f>
        <v>113412984.8643332</v>
      </c>
      <c r="O52" s="53">
        <f t="shared" si="0"/>
        <v>-3280958.1356668025</v>
      </c>
      <c r="P52" s="171">
        <f t="shared" si="1"/>
        <v>-2.8115924882809062E-2</v>
      </c>
      <c r="Q52" s="13">
        <f t="shared" si="2"/>
        <v>2.8115924882809062E-2</v>
      </c>
      <c r="R52" s="13"/>
      <c r="S52" s="13"/>
      <c r="T52" s="34" t="s">
        <v>7</v>
      </c>
      <c r="U52" s="168">
        <v>104896.86392670045</v>
      </c>
      <c r="V52" s="34">
        <v>17032.491559475213</v>
      </c>
      <c r="W52" s="167">
        <v>6.1586329610330024</v>
      </c>
      <c r="X52" s="34">
        <v>4.1434508563821344E-9</v>
      </c>
      <c r="Y52" s="34">
        <v>71304.233824968192</v>
      </c>
      <c r="Z52" s="34">
        <v>138489.4940284327</v>
      </c>
      <c r="AA52" s="34">
        <v>71304.233824968192</v>
      </c>
      <c r="AB52" s="34">
        <v>138489.4940284327</v>
      </c>
      <c r="AD52" s="34" t="s">
        <v>7</v>
      </c>
      <c r="AE52" s="166">
        <v>-0.12368205799370263</v>
      </c>
      <c r="AF52" s="166">
        <v>8.1861162715436989E-2</v>
      </c>
      <c r="AG52" s="166">
        <v>-1.3369122804556006E-2</v>
      </c>
      <c r="AH52" s="166">
        <v>0.30549054751919025</v>
      </c>
      <c r="AI52" s="166">
        <v>7.6123307934771497E-2</v>
      </c>
      <c r="AJ52" s="166">
        <v>1</v>
      </c>
      <c r="AK52" s="166"/>
      <c r="AL52" s="166"/>
      <c r="AM52" s="166"/>
    </row>
    <row r="53" spans="1:39" x14ac:dyDescent="0.2">
      <c r="A53" s="54">
        <f t="shared" si="3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>U18+U19*C53+U20*D53+U21*E53+U22*F53+U23*G53+U24*H53+U25*I53+U26*J53</f>
        <v>115163250.6999892</v>
      </c>
      <c r="O53" s="53">
        <f t="shared" si="0"/>
        <v>-1593550.3000108004</v>
      </c>
      <c r="P53" s="171">
        <f t="shared" si="1"/>
        <v>-1.3648458045804118E-2</v>
      </c>
      <c r="Q53" s="13">
        <f t="shared" si="2"/>
        <v>1.3648458045804118E-2</v>
      </c>
      <c r="R53" s="13"/>
      <c r="S53" s="13"/>
      <c r="T53" s="34" t="s">
        <v>158</v>
      </c>
      <c r="U53" s="168">
        <v>151079.96939816684</v>
      </c>
      <c r="V53" s="34">
        <v>24573.386725247641</v>
      </c>
      <c r="W53" s="167">
        <v>6.148113448397468</v>
      </c>
      <c r="X53" s="34">
        <v>4.3799599185656708E-9</v>
      </c>
      <c r="Y53" s="34">
        <v>102614.67659437604</v>
      </c>
      <c r="Z53" s="34">
        <v>199545.26220195764</v>
      </c>
      <c r="AA53" s="34">
        <v>102614.67659437604</v>
      </c>
      <c r="AB53" s="34">
        <v>199545.26220195764</v>
      </c>
      <c r="AD53" s="34" t="s">
        <v>158</v>
      </c>
      <c r="AE53" s="166">
        <v>-8.0739758940797171E-2</v>
      </c>
      <c r="AF53" s="166">
        <v>7.4657114768289012E-2</v>
      </c>
      <c r="AG53" s="166">
        <v>0.98079282836982606</v>
      </c>
      <c r="AH53" s="166">
        <v>2.7864746520187028E-2</v>
      </c>
      <c r="AI53" s="166">
        <v>-2.2589348937134778E-2</v>
      </c>
      <c r="AJ53" s="166">
        <v>-1.2368563068060062E-2</v>
      </c>
      <c r="AK53" s="166">
        <v>1</v>
      </c>
      <c r="AL53" s="166"/>
      <c r="AM53" s="166"/>
    </row>
    <row r="54" spans="1:39" x14ac:dyDescent="0.2">
      <c r="A54" s="54">
        <f t="shared" si="3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>U18+U19*C54+U20*D54+U21*E54+U22*F54+U23*G54+U24*H54+U25*I54+U26*J54</f>
        <v>105712620.27260506</v>
      </c>
      <c r="O54" s="53">
        <f t="shared" si="0"/>
        <v>-885056.72739493847</v>
      </c>
      <c r="P54" s="171">
        <f t="shared" si="1"/>
        <v>-8.3027768737862686E-3</v>
      </c>
      <c r="Q54" s="13">
        <f t="shared" si="2"/>
        <v>8.3027768737862686E-3</v>
      </c>
      <c r="R54" s="13"/>
      <c r="S54" s="13"/>
      <c r="T54" s="34" t="s">
        <v>159</v>
      </c>
      <c r="U54" s="168">
        <v>-230790.50874357007</v>
      </c>
      <c r="V54" s="34">
        <v>41090.307115278476</v>
      </c>
      <c r="W54" s="167">
        <v>-5.6166654606909958</v>
      </c>
      <c r="X54" s="34">
        <v>6.6788726104223383E-8</v>
      </c>
      <c r="Y54" s="34">
        <v>-311831.5873708626</v>
      </c>
      <c r="Z54" s="34">
        <v>-149749.43011627757</v>
      </c>
      <c r="AA54" s="34">
        <v>-311831.5873708626</v>
      </c>
      <c r="AB54" s="34">
        <v>-149749.43011627757</v>
      </c>
      <c r="AD54" s="34" t="s">
        <v>159</v>
      </c>
      <c r="AE54" s="166">
        <v>-4.3083411192005761E-2</v>
      </c>
      <c r="AF54" s="166">
        <v>1.3305690253802916E-2</v>
      </c>
      <c r="AG54" s="166">
        <v>0.39439226848867642</v>
      </c>
      <c r="AH54" s="166">
        <v>3.0610729498771975E-2</v>
      </c>
      <c r="AI54" s="166">
        <v>-1.1162071069360319E-2</v>
      </c>
      <c r="AJ54" s="166">
        <v>-3.0531419563429946E-2</v>
      </c>
      <c r="AK54" s="166">
        <v>0.45368917035487888</v>
      </c>
      <c r="AL54" s="166">
        <v>1</v>
      </c>
      <c r="AM54" s="166"/>
    </row>
    <row r="55" spans="1:39" ht="13.5" thickBot="1" x14ac:dyDescent="0.25">
      <c r="A55" s="54">
        <f t="shared" si="3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>U18+U19*C55+U20*D55+U21*E55+U22*F55+U23*G55+U24*H55+U25*I55+U26*J55</f>
        <v>113396574.86979108</v>
      </c>
      <c r="O55" s="53">
        <f t="shared" si="0"/>
        <v>1896046.8697910756</v>
      </c>
      <c r="P55" s="171">
        <f t="shared" si="1"/>
        <v>1.7004824136716872E-2</v>
      </c>
      <c r="Q55" s="13">
        <f t="shared" si="2"/>
        <v>1.7004824136716872E-2</v>
      </c>
      <c r="R55" s="13"/>
      <c r="S55" s="13"/>
      <c r="T55" s="35" t="s">
        <v>109</v>
      </c>
      <c r="U55" s="169">
        <v>-5.1293820921034179</v>
      </c>
      <c r="V55" s="35">
        <v>0.50447410100820478</v>
      </c>
      <c r="W55" s="169">
        <v>-10.167780827305529</v>
      </c>
      <c r="X55" s="35">
        <v>9.7239306755624662E-20</v>
      </c>
      <c r="Y55" s="35">
        <v>-6.1243399825504614</v>
      </c>
      <c r="Z55" s="35">
        <v>-4.1344242016563744</v>
      </c>
      <c r="AA55" s="35">
        <v>-6.1243399825504614</v>
      </c>
      <c r="AB55" s="35">
        <v>-4.1344242016563744</v>
      </c>
      <c r="AD55" s="35" t="s">
        <v>109</v>
      </c>
      <c r="AE55" s="170">
        <v>-5.7236904325073584E-2</v>
      </c>
      <c r="AF55" s="170">
        <v>4.0971179305515679E-2</v>
      </c>
      <c r="AG55" s="170">
        <v>0.60781086621628</v>
      </c>
      <c r="AH55" s="170">
        <v>1.7607388238735183E-2</v>
      </c>
      <c r="AI55" s="170">
        <v>7.0914186493471172E-3</v>
      </c>
      <c r="AJ55" s="170">
        <v>-6.9874771318675817E-3</v>
      </c>
      <c r="AK55" s="170">
        <v>0.67167574586567824</v>
      </c>
      <c r="AL55" s="170">
        <v>0.74035545484753995</v>
      </c>
      <c r="AM55" s="170">
        <v>1</v>
      </c>
    </row>
    <row r="56" spans="1:39" x14ac:dyDescent="0.2">
      <c r="A56" s="54">
        <f t="shared" si="3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>U18+U19*C56+U20*D56+U21*E56+U22*F56+U23*G56+U24*H56+U25*I56+U26*J56</f>
        <v>115296656.64984605</v>
      </c>
      <c r="O56" s="53">
        <f t="shared" si="0"/>
        <v>-283887.35015395284</v>
      </c>
      <c r="P56" s="171">
        <f t="shared" si="1"/>
        <v>-2.4561863124121725E-3</v>
      </c>
      <c r="Q56" s="13">
        <f t="shared" si="2"/>
        <v>2.4561863124121725E-3</v>
      </c>
      <c r="R56" s="13"/>
      <c r="S56" s="13"/>
    </row>
    <row r="57" spans="1:39" x14ac:dyDescent="0.2">
      <c r="A57" s="54">
        <f t="shared" si="3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>U18+U19*C57+U20*D57+U21*E57+U22*F57+U23*G57+U24*H57+U25*I57+U26*J57</f>
        <v>115429506.01992643</v>
      </c>
      <c r="O57" s="53">
        <f t="shared" si="0"/>
        <v>2377301.0199264288</v>
      </c>
      <c r="P57" s="171">
        <f t="shared" si="1"/>
        <v>2.1028347212921929E-2</v>
      </c>
      <c r="Q57" s="13">
        <f t="shared" si="2"/>
        <v>2.1028347212921929E-2</v>
      </c>
      <c r="R57" s="13"/>
      <c r="S57" s="13"/>
    </row>
    <row r="58" spans="1:39" x14ac:dyDescent="0.2">
      <c r="A58" s="54">
        <f t="shared" si="3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>U18+U19*C58+U20*D58+U21*E58+U22*F58+U23*G58+U24*H58+U25*I58+U26*J58</f>
        <v>119171410.82414724</v>
      </c>
      <c r="O58" s="53">
        <f t="shared" si="0"/>
        <v>-1326733.1758527607</v>
      </c>
      <c r="P58" s="171">
        <f t="shared" si="1"/>
        <v>-1.1010403412128578E-2</v>
      </c>
      <c r="Q58" s="13">
        <f t="shared" si="2"/>
        <v>1.1010403412128578E-2</v>
      </c>
      <c r="R58" s="13"/>
      <c r="S58" s="13"/>
    </row>
    <row r="59" spans="1:39" x14ac:dyDescent="0.2">
      <c r="A59" s="54">
        <f t="shared" si="3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>U18+U19*C59+U20*D59+U21*E59+U22*F59+U23*G59+U24*H59+U25*I59+U26*J59</f>
        <v>110134771.01727296</v>
      </c>
      <c r="O59" s="53">
        <f t="shared" si="0"/>
        <v>-1802949.9827270359</v>
      </c>
      <c r="P59" s="171">
        <f t="shared" si="1"/>
        <v>-1.6106724048160995E-2</v>
      </c>
      <c r="Q59" s="13">
        <f t="shared" si="2"/>
        <v>1.6106724048160995E-2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39" x14ac:dyDescent="0.2">
      <c r="A60" s="54">
        <f t="shared" si="3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>U18+U19*C60+U20*D60+U21*E60+U22*F60+U23*G60+U24*H60+U25*I60+U26*J60</f>
        <v>111185667.27346225</v>
      </c>
      <c r="O60" s="53">
        <f t="shared" si="0"/>
        <v>-1581012.7265377492</v>
      </c>
      <c r="P60" s="171">
        <f t="shared" si="1"/>
        <v>-1.4020211702053737E-2</v>
      </c>
      <c r="Q60" s="13">
        <f t="shared" si="2"/>
        <v>1.4020211702053737E-2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39" x14ac:dyDescent="0.2">
      <c r="A61" s="54">
        <f t="shared" si="3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>U18+U19*C61+U20*D61+U21*E61+U22*F61+U23*G61+U24*H61+U25*I61+U26*J61</f>
        <v>116892912.02916689</v>
      </c>
      <c r="O61" s="53">
        <f t="shared" si="0"/>
        <v>-996110.97083310783</v>
      </c>
      <c r="P61" s="171">
        <f t="shared" si="1"/>
        <v>-8.4495650696257609E-3</v>
      </c>
      <c r="Q61" s="13">
        <f t="shared" si="2"/>
        <v>8.4495650696257609E-3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39" x14ac:dyDescent="0.2">
      <c r="A62" s="54">
        <f t="shared" si="3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>U18+U19*C62+U20*D62+U21*E62+U22*F62+U23*G62+U24*H62+U25*I62+U26*J62</f>
        <v>123397331.407749</v>
      </c>
      <c r="O62" s="53">
        <f t="shared" si="0"/>
        <v>-593430.59225100279</v>
      </c>
      <c r="P62" s="171">
        <f t="shared" si="1"/>
        <v>-4.7860871461617664E-3</v>
      </c>
      <c r="Q62" s="13">
        <f t="shared" si="2"/>
        <v>4.7860871461617664E-3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39" x14ac:dyDescent="0.2">
      <c r="A63" s="54">
        <f t="shared" si="3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>U18+U19*C63+U20*D63+U21*E63+U22*F63+U23*G63+U24*H63+U25*I63+U26*J63</f>
        <v>125701742.39253411</v>
      </c>
      <c r="O63" s="53">
        <f t="shared" si="0"/>
        <v>-2036206.607465893</v>
      </c>
      <c r="P63" s="171">
        <f t="shared" si="1"/>
        <v>-1.5940498680356085E-2</v>
      </c>
      <c r="Q63" s="13">
        <f t="shared" si="2"/>
        <v>1.5940498680356085E-2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39" x14ac:dyDescent="0.2">
      <c r="A64" s="54">
        <f t="shared" si="3"/>
        <v>36950</v>
      </c>
      <c r="B64" s="10">
        <v>114030713</v>
      </c>
      <c r="C64" s="1">
        <v>620.20000000000005</v>
      </c>
      <c r="D64" s="1">
        <v>0</v>
      </c>
      <c r="E64" s="10">
        <v>29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>U18+U19*C64+U20*D64+U21*E64+U22*F64+U23*G64+U24*H64+U25*I64+U26*J64</f>
        <v>116212849.33016153</v>
      </c>
      <c r="O64" s="53">
        <f t="shared" si="0"/>
        <v>2182136.3301615268</v>
      </c>
      <c r="P64" s="171">
        <f t="shared" si="1"/>
        <v>1.9136391177011467E-2</v>
      </c>
      <c r="Q64" s="13">
        <f t="shared" si="2"/>
        <v>1.9136391177011467E-2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3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>U18+U19*C65+U20*D65+U21*E65+U22*F65+U23*G65+U24*H65+U25*I65+U26*J65</f>
        <v>120503209.75823143</v>
      </c>
      <c r="O65" s="53">
        <f t="shared" si="0"/>
        <v>-2167186.2417685688</v>
      </c>
      <c r="P65" s="171">
        <f t="shared" si="1"/>
        <v>-1.7666742037488564E-2</v>
      </c>
      <c r="Q65" s="13">
        <f t="shared" si="2"/>
        <v>1.7666742037488564E-2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3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>U18+U19*C66+U20*D66+U21*E66+U22*F66+U23*G66+U24*H66+U25*I66+U26*J66</f>
        <v>109997482.56057563</v>
      </c>
      <c r="O66" s="53">
        <f t="shared" si="0"/>
        <v>1835908.5605756342</v>
      </c>
      <c r="P66" s="171">
        <f t="shared" si="1"/>
        <v>1.6973759651238381E-2</v>
      </c>
      <c r="Q66" s="13">
        <f t="shared" si="2"/>
        <v>1.6973759651238381E-2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3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>U18+U19*C67+U20*D67+U21*E67+U22*F67+U23*G67+U24*H67+U25*I67+U26*J67</f>
        <v>113561318.31713243</v>
      </c>
      <c r="O67" s="53">
        <f t="shared" ref="O67:O130" si="4">N67-B67</f>
        <v>2632014.3171324283</v>
      </c>
      <c r="P67" s="171">
        <f t="shared" ref="P67:P130" si="5">O67/B67</f>
        <v>2.3726952412253737E-2</v>
      </c>
      <c r="Q67" s="13">
        <f t="shared" si="2"/>
        <v>2.3726952412253737E-2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3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>U18+U19*C68+U20*D68+U21*E68+U22*F68+U23*G68+U24*H68+U25*I68+U26*J68</f>
        <v>121280332.36549969</v>
      </c>
      <c r="O68" s="53">
        <f t="shared" si="4"/>
        <v>1013792.3654996902</v>
      </c>
      <c r="P68" s="171">
        <f t="shared" si="5"/>
        <v>8.4295462852734451E-3</v>
      </c>
      <c r="Q68" s="13">
        <f t="shared" ref="Q68:Q131" si="6">ABS(P68)</f>
        <v>8.4295462852734451E-3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3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>U18+U19*C69+U20*D69+U21*E69+U22*F69+U23*G69+U24*H69+U25*I69+U26*J69</f>
        <v>122810616.6233117</v>
      </c>
      <c r="O69" s="53">
        <f t="shared" si="4"/>
        <v>3709267.6233116984</v>
      </c>
      <c r="P69" s="171">
        <f t="shared" si="5"/>
        <v>3.1143791858408744E-2</v>
      </c>
      <c r="Q69" s="13">
        <f t="shared" si="6"/>
        <v>3.1143791858408744E-2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3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>U18+U19*C70+U20*D70+U21*E70+U22*F70+U23*G70+U24*H70+U25*I70+U26*J70</f>
        <v>128910488.06028371</v>
      </c>
      <c r="O70" s="53">
        <f t="shared" si="4"/>
        <v>-3672913.9397162944</v>
      </c>
      <c r="P70" s="171">
        <f t="shared" si="5"/>
        <v>-2.770266778730187E-2</v>
      </c>
      <c r="Q70" s="13">
        <f t="shared" si="6"/>
        <v>2.770266778730187E-2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3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>U18+U19*C71+U20*D71+U21*E71+U22*F71+U23*G71+U24*H71+U25*I71+U26*J71</f>
        <v>108293057.58420011</v>
      </c>
      <c r="O71" s="53">
        <f t="shared" si="4"/>
        <v>-5113897.415799886</v>
      </c>
      <c r="P71" s="171">
        <f t="shared" si="5"/>
        <v>-4.5093331496290384E-2</v>
      </c>
      <c r="Q71" s="13">
        <f t="shared" si="6"/>
        <v>4.5093331496290384E-2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7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>U18+U19*C72+U20*D72+U21*E72+U22*F72+U23*G72+U24*H72+U25*I72+U26*J72</f>
        <v>114627482.79866754</v>
      </c>
      <c r="O72" s="53">
        <f t="shared" si="4"/>
        <v>-3412157.2013324648</v>
      </c>
      <c r="P72" s="171">
        <f t="shared" si="5"/>
        <v>-2.8906875701522512E-2</v>
      </c>
      <c r="Q72" s="13">
        <f t="shared" si="6"/>
        <v>2.8906875701522512E-2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7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>U18+U19*C73+U20*D73+U21*E73+U22*F73+U23*G73+U24*H73+U25*I73+U26*J73</f>
        <v>115389837.90917166</v>
      </c>
      <c r="O73" s="53">
        <f t="shared" si="4"/>
        <v>-1772369.0908283442</v>
      </c>
      <c r="P73" s="171">
        <f t="shared" si="5"/>
        <v>-1.5127481260474585E-2</v>
      </c>
      <c r="Q73" s="13">
        <f t="shared" si="6"/>
        <v>1.5127481260474585E-2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7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>U18+U19*C74+U20*D74+U21*E74+U22*F74+U23*G74+U24*H74+U25*I74+U26*J74</f>
        <v>118109814.12439299</v>
      </c>
      <c r="O74" s="53">
        <f t="shared" si="4"/>
        <v>1222113.1243929863</v>
      </c>
      <c r="P74" s="171">
        <f t="shared" si="5"/>
        <v>1.0455446671784453E-2</v>
      </c>
      <c r="Q74" s="13">
        <f t="shared" si="6"/>
        <v>1.0455446671784453E-2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7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>U18+U19*C75+U20*D75+U21*E75+U22*F75+U23*G75+U24*H75+U25*I75+U26*J75</f>
        <v>124261952.66708228</v>
      </c>
      <c r="O75" s="53">
        <f t="shared" si="4"/>
        <v>-4118143.3329177201</v>
      </c>
      <c r="P75" s="171">
        <f t="shared" si="5"/>
        <v>-3.2077739939668844E-2</v>
      </c>
      <c r="Q75" s="13">
        <f t="shared" si="6"/>
        <v>3.2077739939668844E-2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7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>U18+U19*C76+U20*D76+U21*E76+U22*F76+U23*G76+U24*H76+U25*I76+U26*J76</f>
        <v>116055525.44614881</v>
      </c>
      <c r="O76" s="53">
        <f t="shared" si="4"/>
        <v>-1735813.5538511872</v>
      </c>
      <c r="P76" s="171">
        <f t="shared" si="5"/>
        <v>-1.4736342829511322E-2</v>
      </c>
      <c r="Q76" s="13">
        <f t="shared" si="6"/>
        <v>1.4736342829511322E-2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7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>U18+U19*C77+U20*D77+U21*E77+U22*F77+U23*G77+U24*H77+U25*I77+U26*J77</f>
        <v>119310500.61049823</v>
      </c>
      <c r="O77" s="53">
        <f t="shared" si="4"/>
        <v>-6346598.3895017654</v>
      </c>
      <c r="P77" s="171">
        <f t="shared" si="5"/>
        <v>-5.0507280846120481E-2</v>
      </c>
      <c r="Q77" s="13">
        <f t="shared" si="6"/>
        <v>5.0507280846120481E-2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7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>U18+U19*C78+U20*D78+U21*E78+U22*F78+U23*G78+U24*H78+U25*I78+U26*J78</f>
        <v>118308795.26943673</v>
      </c>
      <c r="O78" s="53">
        <f t="shared" si="4"/>
        <v>-1484976.7305632681</v>
      </c>
      <c r="P78" s="171">
        <f t="shared" si="5"/>
        <v>-1.239610962883169E-2</v>
      </c>
      <c r="Q78" s="13">
        <f t="shared" si="6"/>
        <v>1.239610962883169E-2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7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>U18+U19*C79+U20*D79+U21*E79+U22*F79+U23*G79+U24*H79+U25*I79+U26*J79</f>
        <v>118429943.24802947</v>
      </c>
      <c r="O79" s="53">
        <f t="shared" si="4"/>
        <v>-2013456.7519705147</v>
      </c>
      <c r="P79" s="171">
        <f t="shared" si="5"/>
        <v>-1.6717036815388098E-2</v>
      </c>
      <c r="Q79" s="13">
        <f t="shared" si="6"/>
        <v>1.6717036815388098E-2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7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>U18+U19*C80+U20*D80+U21*E80+U22*F80+U23*G80+U24*H80+U25*I80+U26*J80</f>
        <v>120875182.15017627</v>
      </c>
      <c r="O80" s="53">
        <f t="shared" si="4"/>
        <v>-4609587.8498237282</v>
      </c>
      <c r="P80" s="171">
        <f t="shared" si="5"/>
        <v>-3.6734241532448343E-2</v>
      </c>
      <c r="Q80" s="13">
        <f t="shared" si="6"/>
        <v>3.6734241532448343E-2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7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>U18+U19*C81+U20*D81+U21*E81+U22*F81+U23*G81+U24*H81+U25*I81+U26*J81</f>
        <v>139814116.40793186</v>
      </c>
      <c r="O81" s="53">
        <f t="shared" si="4"/>
        <v>-1086593.5920681357</v>
      </c>
      <c r="P81" s="171">
        <f t="shared" si="5"/>
        <v>-7.7117680391258197E-3</v>
      </c>
      <c r="Q81" s="13">
        <f t="shared" si="6"/>
        <v>7.7117680391258197E-3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7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>U18+U19*C82+U20*D82+U21*E82+U22*F82+U23*G82+U24*H82+U25*I82+U26*J82</f>
        <v>127647317.2399794</v>
      </c>
      <c r="O82" s="53">
        <f t="shared" si="4"/>
        <v>-9326222.7600205988</v>
      </c>
      <c r="P82" s="171">
        <f t="shared" si="5"/>
        <v>-6.8087769068541262E-2</v>
      </c>
      <c r="Q82" s="13">
        <f t="shared" si="6"/>
        <v>6.8087769068541262E-2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7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>U18+U19*C83+U20*D83+U21*E83+U22*F83+U23*G83+U24*H83+U25*I83+U26*J83</f>
        <v>118219420.45638244</v>
      </c>
      <c r="O83" s="53">
        <f t="shared" si="4"/>
        <v>-8262279.5436175615</v>
      </c>
      <c r="P83" s="171">
        <f t="shared" si="5"/>
        <v>-6.532391281598493E-2</v>
      </c>
      <c r="Q83" s="13">
        <f t="shared" si="6"/>
        <v>6.532391281598493E-2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7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>U18+U19*C84+U20*D84+U21*E84+U22*F84+U23*G84+U24*H84+U25*I84+U26*J84</f>
        <v>121569326.90682369</v>
      </c>
      <c r="O84" s="53">
        <f t="shared" si="4"/>
        <v>-3418003.0931763053</v>
      </c>
      <c r="P84" s="171">
        <f t="shared" si="5"/>
        <v>-2.7346796616715512E-2</v>
      </c>
      <c r="Q84" s="13">
        <f t="shared" si="6"/>
        <v>2.7346796616715512E-2</v>
      </c>
      <c r="R84" s="13"/>
      <c r="S84" s="13"/>
    </row>
    <row r="85" spans="1:43" x14ac:dyDescent="0.2">
      <c r="A85" s="54">
        <f t="shared" si="7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>U18+U19*C85+U20*D85+U21*E85+U22*F85+U23*G85+U24*H85+U25*I85+U26*J85</f>
        <v>120352241.6390918</v>
      </c>
      <c r="O85" s="53">
        <f t="shared" si="4"/>
        <v>-4546528.3609081954</v>
      </c>
      <c r="P85" s="171">
        <f t="shared" si="5"/>
        <v>-3.6401706445213157E-2</v>
      </c>
      <c r="Q85" s="13">
        <f t="shared" si="6"/>
        <v>3.6401706445213157E-2</v>
      </c>
      <c r="R85" s="13"/>
      <c r="S85" s="13"/>
    </row>
    <row r="86" spans="1:43" s="32" customFormat="1" x14ac:dyDescent="0.2">
      <c r="A86" s="54">
        <f t="shared" si="7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>U18+U19*C86+U20*D86+U21*E86+U22*F86+U23*G86+U24*H86+U25*I86+U26*J86</f>
        <v>127325405.72949268</v>
      </c>
      <c r="O86" s="53">
        <f t="shared" si="4"/>
        <v>-26824.270507320762</v>
      </c>
      <c r="P86" s="171">
        <f t="shared" si="5"/>
        <v>-2.1063055203132886E-4</v>
      </c>
      <c r="Q86" s="13">
        <f t="shared" si="6"/>
        <v>2.1063055203132886E-4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7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>U18+U19*C87+U20*D87+U21*E87+U22*F87+U23*G87+U24*H87+U25*I87+U26*J87</f>
        <v>135136381.96743584</v>
      </c>
      <c r="O87" s="53">
        <f t="shared" si="4"/>
        <v>-876358.03256416321</v>
      </c>
      <c r="P87" s="171">
        <f t="shared" si="5"/>
        <v>-6.4432054862225644E-3</v>
      </c>
      <c r="Q87" s="13">
        <f t="shared" si="6"/>
        <v>6.4432054862225644E-3</v>
      </c>
      <c r="R87" s="13"/>
      <c r="S87" s="13"/>
    </row>
    <row r="88" spans="1:43" x14ac:dyDescent="0.2">
      <c r="A88" s="54">
        <f t="shared" si="7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>U18+U19*C88+U20*D88+U21*E88+U22*F88+U23*G88+U24*H88+U25*I88+U26*J88</f>
        <v>124182285.87910557</v>
      </c>
      <c r="O88" s="53">
        <f t="shared" si="4"/>
        <v>-7014.1208944320679</v>
      </c>
      <c r="P88" s="171">
        <f t="shared" si="5"/>
        <v>-5.6479269103151945E-5</v>
      </c>
      <c r="Q88" s="13">
        <f t="shared" si="6"/>
        <v>5.6479269103151945E-5</v>
      </c>
      <c r="R88" s="13"/>
      <c r="S88" s="13"/>
    </row>
    <row r="89" spans="1:43" x14ac:dyDescent="0.2">
      <c r="A89" s="54">
        <f t="shared" si="7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>U18+U19*C89+U20*D89+U21*E89+U22*F89+U23*G89+U24*H89+U25*I89+U26*J89</f>
        <v>125733203.59497046</v>
      </c>
      <c r="O89" s="53">
        <f t="shared" si="4"/>
        <v>-4571026.4050295353</v>
      </c>
      <c r="P89" s="171">
        <f t="shared" si="5"/>
        <v>-3.5079647107615276E-2</v>
      </c>
      <c r="Q89" s="13">
        <f t="shared" si="6"/>
        <v>3.5079647107615276E-2</v>
      </c>
      <c r="R89" s="13"/>
      <c r="S89" s="13"/>
    </row>
    <row r="90" spans="1:43" x14ac:dyDescent="0.2">
      <c r="A90" s="54">
        <f t="shared" si="7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>U18+U19*C90+U20*D90+U21*E90+U22*F90+U23*G90+U24*H90+U25*I90+U26*J90</f>
        <v>119760122.81378867</v>
      </c>
      <c r="O90" s="53">
        <f t="shared" si="4"/>
        <v>-106417.18621131778</v>
      </c>
      <c r="P90" s="171">
        <f t="shared" si="5"/>
        <v>-8.8779726361766834E-4</v>
      </c>
      <c r="Q90" s="13">
        <f t="shared" si="6"/>
        <v>8.8779726361766834E-4</v>
      </c>
      <c r="R90" s="13"/>
      <c r="S90" s="13"/>
    </row>
    <row r="91" spans="1:43" x14ac:dyDescent="0.2">
      <c r="A91" s="54">
        <f t="shared" si="7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>U18+U19*C91+U20*D91+U21*E91+U22*F91+U23*G91+U24*H91+U25*I91+U26*J91</f>
        <v>118943271.30688918</v>
      </c>
      <c r="O91" s="53">
        <f t="shared" si="4"/>
        <v>31751.306889176369</v>
      </c>
      <c r="P91" s="171">
        <f t="shared" si="5"/>
        <v>2.6701623937845859E-4</v>
      </c>
      <c r="Q91" s="13">
        <f t="shared" si="6"/>
        <v>2.6701623937845859E-4</v>
      </c>
      <c r="R91" s="13"/>
      <c r="S91" s="13"/>
    </row>
    <row r="92" spans="1:43" x14ac:dyDescent="0.2">
      <c r="A92" s="54">
        <f t="shared" si="7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>U18+U19*C92+U20*D92+U21*E92+U22*F92+U23*G92+U24*H92+U25*I92+U26*J92</f>
        <v>121554238.64911792</v>
      </c>
      <c r="O92" s="53">
        <f t="shared" si="4"/>
        <v>-1897791.3508820832</v>
      </c>
      <c r="P92" s="171">
        <f t="shared" si="5"/>
        <v>-1.5372702667441623E-2</v>
      </c>
      <c r="Q92" s="13">
        <f t="shared" si="6"/>
        <v>1.5372702667441623E-2</v>
      </c>
      <c r="R92" s="13"/>
      <c r="S92" s="13"/>
    </row>
    <row r="93" spans="1:43" x14ac:dyDescent="0.2">
      <c r="A93" s="54">
        <f t="shared" si="7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>U18+U19*C93+U20*D93+U21*E93+U22*F93+U23*G93+U24*H93+U25*I93+U26*J93</f>
        <v>129162254.39371102</v>
      </c>
      <c r="O93" s="53">
        <f t="shared" si="4"/>
        <v>-4088105.6062889695</v>
      </c>
      <c r="P93" s="171">
        <f t="shared" si="5"/>
        <v>-3.0679884139067016E-2</v>
      </c>
      <c r="Q93" s="13">
        <f t="shared" si="6"/>
        <v>3.0679884139067016E-2</v>
      </c>
      <c r="R93" s="13"/>
      <c r="S93" s="13"/>
    </row>
    <row r="94" spans="1:43" x14ac:dyDescent="0.2">
      <c r="A94" s="54">
        <f t="shared" si="7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>U18+U19*C94+U20*D94+U21*E94+U22*F94+U23*G94+U24*H94+U25*I94+U26*J94</f>
        <v>130652220.09466134</v>
      </c>
      <c r="O94" s="53">
        <f t="shared" si="4"/>
        <v>607710.09466135502</v>
      </c>
      <c r="P94" s="171">
        <f t="shared" si="5"/>
        <v>4.6730930406931838E-3</v>
      </c>
      <c r="Q94" s="13">
        <f t="shared" si="6"/>
        <v>4.6730930406931838E-3</v>
      </c>
      <c r="R94" s="13"/>
      <c r="S94" s="13"/>
    </row>
    <row r="95" spans="1:43" x14ac:dyDescent="0.2">
      <c r="A95" s="54">
        <f t="shared" si="7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>U18+U19*C95+U20*D95+U21*E95+U22*F95+U23*G95+U24*H95+U25*I95+U26*J95</f>
        <v>118366931.93827078</v>
      </c>
      <c r="O95" s="53">
        <f t="shared" si="4"/>
        <v>-5526308.0617292225</v>
      </c>
      <c r="P95" s="171">
        <f t="shared" si="5"/>
        <v>-4.4605404312044974E-2</v>
      </c>
      <c r="Q95" s="13">
        <f t="shared" si="6"/>
        <v>4.4605404312044974E-2</v>
      </c>
      <c r="R95" s="13"/>
      <c r="S95" s="13"/>
    </row>
    <row r="96" spans="1:43" x14ac:dyDescent="0.2">
      <c r="A96" s="54">
        <f t="shared" si="7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>U18+U19*C96+U20*D96+U21*E96+U22*F96+U23*G96+U24*H96+U25*I96+U26*J96</f>
        <v>125697019.89772016</v>
      </c>
      <c r="O96" s="53">
        <f t="shared" si="4"/>
        <v>-1407720.1022798419</v>
      </c>
      <c r="P96" s="171">
        <f t="shared" si="5"/>
        <v>-1.1075276203545531E-2</v>
      </c>
      <c r="Q96" s="13">
        <f t="shared" si="6"/>
        <v>1.1075276203545531E-2</v>
      </c>
      <c r="R96" s="13"/>
      <c r="S96" s="13"/>
    </row>
    <row r="97" spans="1:20" x14ac:dyDescent="0.2">
      <c r="A97" s="54">
        <f t="shared" si="7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>U18+U19*C97+U20*D97+U21*E97+U22*F97+U23*G97+U24*H97+U25*I97+U26*J97</f>
        <v>122911385.46500547</v>
      </c>
      <c r="O97" s="53">
        <f t="shared" si="4"/>
        <v>-3686244.5349945277</v>
      </c>
      <c r="P97" s="171">
        <f t="shared" si="5"/>
        <v>-2.9117800506964685E-2</v>
      </c>
      <c r="Q97" s="13">
        <f t="shared" si="6"/>
        <v>2.9117800506964685E-2</v>
      </c>
      <c r="R97" s="13"/>
      <c r="S97" s="13"/>
    </row>
    <row r="98" spans="1:20" x14ac:dyDescent="0.2">
      <c r="A98" s="54">
        <f t="shared" si="7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>U18+U19*C98+U20*D98+U21*E98+U22*F98+U23*G98+U24*H98+U25*I98+U26*J98</f>
        <v>131445948.2273533</v>
      </c>
      <c r="O98" s="53">
        <f t="shared" si="4"/>
        <v>1355258.2273533046</v>
      </c>
      <c r="P98" s="171">
        <f t="shared" si="5"/>
        <v>1.041779567279799E-2</v>
      </c>
      <c r="Q98" s="13">
        <f t="shared" si="6"/>
        <v>1.041779567279799E-2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>U18+U19*C99+U20*D99+U21*E99+U22*F99+U23*G99+U24*H99+U25*I99+U26*J99</f>
        <v>137353177.25516942</v>
      </c>
      <c r="O99" s="53">
        <f t="shared" si="4"/>
        <v>-3189342.7448305786</v>
      </c>
      <c r="P99" s="171">
        <f t="shared" si="5"/>
        <v>-2.2693080676442819E-2</v>
      </c>
      <c r="Q99" s="13">
        <f t="shared" si="6"/>
        <v>2.2693080676442819E-2</v>
      </c>
      <c r="R99" s="13"/>
      <c r="S99" s="13"/>
      <c r="T99" s="57"/>
    </row>
    <row r="100" spans="1:20" x14ac:dyDescent="0.2">
      <c r="A100" s="54">
        <f t="shared" si="7"/>
        <v>38046</v>
      </c>
      <c r="B100" s="10">
        <v>129380670</v>
      </c>
      <c r="C100" s="1">
        <v>699.2</v>
      </c>
      <c r="D100" s="1">
        <v>0</v>
      </c>
      <c r="E100" s="10">
        <v>28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>U18+U19*C100+U20*D100+U21*E100+U22*F100+U23*G100+U24*H100+U25*I100+U26*J100</f>
        <v>126061183.0413927</v>
      </c>
      <c r="O100" s="53">
        <f t="shared" si="4"/>
        <v>-3319486.9586073011</v>
      </c>
      <c r="P100" s="171">
        <f t="shared" si="5"/>
        <v>-2.5656745776685971E-2</v>
      </c>
      <c r="Q100" s="13">
        <f t="shared" si="6"/>
        <v>2.5656745776685971E-2</v>
      </c>
      <c r="R100" s="13"/>
      <c r="S100" s="13"/>
      <c r="T100" s="57"/>
    </row>
    <row r="101" spans="1:20" x14ac:dyDescent="0.2">
      <c r="A101" s="54">
        <f t="shared" si="7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>U18+U19*C101+U20*D101+U21*E101+U22*F101+U23*G101+U24*H101+U25*I101+U26*J101</f>
        <v>130031401.63348185</v>
      </c>
      <c r="O101" s="53">
        <f t="shared" si="4"/>
        <v>-4597638.3665181547</v>
      </c>
      <c r="P101" s="171">
        <f t="shared" si="5"/>
        <v>-3.4150420789735667E-2</v>
      </c>
      <c r="Q101" s="13">
        <f t="shared" si="6"/>
        <v>3.4150420789735667E-2</v>
      </c>
      <c r="R101" s="13"/>
      <c r="S101" s="13"/>
    </row>
    <row r="102" spans="1:20" x14ac:dyDescent="0.2">
      <c r="A102" s="54">
        <f t="shared" si="7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>U18+U19*C102+U20*D102+U21*E102+U22*F102+U23*G102+U24*H102+U25*I102+U26*J102</f>
        <v>121541749.17881542</v>
      </c>
      <c r="O102" s="53">
        <f t="shared" si="4"/>
        <v>-112400.82118456066</v>
      </c>
      <c r="P102" s="171">
        <f t="shared" si="5"/>
        <v>-9.2393741754441311E-4</v>
      </c>
      <c r="Q102" s="13">
        <f t="shared" si="6"/>
        <v>9.2393741754441311E-4</v>
      </c>
      <c r="R102" s="13"/>
      <c r="S102" s="13"/>
    </row>
    <row r="103" spans="1:20" x14ac:dyDescent="0.2">
      <c r="A103" s="54">
        <f t="shared" si="7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>U18+U19*C103+U20*D103+U21*E103+U22*F103+U23*G103+U24*H103+U25*I103+U26*J103</f>
        <v>120802837.71569553</v>
      </c>
      <c r="O103" s="53">
        <f t="shared" si="4"/>
        <v>-3108722.2843044698</v>
      </c>
      <c r="P103" s="171">
        <f t="shared" si="5"/>
        <v>-2.5088234578795311E-2</v>
      </c>
      <c r="Q103" s="13">
        <f t="shared" si="6"/>
        <v>2.5088234578795311E-2</v>
      </c>
      <c r="R103" s="13"/>
      <c r="S103" s="13"/>
    </row>
    <row r="104" spans="1:20" x14ac:dyDescent="0.2">
      <c r="A104" s="54">
        <f t="shared" si="7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>U18+U19*C104+U20*D104+U21*E104+U22*F104+U23*G104+U24*H104+U25*I104+U26*J104</f>
        <v>125664960.42633826</v>
      </c>
      <c r="O104" s="53">
        <f t="shared" si="4"/>
        <v>-2856549.5736617297</v>
      </c>
      <c r="P104" s="171">
        <f t="shared" si="5"/>
        <v>-2.2226237255240231E-2</v>
      </c>
      <c r="Q104" s="13">
        <f t="shared" si="6"/>
        <v>2.2226237255240231E-2</v>
      </c>
      <c r="R104" s="13"/>
      <c r="S104" s="13"/>
    </row>
    <row r="105" spans="1:20" x14ac:dyDescent="0.2">
      <c r="A105" s="54">
        <f t="shared" si="7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>U18+U19*C105+U20*D105+U21*E105+U22*F105+U23*G105+U24*H105+U25*I105+U26*J105</f>
        <v>132085050.808382</v>
      </c>
      <c r="O105" s="53">
        <f t="shared" si="4"/>
        <v>1582730.8083820045</v>
      </c>
      <c r="P105" s="171">
        <f t="shared" si="5"/>
        <v>1.2127989819506692E-2</v>
      </c>
      <c r="Q105" s="13">
        <f t="shared" si="6"/>
        <v>1.2127989819506692E-2</v>
      </c>
      <c r="R105" s="13"/>
      <c r="S105" s="13"/>
    </row>
    <row r="106" spans="1:20" x14ac:dyDescent="0.2">
      <c r="A106" s="54">
        <f t="shared" si="7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>U18+U19*C106+U20*D106+U21*E106+U22*F106+U23*G106+U24*H106+U25*I106+U26*J106</f>
        <v>129559110.70243347</v>
      </c>
      <c r="O106" s="53">
        <f t="shared" si="4"/>
        <v>-5177049.2975665331</v>
      </c>
      <c r="P106" s="171">
        <f t="shared" si="5"/>
        <v>-3.8423607274888444E-2</v>
      </c>
      <c r="Q106" s="13">
        <f t="shared" si="6"/>
        <v>3.8423607274888444E-2</v>
      </c>
      <c r="R106" s="13"/>
      <c r="S106" s="13"/>
    </row>
    <row r="107" spans="1:20" x14ac:dyDescent="0.2">
      <c r="A107" s="54">
        <f t="shared" si="7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>U18+U19*C107+U20*D107+U21*E107+U22*F107+U23*G107+U24*H107+U25*I107+U26*J107</f>
        <v>123889089.03522792</v>
      </c>
      <c r="O107" s="53">
        <f t="shared" si="4"/>
        <v>-7289410.9647720754</v>
      </c>
      <c r="P107" s="171">
        <f t="shared" si="5"/>
        <v>-5.5568640934086574E-2</v>
      </c>
      <c r="Q107" s="13">
        <f t="shared" si="6"/>
        <v>5.5568640934086574E-2</v>
      </c>
      <c r="R107" s="13"/>
      <c r="S107" s="13"/>
    </row>
    <row r="108" spans="1:20" x14ac:dyDescent="0.2">
      <c r="A108" s="54">
        <f t="shared" si="7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>U18+U19*C108+U20*D108+U21*E108+U22*F108+U23*G108+U24*H108+U25*I108+U26*J108</f>
        <v>125399602.25537886</v>
      </c>
      <c r="O108" s="53">
        <f t="shared" si="4"/>
        <v>-1880397.7446211427</v>
      </c>
      <c r="P108" s="171">
        <f t="shared" si="5"/>
        <v>-1.4773709495766363E-2</v>
      </c>
      <c r="Q108" s="13">
        <f t="shared" si="6"/>
        <v>1.4773709495766363E-2</v>
      </c>
      <c r="R108" s="13"/>
      <c r="S108" s="13"/>
    </row>
    <row r="109" spans="1:20" x14ac:dyDescent="0.2">
      <c r="A109" s="54">
        <f t="shared" si="7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>U18+U19*C109+U20*D109+U21*E109+U22*F109+U23*G109+U24*H109+U25*I109+U26*J109</f>
        <v>130445873.54848526</v>
      </c>
      <c r="O109" s="53">
        <f t="shared" si="4"/>
        <v>-952916.45151473582</v>
      </c>
      <c r="P109" s="171">
        <f t="shared" si="5"/>
        <v>-7.2520945703893908E-3</v>
      </c>
      <c r="Q109" s="13">
        <f t="shared" si="6"/>
        <v>7.2520945703893908E-3</v>
      </c>
      <c r="R109" s="13"/>
      <c r="S109" s="13"/>
    </row>
    <row r="110" spans="1:20" x14ac:dyDescent="0.2">
      <c r="A110" s="54">
        <f t="shared" si="7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>U18+U19*C110+U20*D110+U21*E110+U22*F110+U23*G110+U24*H110+U25*I110+U26*J110</f>
        <v>138162189.58696985</v>
      </c>
      <c r="O110" s="53">
        <f t="shared" si="4"/>
        <v>1491479.5869698524</v>
      </c>
      <c r="P110" s="171">
        <f t="shared" si="5"/>
        <v>1.0912942407117461E-2</v>
      </c>
      <c r="Q110" s="13">
        <f t="shared" si="6"/>
        <v>1.0912942407117461E-2</v>
      </c>
      <c r="R110" s="13"/>
      <c r="S110" s="13"/>
    </row>
    <row r="111" spans="1:20" x14ac:dyDescent="0.2">
      <c r="A111" s="54">
        <f t="shared" si="7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>U18+U19*C111+U20*D111+U21*E111+U22*F111+U23*G111+U24*H111+U25*I111+U26*J111</f>
        <v>138591907.71321648</v>
      </c>
      <c r="O111" s="53">
        <f t="shared" si="4"/>
        <v>-7034877.2867835164</v>
      </c>
      <c r="P111" s="171">
        <f t="shared" si="5"/>
        <v>-4.830757807901559E-2</v>
      </c>
      <c r="Q111" s="13">
        <f t="shared" si="6"/>
        <v>4.830757807901559E-2</v>
      </c>
      <c r="R111" s="13"/>
      <c r="S111" s="13"/>
    </row>
    <row r="112" spans="1:20" x14ac:dyDescent="0.2">
      <c r="A112" s="54">
        <f t="shared" si="7"/>
        <v>38411</v>
      </c>
      <c r="B112" s="10">
        <v>130295706</v>
      </c>
      <c r="C112" s="1">
        <v>683.5</v>
      </c>
      <c r="D112" s="1">
        <v>0</v>
      </c>
      <c r="E112" s="10">
        <v>29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>U18+U19*C112+U20*D112+U21*E112+U22*F112+U23*G112+U24*H112+U25*I112+U26*J112</f>
        <v>132977533.19367671</v>
      </c>
      <c r="O112" s="53">
        <f t="shared" si="4"/>
        <v>2681827.1936767101</v>
      </c>
      <c r="P112" s="171">
        <f t="shared" si="5"/>
        <v>2.0582621453977233E-2</v>
      </c>
      <c r="Q112" s="13">
        <f t="shared" si="6"/>
        <v>2.0582621453977233E-2</v>
      </c>
      <c r="R112" s="13"/>
      <c r="S112" s="13"/>
    </row>
    <row r="113" spans="1:19" x14ac:dyDescent="0.2">
      <c r="A113" s="54">
        <f t="shared" si="7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>U18+U19*C113+U20*D113+U21*E113+U22*F113+U23*G113+U24*H113+U25*I113+U26*J113</f>
        <v>137353276.52477002</v>
      </c>
      <c r="O113" s="53">
        <f t="shared" si="4"/>
        <v>-2076467.4752299786</v>
      </c>
      <c r="P113" s="171">
        <f t="shared" si="5"/>
        <v>-1.4892571811865183E-2</v>
      </c>
      <c r="Q113" s="13">
        <f t="shared" si="6"/>
        <v>1.4892571811865183E-2</v>
      </c>
      <c r="R113" s="13"/>
      <c r="S113" s="13"/>
    </row>
    <row r="114" spans="1:19" x14ac:dyDescent="0.2">
      <c r="A114" s="54">
        <f t="shared" si="7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>U18+U19*C114+U20*D114+U21*E114+U22*F114+U23*G114+U24*H114+U25*I114+U26*J114</f>
        <v>127742618.40491816</v>
      </c>
      <c r="O114" s="53">
        <f t="shared" si="4"/>
        <v>2236898.404918164</v>
      </c>
      <c r="P114" s="171">
        <f t="shared" si="5"/>
        <v>1.7823079337883279E-2</v>
      </c>
      <c r="Q114" s="13">
        <f t="shared" si="6"/>
        <v>1.7823079337883279E-2</v>
      </c>
      <c r="R114" s="13"/>
      <c r="S114" s="13"/>
    </row>
    <row r="115" spans="1:19" x14ac:dyDescent="0.2">
      <c r="A115" s="54">
        <f t="shared" si="7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>U18+U19*C115+U20*D115+U21*E115+U22*F115+U23*G115+U24*H115+U25*I115+U26*J115</f>
        <v>128343316.73373932</v>
      </c>
      <c r="O115" s="53">
        <f t="shared" si="4"/>
        <v>2282602.7337393165</v>
      </c>
      <c r="P115" s="171">
        <f t="shared" si="5"/>
        <v>1.8107169643187301E-2</v>
      </c>
      <c r="Q115" s="13">
        <f t="shared" si="6"/>
        <v>1.8107169643187301E-2</v>
      </c>
      <c r="R115" s="13"/>
      <c r="S115" s="13"/>
    </row>
    <row r="116" spans="1:19" x14ac:dyDescent="0.2">
      <c r="A116" s="54">
        <f t="shared" si="7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>U18+U19*C116+U20*D116+U21*E116+U22*F116+U23*G116+U24*H116+U25*I116+U26*J116</f>
        <v>147468615.86556211</v>
      </c>
      <c r="O116" s="53">
        <f t="shared" si="4"/>
        <v>-737244.13443788886</v>
      </c>
      <c r="P116" s="171">
        <f t="shared" si="5"/>
        <v>-4.974460081658639E-3</v>
      </c>
      <c r="Q116" s="13">
        <f t="shared" si="6"/>
        <v>4.974460081658639E-3</v>
      </c>
      <c r="R116" s="13"/>
      <c r="S116" s="13"/>
    </row>
    <row r="117" spans="1:19" x14ac:dyDescent="0.2">
      <c r="A117" s="54">
        <f t="shared" si="7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>U18+U19*C117+U20*D117+U21*E117+U22*F117+U23*G117+U24*H117+U25*I117+U26*J117</f>
        <v>146273016.75658548</v>
      </c>
      <c r="O117" s="53">
        <f t="shared" si="4"/>
        <v>1802876.7565854788</v>
      </c>
      <c r="P117" s="171">
        <f t="shared" si="5"/>
        <v>1.2479234508843688E-2</v>
      </c>
      <c r="Q117" s="13">
        <f t="shared" si="6"/>
        <v>1.2479234508843688E-2</v>
      </c>
      <c r="R117" s="13"/>
      <c r="S117" s="13"/>
    </row>
    <row r="118" spans="1:19" x14ac:dyDescent="0.2">
      <c r="A118" s="54">
        <f t="shared" si="7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>U18+U19*C118+U20*D118+U21*E118+U22*F118+U23*G118+U24*H118+U25*I118+U26*J118</f>
        <v>142953165.35500428</v>
      </c>
      <c r="O118" s="53">
        <f t="shared" si="4"/>
        <v>-6411377.6449957192</v>
      </c>
      <c r="P118" s="171">
        <f t="shared" si="5"/>
        <v>-4.2924361540045815E-2</v>
      </c>
      <c r="Q118" s="13">
        <f t="shared" si="6"/>
        <v>4.2924361540045815E-2</v>
      </c>
      <c r="R118" s="13"/>
      <c r="S118" s="13"/>
    </row>
    <row r="119" spans="1:19" x14ac:dyDescent="0.2">
      <c r="A119" s="54">
        <f t="shared" si="7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>U18+U19*C119+U20*D119+U21*E119+U22*F119+U23*G119+U24*H119+U25*I119+U26*J119</f>
        <v>128261816.65988873</v>
      </c>
      <c r="O119" s="53">
        <f t="shared" si="4"/>
        <v>-3661319.3401112705</v>
      </c>
      <c r="P119" s="171">
        <f t="shared" si="5"/>
        <v>-2.7753428633710393E-2</v>
      </c>
      <c r="Q119" s="13">
        <f t="shared" si="6"/>
        <v>2.7753428633710393E-2</v>
      </c>
      <c r="R119" s="13"/>
      <c r="S119" s="13"/>
    </row>
    <row r="120" spans="1:19" x14ac:dyDescent="0.2">
      <c r="A120" s="54">
        <f t="shared" si="7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>U18+U19*C120+U20*D120+U21*E120+U22*F120+U23*G120+U24*H120+U25*I120+U26*J120</f>
        <v>129691785.55716223</v>
      </c>
      <c r="O120" s="53">
        <f t="shared" si="4"/>
        <v>263698.55716222525</v>
      </c>
      <c r="P120" s="171">
        <f t="shared" si="5"/>
        <v>2.0374136964739749E-3</v>
      </c>
      <c r="Q120" s="13">
        <f t="shared" si="6"/>
        <v>2.0374136964739749E-3</v>
      </c>
      <c r="R120" s="13"/>
      <c r="S120" s="13"/>
    </row>
    <row r="121" spans="1:19" x14ac:dyDescent="0.2">
      <c r="A121" s="54">
        <f t="shared" si="7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>U18+U19*C121+U20*D121+U21*E121+U22*F121+U23*G121+U24*H121+U25*I121+U26*J121</f>
        <v>133615992.00933658</v>
      </c>
      <c r="O121" s="53">
        <f t="shared" si="4"/>
        <v>190186.00933657587</v>
      </c>
      <c r="P121" s="171">
        <f t="shared" si="5"/>
        <v>1.4254064864826514E-3</v>
      </c>
      <c r="Q121" s="13">
        <f t="shared" si="6"/>
        <v>1.4254064864826514E-3</v>
      </c>
      <c r="R121" s="13"/>
      <c r="S121" s="13"/>
    </row>
    <row r="122" spans="1:19" x14ac:dyDescent="0.2">
      <c r="A122" s="54">
        <f t="shared" si="7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>U18+U19*C122+U20*D122+U21*E122+U22*F122+U23*G122+U24*H122+U25*I122+U26*J122</f>
        <v>139588879.04030839</v>
      </c>
      <c r="O122" s="53">
        <f t="shared" si="4"/>
        <v>2336458.0403083861</v>
      </c>
      <c r="P122" s="171">
        <f t="shared" si="5"/>
        <v>1.7023073424026421E-2</v>
      </c>
      <c r="Q122" s="13">
        <f t="shared" si="6"/>
        <v>1.7023073424026421E-2</v>
      </c>
      <c r="R122" s="13"/>
      <c r="S122" s="13"/>
    </row>
    <row r="123" spans="1:19" x14ac:dyDescent="0.2">
      <c r="A123" s="54">
        <f t="shared" si="7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46843.483584411995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>U18+U19*C123+U20*D123+U21*E123+U22*F123+U23*G123+U24*H123+U25*I123+U26*J123</f>
        <v>138620899.08653146</v>
      </c>
      <c r="O123" s="53">
        <f t="shared" si="4"/>
        <v>-863095.91346853971</v>
      </c>
      <c r="P123" s="171">
        <f t="shared" si="5"/>
        <v>-6.1877774110824669E-3</v>
      </c>
      <c r="Q123" s="13">
        <f t="shared" si="6"/>
        <v>6.1877774110824669E-3</v>
      </c>
      <c r="R123" s="13"/>
      <c r="S123" s="13"/>
    </row>
    <row r="124" spans="1:19" x14ac:dyDescent="0.2">
      <c r="A124" s="54">
        <f t="shared" si="7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93686.967168823991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>U18+U19*C124+U20*D124+U21*E124+U22*F124+U23*G124+U24*H124+U25*I124+U26*J124</f>
        <v>133295277.53179988</v>
      </c>
      <c r="O124" s="53">
        <f t="shared" si="4"/>
        <v>4004770.5317998827</v>
      </c>
      <c r="P124" s="171">
        <f t="shared" si="5"/>
        <v>3.0974977395671306E-2</v>
      </c>
      <c r="Q124" s="13">
        <f t="shared" si="6"/>
        <v>3.0974977395671306E-2</v>
      </c>
      <c r="R124" s="13"/>
      <c r="S124" s="13"/>
    </row>
    <row r="125" spans="1:19" x14ac:dyDescent="0.2">
      <c r="A125" s="54">
        <f t="shared" si="7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140530.45075323599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>U18+U19*C125+U20*D125+U21*E125+U22*F125+U23*G125+U24*H125+U25*I125+U26*J125</f>
        <v>139012377.59689826</v>
      </c>
      <c r="O125" s="53">
        <f t="shared" si="4"/>
        <v>848310.59689825773</v>
      </c>
      <c r="P125" s="171">
        <f t="shared" si="5"/>
        <v>6.1398785901276174E-3</v>
      </c>
      <c r="Q125" s="13">
        <f t="shared" si="6"/>
        <v>6.1398785901276174E-3</v>
      </c>
      <c r="R125" s="13"/>
      <c r="S125" s="13"/>
    </row>
    <row r="126" spans="1:19" x14ac:dyDescent="0.2">
      <c r="A126" s="54">
        <f t="shared" si="7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187373.93433764798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>U18+U19*C126+U20*D126+U21*E126+U22*F126+U23*G126+U24*H126+U25*I126+U26*J126</f>
        <v>125802363.50787561</v>
      </c>
      <c r="O126" s="53">
        <f t="shared" si="4"/>
        <v>4802555.5078756064</v>
      </c>
      <c r="P126" s="171">
        <f t="shared" si="5"/>
        <v>3.9690604367534257E-2</v>
      </c>
      <c r="Q126" s="13">
        <f t="shared" si="6"/>
        <v>3.9690604367534257E-2</v>
      </c>
      <c r="R126" s="13"/>
      <c r="S126" s="13"/>
    </row>
    <row r="127" spans="1:19" x14ac:dyDescent="0.2">
      <c r="A127" s="54">
        <f t="shared" si="7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234217.41792205998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>U18+U19*C127+U20*D127+U21*E127+U22*F127+U23*G127+U24*H127+U25*I127+U26*J127</f>
        <v>134216642.82971683</v>
      </c>
      <c r="O127" s="53">
        <f t="shared" si="4"/>
        <v>4070918.8297168314</v>
      </c>
      <c r="P127" s="171">
        <f t="shared" si="5"/>
        <v>3.1279697131784613E-2</v>
      </c>
      <c r="Q127" s="13">
        <f t="shared" si="6"/>
        <v>3.1279697131784613E-2</v>
      </c>
      <c r="R127" s="13"/>
      <c r="S127" s="13"/>
    </row>
    <row r="128" spans="1:19" x14ac:dyDescent="0.2">
      <c r="A128" s="54">
        <f t="shared" si="7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281060.90150647197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>U18+U19*C128+U20*D128+U21*E128+U22*F128+U23*G128+U24*H128+U25*I128+U26*J128</f>
        <v>135374934.39844394</v>
      </c>
      <c r="O128" s="53">
        <f t="shared" si="4"/>
        <v>-1027873.6015560627</v>
      </c>
      <c r="P128" s="171">
        <f t="shared" si="5"/>
        <v>-7.5355750854928343E-3</v>
      </c>
      <c r="Q128" s="13">
        <f t="shared" si="6"/>
        <v>7.5355750854928343E-3</v>
      </c>
      <c r="R128" s="13"/>
      <c r="S128" s="13"/>
    </row>
    <row r="129" spans="1:19" x14ac:dyDescent="0.2">
      <c r="A129" s="54">
        <f t="shared" si="7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327904.38509088394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>U18+U19*C129+U20*D129+U21*E129+U22*F129+U23*G129+U24*H129+U25*I129+U26*J129</f>
        <v>150044874.56914228</v>
      </c>
      <c r="O129" s="53">
        <f t="shared" si="4"/>
        <v>5178279.569142282</v>
      </c>
      <c r="P129" s="171">
        <f t="shared" si="5"/>
        <v>3.5745159670124656E-2</v>
      </c>
      <c r="Q129" s="13">
        <f t="shared" si="6"/>
        <v>3.5745159670124656E-2</v>
      </c>
      <c r="R129" s="13"/>
      <c r="S129" s="13"/>
    </row>
    <row r="130" spans="1:19" x14ac:dyDescent="0.2">
      <c r="A130" s="54">
        <f t="shared" si="7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374747.86867529596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>U18+U19*C130+U20*D130+U21*E130+U22*F130+U23*G130+U24*H130+U25*I130+U26*J130</f>
        <v>140140235.14634493</v>
      </c>
      <c r="O130" s="53">
        <f t="shared" si="4"/>
        <v>-3095182.8536550701</v>
      </c>
      <c r="P130" s="171">
        <f t="shared" si="5"/>
        <v>-2.1609060781706029E-2</v>
      </c>
      <c r="Q130" s="13">
        <f t="shared" si="6"/>
        <v>2.1609060781706029E-2</v>
      </c>
      <c r="R130" s="13"/>
      <c r="S130" s="13"/>
    </row>
    <row r="131" spans="1:19" x14ac:dyDescent="0.2">
      <c r="A131" s="54">
        <f t="shared" si="7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421591.35225970799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>U18+U19*C131+U20*D131+U21*E131+U22*F131+U23*G131+U24*H131+U25*I131+U26*J131</f>
        <v>126943458.22138542</v>
      </c>
      <c r="O131" s="53">
        <f t="shared" ref="O131:O194" si="8">N131-B131</f>
        <v>2593033.2213854194</v>
      </c>
      <c r="P131" s="171">
        <f t="shared" ref="P131:P194" si="9">O131/B131</f>
        <v>2.0852628540557215E-2</v>
      </c>
      <c r="Q131" s="13">
        <f t="shared" si="6"/>
        <v>2.0852628540557215E-2</v>
      </c>
      <c r="R131" s="13"/>
      <c r="S131" s="13"/>
    </row>
    <row r="132" spans="1:19" x14ac:dyDescent="0.2">
      <c r="A132" s="54">
        <f t="shared" si="7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468434.83584412001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>U18+U19*C132+U20*D132+U21*E132+U22*F132+U23*G132+U24*H132+U25*I132+U26*J132</f>
        <v>134420133.66077718</v>
      </c>
      <c r="O132" s="53">
        <f t="shared" si="8"/>
        <v>4559834.6607771814</v>
      </c>
      <c r="P132" s="171">
        <f t="shared" si="9"/>
        <v>3.5113384890459717E-2</v>
      </c>
      <c r="Q132" s="13">
        <f t="shared" ref="Q132:Q195" si="10">ABS(P132)</f>
        <v>3.5113384890459717E-2</v>
      </c>
      <c r="R132" s="13"/>
      <c r="S132" s="13"/>
    </row>
    <row r="133" spans="1:19" x14ac:dyDescent="0.2">
      <c r="A133" s="54">
        <f t="shared" si="7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515278.31942853204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>U18+U19*C133+U20*D133+U21*E133+U22*F133+U23*G133+U24*H133+U25*I133+U26*J133</f>
        <v>135943163.73313823</v>
      </c>
      <c r="O133" s="53">
        <f t="shared" si="8"/>
        <v>4643737.7331382334</v>
      </c>
      <c r="P133" s="171">
        <f t="shared" si="9"/>
        <v>3.5367540244526534E-2</v>
      </c>
      <c r="Q133" s="13">
        <f t="shared" si="10"/>
        <v>3.5367540244526534E-2</v>
      </c>
      <c r="R133" s="13"/>
      <c r="S133" s="13"/>
    </row>
    <row r="134" spans="1:19" x14ac:dyDescent="0.2">
      <c r="A134" s="54">
        <f t="shared" si="7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562121.80301294406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>U18+U19*C134+U20*D134+U21*E134+U22*F134+U23*G134+U24*H134+U25*I134+U26*J134</f>
        <v>136737777.53319538</v>
      </c>
      <c r="O134" s="53">
        <f t="shared" si="8"/>
        <v>5476805.5331953764</v>
      </c>
      <c r="P134" s="171">
        <f t="shared" si="9"/>
        <v>4.172455414390331E-2</v>
      </c>
      <c r="Q134" s="13">
        <f t="shared" si="10"/>
        <v>4.172455414390331E-2</v>
      </c>
      <c r="R134" s="13"/>
      <c r="S134" s="13"/>
    </row>
    <row r="135" spans="1:19" x14ac:dyDescent="0.2">
      <c r="A135" s="54">
        <f t="shared" si="7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555265.67229796806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>U18+U19*C135+U20*D135+U21*E135+U22*F135+U23*G135+U24*H135+U25*I135+U26*J135</f>
        <v>143221367.98126155</v>
      </c>
      <c r="O135" s="53">
        <f t="shared" si="8"/>
        <v>1270370.9812615514</v>
      </c>
      <c r="P135" s="171">
        <f t="shared" si="9"/>
        <v>8.9493628654228573E-3</v>
      </c>
      <c r="Q135" s="13">
        <f t="shared" si="10"/>
        <v>8.9493628654228573E-3</v>
      </c>
      <c r="R135" s="13"/>
      <c r="S135" s="13"/>
    </row>
    <row r="136" spans="1:19" x14ac:dyDescent="0.2">
      <c r="A136" s="54">
        <f t="shared" ref="A136:A192" si="11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548409.54158299207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>U18+U19*C136+U20*D136+U21*E136+U22*F136+U23*G136+U24*H136+U25*I136+U26*J136</f>
        <v>136129116.89022574</v>
      </c>
      <c r="O136" s="53">
        <f t="shared" si="8"/>
        <v>2049782.8902257383</v>
      </c>
      <c r="P136" s="171">
        <f t="shared" si="9"/>
        <v>1.5287836156955689E-2</v>
      </c>
      <c r="Q136" s="13">
        <f t="shared" si="10"/>
        <v>1.5287836156955689E-2</v>
      </c>
      <c r="R136" s="13"/>
      <c r="S136" s="13"/>
    </row>
    <row r="137" spans="1:19" x14ac:dyDescent="0.2">
      <c r="A137" s="54">
        <f t="shared" si="11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541553.41086801607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>U18+U19*C137+U20*D137+U21*E137+U22*F137+U23*G137+U24*H137+U25*I137+U26*J137</f>
        <v>137349254.56732064</v>
      </c>
      <c r="O137" s="53">
        <f t="shared" si="8"/>
        <v>227103.56732064486</v>
      </c>
      <c r="P137" s="171">
        <f t="shared" si="9"/>
        <v>1.6562135706334191E-3</v>
      </c>
      <c r="Q137" s="13">
        <f t="shared" si="10"/>
        <v>1.6562135706334191E-3</v>
      </c>
      <c r="R137" s="13"/>
      <c r="S137" s="13"/>
    </row>
    <row r="138" spans="1:19" x14ac:dyDescent="0.2">
      <c r="A138" s="54">
        <f t="shared" si="11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534697.28015304008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>U18+U19*C138+U20*D138+U21*E138+U22*F138+U23*G138+U24*H138+U25*I138+U26*J138</f>
        <v>127619841.56839013</v>
      </c>
      <c r="O138" s="53">
        <f t="shared" si="8"/>
        <v>2862662.568390131</v>
      </c>
      <c r="P138" s="171">
        <f t="shared" si="9"/>
        <v>2.2945874468595757E-2</v>
      </c>
      <c r="Q138" s="13">
        <f t="shared" si="10"/>
        <v>2.2945874468595757E-2</v>
      </c>
      <c r="R138" s="13"/>
      <c r="S138" s="13"/>
    </row>
    <row r="139" spans="1:19" x14ac:dyDescent="0.2">
      <c r="A139" s="54">
        <f t="shared" si="11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527841.14943806408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>U18+U19*C139+U20*D139+U21*E139+U22*F139+U23*G139+U24*H139+U25*I139+U26*J139</f>
        <v>129503726.36892867</v>
      </c>
      <c r="O139" s="53">
        <f t="shared" si="8"/>
        <v>781328.36892867088</v>
      </c>
      <c r="P139" s="171">
        <f t="shared" si="9"/>
        <v>6.0698711418402168E-3</v>
      </c>
      <c r="Q139" s="13">
        <f t="shared" si="10"/>
        <v>6.0698711418402168E-3</v>
      </c>
      <c r="R139" s="13"/>
      <c r="S139" s="13"/>
    </row>
    <row r="140" spans="1:19" x14ac:dyDescent="0.2">
      <c r="A140" s="54">
        <f t="shared" si="11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520985.01872308808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>U18+U19*C140+U20*D140+U21*E140+U22*F140+U23*G140+U24*H140+U25*I140+U26*J140</f>
        <v>133796961.18128583</v>
      </c>
      <c r="O140" s="53">
        <f t="shared" si="8"/>
        <v>-5601035.8187141716</v>
      </c>
      <c r="P140" s="171">
        <f t="shared" si="9"/>
        <v>-4.0180174315662308E-2</v>
      </c>
      <c r="Q140" s="13">
        <f t="shared" si="10"/>
        <v>4.0180174315662308E-2</v>
      </c>
      <c r="R140" s="13"/>
      <c r="S140" s="13"/>
    </row>
    <row r="141" spans="1:19" x14ac:dyDescent="0.2">
      <c r="A141" s="54">
        <f t="shared" si="11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514128.88800811209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>U18+U19*C141+U20*D141+U21*E141+U22*F141+U23*G141+U24*H141+U25*I141+U26*J141</f>
        <v>137213617.29574424</v>
      </c>
      <c r="O141" s="53">
        <f t="shared" si="8"/>
        <v>2861630.2957442403</v>
      </c>
      <c r="P141" s="171">
        <f t="shared" si="9"/>
        <v>2.1299501106330793E-2</v>
      </c>
      <c r="Q141" s="13">
        <f t="shared" si="10"/>
        <v>2.1299501106330793E-2</v>
      </c>
      <c r="R141" s="13"/>
      <c r="S141" s="13"/>
    </row>
    <row r="142" spans="1:19" x14ac:dyDescent="0.2">
      <c r="A142" s="54">
        <f t="shared" si="11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507272.75729313609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>U18+U19*C142+U20*D142+U21*E142+U22*F142+U23*G142+U24*H142+U25*I142+U26*J142</f>
        <v>141348691.19178095</v>
      </c>
      <c r="O142" s="53">
        <f t="shared" si="8"/>
        <v>-4140602.8082190454</v>
      </c>
      <c r="P142" s="171">
        <f t="shared" si="9"/>
        <v>-2.8459845356174768E-2</v>
      </c>
      <c r="Q142" s="13">
        <f t="shared" si="10"/>
        <v>2.8459845356174768E-2</v>
      </c>
      <c r="R142" s="13"/>
      <c r="S142" s="13"/>
    </row>
    <row r="143" spans="1:19" x14ac:dyDescent="0.2">
      <c r="A143" s="54">
        <f t="shared" si="11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500416.6265781601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>U18+U19*C143+U20*D143+U21*E143+U22*F143+U23*G143+U24*H143+U25*I143+U26*J143</f>
        <v>127082255.90716261</v>
      </c>
      <c r="O143" s="53">
        <f t="shared" si="8"/>
        <v>-1045478.0928373933</v>
      </c>
      <c r="P143" s="171">
        <f t="shared" si="9"/>
        <v>-8.1596549021728058E-3</v>
      </c>
      <c r="Q143" s="13">
        <f t="shared" si="10"/>
        <v>8.1596549021728058E-3</v>
      </c>
      <c r="R143" s="13"/>
      <c r="S143" s="13"/>
    </row>
    <row r="144" spans="1:19" x14ac:dyDescent="0.2">
      <c r="A144" s="54">
        <f t="shared" si="11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493560.4958631841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>U18+U19*C144+U20*D144+U21*E144+U22*F144+U23*G144+U24*H144+U25*I144+U26*J144</f>
        <v>133115811.39292534</v>
      </c>
      <c r="O144" s="53">
        <f t="shared" si="8"/>
        <v>2920401.392925337</v>
      </c>
      <c r="P144" s="171">
        <f t="shared" si="9"/>
        <v>2.2430908992301164E-2</v>
      </c>
      <c r="Q144" s="13">
        <f t="shared" si="10"/>
        <v>2.2430908992301164E-2</v>
      </c>
      <c r="R144" s="13"/>
      <c r="S144" s="13"/>
    </row>
    <row r="145" spans="1:19" x14ac:dyDescent="0.2">
      <c r="A145" s="54">
        <f t="shared" si="11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486704.3651482081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>U18+U19*C145+U20*D145+U21*E145+U22*F145+U23*G145+U24*H145+U25*I145+U26*J145</f>
        <v>137470105.28215292</v>
      </c>
      <c r="O145" s="53">
        <f t="shared" si="8"/>
        <v>5184745.282152921</v>
      </c>
      <c r="P145" s="171">
        <f t="shared" si="9"/>
        <v>3.9193643817826258E-2</v>
      </c>
      <c r="Q145" s="13">
        <f t="shared" si="10"/>
        <v>3.9193643817826258E-2</v>
      </c>
      <c r="R145" s="13"/>
      <c r="S145" s="13"/>
    </row>
    <row r="146" spans="1:19" x14ac:dyDescent="0.2">
      <c r="A146" s="54">
        <f t="shared" si="11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479848.23443323211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>U18+U19*C146+U20*D146+U21*E146+U22*F146+U23*G146+U24*H146+U25*I146+U26*J146</f>
        <v>139558398.00682482</v>
      </c>
      <c r="O146" s="53">
        <f t="shared" si="8"/>
        <v>6844316.0068248212</v>
      </c>
      <c r="P146" s="171">
        <f t="shared" si="9"/>
        <v>5.15718897624204E-2</v>
      </c>
      <c r="Q146" s="13">
        <f t="shared" si="10"/>
        <v>5.15718897624204E-2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517594.55699541466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>U18+U19*C147+U20*D147+U21*E147+U22*F147+U23*G147+U24*H147+U25*I147+U26*J147</f>
        <v>142185826.63054371</v>
      </c>
      <c r="O147" s="53">
        <f t="shared" si="8"/>
        <v>2144405.6305437088</v>
      </c>
      <c r="P147" s="171">
        <f t="shared" si="9"/>
        <v>1.5312652608285864E-2</v>
      </c>
      <c r="Q147" s="13">
        <f t="shared" si="10"/>
        <v>1.5312652608285864E-2</v>
      </c>
      <c r="R147" s="13"/>
      <c r="S147" s="13"/>
    </row>
    <row r="148" spans="1:19" x14ac:dyDescent="0.2">
      <c r="A148" s="54">
        <f t="shared" si="11"/>
        <v>39507</v>
      </c>
      <c r="B148" s="10">
        <v>132651127</v>
      </c>
      <c r="C148" s="1">
        <v>651.20000000000005</v>
      </c>
      <c r="D148" s="1">
        <v>0</v>
      </c>
      <c r="E148" s="10">
        <v>28</v>
      </c>
      <c r="F148" s="10">
        <v>0</v>
      </c>
      <c r="G148" s="16">
        <v>320</v>
      </c>
      <c r="H148" s="16">
        <v>656.3</v>
      </c>
      <c r="I148" s="16">
        <f>'CDM Activity'!F41</f>
        <v>555340.87955759722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>U18+U19*C148+U20*D148+U21*E148+U22*F148+U23*G148+U24*H148+U25*I148+U26*J148</f>
        <v>132514925.65718243</v>
      </c>
      <c r="O148" s="53">
        <f t="shared" si="8"/>
        <v>-136201.34281757474</v>
      </c>
      <c r="P148" s="171">
        <f t="shared" si="9"/>
        <v>-1.0267635556354883E-3</v>
      </c>
      <c r="Q148" s="13">
        <f t="shared" si="10"/>
        <v>1.0267635556354883E-3</v>
      </c>
      <c r="R148" s="13"/>
      <c r="S148" s="13"/>
    </row>
    <row r="149" spans="1:19" x14ac:dyDescent="0.2">
      <c r="A149" s="54">
        <f t="shared" si="11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593087.20211977977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>U18+U19*C149+U20*D149+U21*E149+U22*F149+U23*G149+U24*H149+U25*I149+U26*J149</f>
        <v>132712780.80549705</v>
      </c>
      <c r="O149" s="53">
        <f t="shared" si="8"/>
        <v>-744593.19450294971</v>
      </c>
      <c r="P149" s="171">
        <f t="shared" si="9"/>
        <v>-5.5792585466498817E-3</v>
      </c>
      <c r="Q149" s="13">
        <f t="shared" si="10"/>
        <v>5.5792585466498817E-3</v>
      </c>
      <c r="R149" s="13"/>
      <c r="S149" s="13"/>
    </row>
    <row r="150" spans="1:19" x14ac:dyDescent="0.2">
      <c r="A150" s="54">
        <f t="shared" si="11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630833.52468196233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>U18+U19*C150+U20*D150+U21*E150+U22*F150+U23*G150+U24*H150+U25*I150+U26*J150</f>
        <v>127678861.16206744</v>
      </c>
      <c r="O150" s="53">
        <f t="shared" si="8"/>
        <v>5082655.1620674431</v>
      </c>
      <c r="P150" s="171">
        <f t="shared" si="9"/>
        <v>4.1458502900713283E-2</v>
      </c>
      <c r="Q150" s="13">
        <f t="shared" si="10"/>
        <v>4.1458502900713283E-2</v>
      </c>
      <c r="R150" s="13"/>
      <c r="S150" s="13"/>
    </row>
    <row r="151" spans="1:19" x14ac:dyDescent="0.2">
      <c r="A151" s="54">
        <f t="shared" si="11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668579.84724414488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>U18+U19*C151+U20*D151+U21*E151+U22*F151+U23*G151+U24*H151+U25*I151+U26*J151</f>
        <v>126603541.54426354</v>
      </c>
      <c r="O151" s="53">
        <f t="shared" si="8"/>
        <v>5483374.5442635417</v>
      </c>
      <c r="P151" s="171">
        <f t="shared" si="9"/>
        <v>4.5272184476624289E-2</v>
      </c>
      <c r="Q151" s="13">
        <f t="shared" si="10"/>
        <v>4.5272184476624289E-2</v>
      </c>
      <c r="R151" s="13"/>
      <c r="S151" s="13"/>
    </row>
    <row r="152" spans="1:19" x14ac:dyDescent="0.2">
      <c r="A152" s="54">
        <f t="shared" si="11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706326.16980632744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>U18+U19*C152+U20*D152+U21*E152+U22*F152+U23*G152+U24*H152+U25*I152+U26*J152</f>
        <v>133692274.84561907</v>
      </c>
      <c r="O152" s="53">
        <f t="shared" si="8"/>
        <v>3254159.8456190675</v>
      </c>
      <c r="P152" s="171">
        <f t="shared" si="9"/>
        <v>2.4947921438599963E-2</v>
      </c>
      <c r="Q152" s="13">
        <f t="shared" si="10"/>
        <v>2.4947921438599963E-2</v>
      </c>
      <c r="R152" s="13"/>
      <c r="S152" s="13"/>
    </row>
    <row r="153" spans="1:19" x14ac:dyDescent="0.2">
      <c r="A153" s="54">
        <f t="shared" si="11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744072.49236850999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>U18+U19*C153+U20*D153+U21*E153+U22*F153+U23*G153+U24*H153+U25*I153+U26*J153</f>
        <v>141795379.12543705</v>
      </c>
      <c r="O153" s="53">
        <f t="shared" si="8"/>
        <v>2101431.1254370511</v>
      </c>
      <c r="P153" s="171">
        <f t="shared" si="9"/>
        <v>1.5043107847714713E-2</v>
      </c>
      <c r="Q153" s="13">
        <f t="shared" si="10"/>
        <v>1.5043107847714713E-2</v>
      </c>
      <c r="R153" s="13"/>
      <c r="S153" s="13"/>
    </row>
    <row r="154" spans="1:19" x14ac:dyDescent="0.2">
      <c r="A154" s="54">
        <f t="shared" si="11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781818.81493069255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>U18+U19*C154+U20*D154+U21*E154+U22*F154+U23*G154+U24*H154+U25*I154+U26*J154</f>
        <v>130458269.09851816</v>
      </c>
      <c r="O154" s="53">
        <f t="shared" si="8"/>
        <v>-1484892.901481837</v>
      </c>
      <c r="P154" s="171">
        <f t="shared" si="9"/>
        <v>-1.1254034532549986E-2</v>
      </c>
      <c r="Q154" s="13">
        <f t="shared" si="10"/>
        <v>1.1254034532549986E-2</v>
      </c>
      <c r="R154" s="13"/>
      <c r="S154" s="13"/>
    </row>
    <row r="155" spans="1:19" x14ac:dyDescent="0.2">
      <c r="A155" s="54">
        <f t="shared" si="11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819565.1374928751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>U18+U19*C155+U20*D155+U21*E155+U22*F155+U23*G155+U24*H155+U25*I155+U26*J155</f>
        <v>127487370.99681418</v>
      </c>
      <c r="O155" s="53">
        <f t="shared" si="8"/>
        <v>1061545.9968141764</v>
      </c>
      <c r="P155" s="171">
        <f t="shared" si="9"/>
        <v>8.3965914148804357E-3</v>
      </c>
      <c r="Q155" s="13">
        <f t="shared" si="10"/>
        <v>8.3965914148804357E-3</v>
      </c>
      <c r="R155" s="13"/>
      <c r="S155" s="13"/>
    </row>
    <row r="156" spans="1:19" x14ac:dyDescent="0.2">
      <c r="A156" s="54">
        <f t="shared" si="11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857311.46005505766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>U18+U19*C156+U20*D156+U21*E156+U22*F156+U23*G156+U24*H156+U25*I156+U26*J156</f>
        <v>133889879.43461066</v>
      </c>
      <c r="O156" s="53">
        <f t="shared" si="8"/>
        <v>8261336.4346106648</v>
      </c>
      <c r="P156" s="171">
        <f t="shared" si="9"/>
        <v>6.5760027437480231E-2</v>
      </c>
      <c r="Q156" s="13">
        <f t="shared" si="10"/>
        <v>6.5760027437480231E-2</v>
      </c>
      <c r="R156" s="13"/>
      <c r="S156" s="13"/>
    </row>
    <row r="157" spans="1:19" x14ac:dyDescent="0.2">
      <c r="A157" s="54">
        <f t="shared" si="11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895057.78261724021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>U18+U19*C157+U20*D157+U21*E157+U22*F157+U23*G157+U24*H157+U25*I157+U26*J157</f>
        <v>131699017.11444095</v>
      </c>
      <c r="O157" s="53">
        <f t="shared" si="8"/>
        <v>6660356.1144409478</v>
      </c>
      <c r="P157" s="171">
        <f t="shared" si="9"/>
        <v>5.3266374265163861E-2</v>
      </c>
      <c r="Q157" s="13">
        <f t="shared" si="10"/>
        <v>5.3266374265163861E-2</v>
      </c>
      <c r="R157" s="13"/>
      <c r="S157" s="13"/>
    </row>
    <row r="158" spans="1:19" x14ac:dyDescent="0.2">
      <c r="A158" s="54">
        <f t="shared" si="11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932804.10517942277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>U18+U19*C158+U20*D158+U21*E158+U22*F158+U23*G158+U24*H158+U25*I158+U26*J158</f>
        <v>141391074.21273252</v>
      </c>
      <c r="O158" s="53">
        <f t="shared" si="8"/>
        <v>12902394.212732524</v>
      </c>
      <c r="P158" s="171">
        <f t="shared" si="9"/>
        <v>0.1004165831008033</v>
      </c>
      <c r="Q158" s="13">
        <f t="shared" si="10"/>
        <v>0.1004165831008033</v>
      </c>
      <c r="R158" s="13"/>
      <c r="S158" s="13"/>
    </row>
    <row r="159" spans="1:19" x14ac:dyDescent="0.2">
      <c r="A159" s="54">
        <f t="shared" si="11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976388.98753907788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>U18+U19*C159+U20*D159+U21*E159+U22*F159+U23*G159+U24*H159+U25*I159+U26*J159</f>
        <v>136473393.80788746</v>
      </c>
      <c r="O159" s="53">
        <f t="shared" si="8"/>
        <v>3588394.8078874648</v>
      </c>
      <c r="P159" s="171">
        <f t="shared" si="9"/>
        <v>2.7003761409423382E-2</v>
      </c>
      <c r="Q159" s="13">
        <f t="shared" si="10"/>
        <v>2.7003761409423382E-2</v>
      </c>
    </row>
    <row r="160" spans="1:19" x14ac:dyDescent="0.2">
      <c r="A160" s="54">
        <f t="shared" si="11"/>
        <v>39872</v>
      </c>
      <c r="B160" s="161">
        <v>117645114</v>
      </c>
      <c r="C160" s="23">
        <v>649.6</v>
      </c>
      <c r="D160" s="23">
        <v>0</v>
      </c>
      <c r="E160" s="10">
        <v>29</v>
      </c>
      <c r="F160" s="10">
        <v>0</v>
      </c>
      <c r="G160" s="16">
        <v>304</v>
      </c>
      <c r="H160" s="16">
        <v>649.29999999999995</v>
      </c>
      <c r="I160" s="16">
        <f>'CDM Activity'!F53</f>
        <v>1019973.869898733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>U18+U19*C160+U20*D160+U21*E160+U22*F160+U23*G160+U24*H160+U25*I160+U26*J160</f>
        <v>122150956.4556179</v>
      </c>
      <c r="O160" s="53">
        <f t="shared" si="8"/>
        <v>4505842.4556179047</v>
      </c>
      <c r="P160" s="171">
        <f t="shared" si="9"/>
        <v>3.8300294014912549E-2</v>
      </c>
      <c r="Q160" s="13">
        <f t="shared" si="10"/>
        <v>3.8300294014912549E-2</v>
      </c>
    </row>
    <row r="161" spans="1:17" x14ac:dyDescent="0.2">
      <c r="A161" s="54">
        <f t="shared" si="11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1063558.7522583881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>U18+U19*C161+U20*D161+U21*E161+U22*F161+U23*G161+U24*H161+U25*I161+U26*J161</f>
        <v>124290023.16008112</v>
      </c>
      <c r="O161" s="53">
        <f t="shared" si="8"/>
        <v>-629240.83991888165</v>
      </c>
      <c r="P161" s="171">
        <f t="shared" si="9"/>
        <v>-5.0371801735790058E-3</v>
      </c>
      <c r="Q161" s="13">
        <f t="shared" si="10"/>
        <v>5.0371801735790058E-3</v>
      </c>
    </row>
    <row r="162" spans="1:17" x14ac:dyDescent="0.2">
      <c r="A162" s="54">
        <f t="shared" si="11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1107143.6346180432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>U18+U19*C162+U20*D162+U21*E162+U22*F162+U23*G162+U24*H162+U25*I162+U26*J162</f>
        <v>114246564.91026372</v>
      </c>
      <c r="O162" s="53">
        <f t="shared" si="8"/>
        <v>832910.91026371717</v>
      </c>
      <c r="P162" s="171">
        <f t="shared" si="9"/>
        <v>7.344009128422202E-3</v>
      </c>
      <c r="Q162" s="13">
        <f t="shared" si="10"/>
        <v>7.344009128422202E-3</v>
      </c>
    </row>
    <row r="163" spans="1:17" x14ac:dyDescent="0.2">
      <c r="A163" s="54">
        <f t="shared" si="11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1150728.5169776983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>U18+U19*C163+U20*D163+U21*E163+U22*F163+U23*G163+U24*H163+U25*I163+U26*J163</f>
        <v>112065002.80018741</v>
      </c>
      <c r="O163" s="53">
        <f t="shared" si="8"/>
        <v>1383638.8001874089</v>
      </c>
      <c r="P163" s="171">
        <f t="shared" si="9"/>
        <v>1.2501100006207088E-2</v>
      </c>
      <c r="Q163" s="13">
        <f t="shared" si="10"/>
        <v>1.2501100006207088E-2</v>
      </c>
    </row>
    <row r="164" spans="1:17" x14ac:dyDescent="0.2">
      <c r="A164" s="54">
        <f t="shared" si="11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1194313.3993373534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>U18+U19*C164+U20*D164+U21*E164+U22*F164+U23*G164+U24*H164+U25*I164+U26*J164</f>
        <v>119307916.5550347</v>
      </c>
      <c r="O164" s="53">
        <f t="shared" si="8"/>
        <v>1182191.5550346971</v>
      </c>
      <c r="P164" s="171">
        <f t="shared" si="9"/>
        <v>1.0007909412066652E-2</v>
      </c>
      <c r="Q164" s="13">
        <f t="shared" si="10"/>
        <v>1.0007909412066652E-2</v>
      </c>
    </row>
    <row r="165" spans="1:17" x14ac:dyDescent="0.2">
      <c r="A165" s="54">
        <f t="shared" si="11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1237898.2816970085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>U18+U19*C165+U20*D165+U21*E165+U22*F165+U23*G165+U24*H165+U25*I165+U26*J165</f>
        <v>118898257.7601207</v>
      </c>
      <c r="O165" s="53">
        <f t="shared" si="8"/>
        <v>972470.76012070477</v>
      </c>
      <c r="P165" s="171">
        <f t="shared" si="9"/>
        <v>8.2464640250457244E-3</v>
      </c>
      <c r="Q165" s="13">
        <f t="shared" si="10"/>
        <v>8.2464640250457244E-3</v>
      </c>
    </row>
    <row r="166" spans="1:17" x14ac:dyDescent="0.2">
      <c r="A166" s="54">
        <f t="shared" si="11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1281483.1640566636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>U18+U19*C166+U20*D166+U21*E166+U22*F166+U23*G166+U24*H166+U25*I166+U26*J166</f>
        <v>124589210.93746948</v>
      </c>
      <c r="O166" s="53">
        <f t="shared" si="8"/>
        <v>-5167446.0625305176</v>
      </c>
      <c r="P166" s="171">
        <f t="shared" si="9"/>
        <v>-3.9824130661215457E-2</v>
      </c>
      <c r="Q166" s="13">
        <f t="shared" si="10"/>
        <v>3.9824130661215457E-2</v>
      </c>
    </row>
    <row r="167" spans="1:17" x14ac:dyDescent="0.2">
      <c r="A167" s="54">
        <f t="shared" si="11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1325068.0464163187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>U18+U19*C167+U20*D167+U21*E167+U22*F167+U23*G167+U24*H167+U25*I167+U26*J167</f>
        <v>114166967.72136477</v>
      </c>
      <c r="O167" s="53">
        <f t="shared" si="8"/>
        <v>-3553404.2786352336</v>
      </c>
      <c r="P167" s="171">
        <f t="shared" si="9"/>
        <v>-3.0185126144820829E-2</v>
      </c>
      <c r="Q167" s="13">
        <f t="shared" si="10"/>
        <v>3.0185126144820829E-2</v>
      </c>
    </row>
    <row r="168" spans="1:17" x14ac:dyDescent="0.2">
      <c r="A168" s="54">
        <f t="shared" si="11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1368652.9287759739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>U18+U19*C168+U20*D168+U21*E168+U22*F168+U23*G168+U24*H168+U25*I168+U26*J168</f>
        <v>119957164.58606376</v>
      </c>
      <c r="O168" s="53">
        <f t="shared" si="8"/>
        <v>291360.58606375754</v>
      </c>
      <c r="P168" s="171">
        <f t="shared" si="9"/>
        <v>2.4347856808262245E-3</v>
      </c>
      <c r="Q168" s="13">
        <f t="shared" si="10"/>
        <v>2.4347856808262245E-3</v>
      </c>
    </row>
    <row r="169" spans="1:17" x14ac:dyDescent="0.2">
      <c r="A169" s="54">
        <f t="shared" si="11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1412237.811135629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>U18+U19*C169+U20*D169+U21*E169+U22*F169+U23*G169+U24*H169+U25*I169+U26*J169</f>
        <v>117677824.45996216</v>
      </c>
      <c r="O169" s="53">
        <f t="shared" si="8"/>
        <v>-1361238.5400378406</v>
      </c>
      <c r="P169" s="171">
        <f t="shared" si="9"/>
        <v>-1.1435225595129564E-2</v>
      </c>
      <c r="Q169" s="13">
        <f t="shared" si="10"/>
        <v>1.1435225595129564E-2</v>
      </c>
    </row>
    <row r="170" spans="1:17" x14ac:dyDescent="0.2">
      <c r="A170" s="54">
        <f t="shared" si="11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1455822.6934952841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>U18+U19*C170+U20*D170+U21*E170+U22*F170+U23*G170+U24*H170+U25*I170+U26*J170</f>
        <v>129237629.82687467</v>
      </c>
      <c r="O170" s="53">
        <f t="shared" si="8"/>
        <v>660586.82687467337</v>
      </c>
      <c r="P170" s="171">
        <f t="shared" si="9"/>
        <v>5.1376731915873455E-3</v>
      </c>
      <c r="Q170" s="13">
        <f t="shared" si="10"/>
        <v>5.1376731915873455E-3</v>
      </c>
    </row>
    <row r="171" spans="1:17" x14ac:dyDescent="0.2">
      <c r="A171" s="54">
        <f t="shared" si="11"/>
        <v>40209</v>
      </c>
      <c r="B171" s="161">
        <v>134104887</v>
      </c>
      <c r="C171" s="23">
        <f>'[7]eng-daily-01012010-12312010'!M56</f>
        <v>727.0999999999998</v>
      </c>
      <c r="D171" s="23">
        <f>'[7]eng-daily-01012010-12312010'!$O$56</f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1511335.2679733415</v>
      </c>
      <c r="J171" s="16">
        <v>57.703703703703695</v>
      </c>
      <c r="K171" s="162">
        <v>134.70069483711632</v>
      </c>
      <c r="L171" s="111">
        <f t="shared" ref="L171:L175" si="12">L170+($L$176-$L$164)/12</f>
        <v>49819</v>
      </c>
      <c r="M171" s="10">
        <v>135659</v>
      </c>
      <c r="N171" s="10">
        <f t="shared" ref="N171:N195" si="13">$U$18+$U$19*C171+$U$20*D171+$U$21*E171+$U$22*F171+$U$23*G171+$U$24*H171+$U$25*I171+$U$26*J171</f>
        <v>127320596.93976611</v>
      </c>
      <c r="O171" s="53">
        <f t="shared" si="8"/>
        <v>-6784290.060233891</v>
      </c>
      <c r="P171" s="171">
        <f t="shared" si="9"/>
        <v>-5.0589431988663405E-2</v>
      </c>
      <c r="Q171" s="13">
        <f t="shared" si="10"/>
        <v>5.0589431988663405E-2</v>
      </c>
    </row>
    <row r="172" spans="1:17" x14ac:dyDescent="0.2">
      <c r="A172" s="54">
        <f t="shared" si="11"/>
        <v>40237</v>
      </c>
      <c r="B172" s="27">
        <v>119717521</v>
      </c>
      <c r="C172" s="23">
        <f>'[7]eng-daily-01012010-12312010'!$M$85</f>
        <v>644.6999999999997</v>
      </c>
      <c r="D172" s="23">
        <f>'[7]eng-daily-01012010-12312010'!$O$85</f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1566847.842451399</v>
      </c>
      <c r="J172" s="16">
        <v>57.373202614379011</v>
      </c>
      <c r="K172" s="162">
        <v>135.03290308910141</v>
      </c>
      <c r="L172" s="111">
        <f t="shared" si="12"/>
        <v>49907.5</v>
      </c>
      <c r="M172" s="10">
        <v>135742</v>
      </c>
      <c r="N172" s="10">
        <f t="shared" si="13"/>
        <v>118325241.98924138</v>
      </c>
      <c r="O172" s="53">
        <f t="shared" si="8"/>
        <v>-1392279.0107586235</v>
      </c>
      <c r="P172" s="171">
        <f t="shared" si="9"/>
        <v>-1.1629701309623873E-2</v>
      </c>
      <c r="Q172" s="13">
        <f t="shared" si="10"/>
        <v>1.1629701309623873E-2</v>
      </c>
    </row>
    <row r="173" spans="1:17" x14ac:dyDescent="0.2">
      <c r="A173" s="54">
        <f t="shared" si="11"/>
        <v>40268</v>
      </c>
      <c r="B173" s="27">
        <v>125455107</v>
      </c>
      <c r="C173" s="23">
        <f>'[7]eng-daily-01012010-12312010'!$M$116</f>
        <v>470.90000000000003</v>
      </c>
      <c r="D173" s="23">
        <f>'[7]eng-daily-01012010-12312010'!$O$116</f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1622360.4169294564</v>
      </c>
      <c r="J173" s="16">
        <v>57.123093681917226</v>
      </c>
      <c r="K173" s="162">
        <v>135.36593065625647</v>
      </c>
      <c r="L173" s="111">
        <f t="shared" si="12"/>
        <v>49996</v>
      </c>
      <c r="M173" s="10">
        <v>135825</v>
      </c>
      <c r="N173" s="10">
        <f t="shared" si="13"/>
        <v>123643821.99426512</v>
      </c>
      <c r="O173" s="53">
        <f t="shared" si="8"/>
        <v>-1811285.0057348758</v>
      </c>
      <c r="P173" s="171">
        <f t="shared" si="9"/>
        <v>-1.4437714406754886E-2</v>
      </c>
      <c r="Q173" s="13">
        <f t="shared" si="10"/>
        <v>1.4437714406754886E-2</v>
      </c>
    </row>
    <row r="174" spans="1:17" x14ac:dyDescent="0.2">
      <c r="A174" s="54">
        <f t="shared" si="11"/>
        <v>40298</v>
      </c>
      <c r="B174" s="27">
        <v>112822227</v>
      </c>
      <c r="C174" s="23">
        <f>'[7]eng-daily-01012010-12312010'!$M$146+'[8]eng-daily-01012010-12312010 par'!$M$146</f>
        <v>255.70000000000002</v>
      </c>
      <c r="D174" s="23">
        <f>'[7]eng-daily-01012010-12312010'!$O$146+'[8]eng-daily-01012010-12312010 par'!$O$146</f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1677872.9914075139</v>
      </c>
      <c r="J174" s="16">
        <v>57.507189542483616</v>
      </c>
      <c r="K174" s="162">
        <v>135.69977955923375</v>
      </c>
      <c r="L174" s="111">
        <f t="shared" si="12"/>
        <v>50084.5</v>
      </c>
      <c r="M174" s="10">
        <v>135908</v>
      </c>
      <c r="N174" s="10">
        <f t="shared" si="13"/>
        <v>112961196.86865325</v>
      </c>
      <c r="O174" s="53">
        <f t="shared" si="8"/>
        <v>138969.86865325272</v>
      </c>
      <c r="P174" s="171">
        <f t="shared" si="9"/>
        <v>1.2317596660563412E-3</v>
      </c>
      <c r="Q174" s="13">
        <f t="shared" si="10"/>
        <v>1.2317596660563412E-3</v>
      </c>
    </row>
    <row r="175" spans="1:17" x14ac:dyDescent="0.2">
      <c r="A175" s="54">
        <f t="shared" si="11"/>
        <v>40329</v>
      </c>
      <c r="B175" s="27">
        <v>122392253</v>
      </c>
      <c r="C175" s="23">
        <f>'[8]eng-daily-01012010-12312010 par'!$M$177</f>
        <v>144.69999999999999</v>
      </c>
      <c r="D175" s="23">
        <f>'[8]eng-daily-01012010-12312010 par'!$O$177</f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1733385.5658855713</v>
      </c>
      <c r="J175" s="16">
        <v>58.364705882352951</v>
      </c>
      <c r="K175" s="162">
        <v>136.03445182366895</v>
      </c>
      <c r="L175" s="111">
        <f t="shared" si="12"/>
        <v>50173</v>
      </c>
      <c r="M175" s="10">
        <v>135991</v>
      </c>
      <c r="N175" s="10">
        <f t="shared" si="13"/>
        <v>117735741.80052681</v>
      </c>
      <c r="O175" s="53">
        <f t="shared" si="8"/>
        <v>-4656511.1994731873</v>
      </c>
      <c r="P175" s="171">
        <f t="shared" si="9"/>
        <v>-3.8045800165744048E-2</v>
      </c>
      <c r="Q175" s="13">
        <f t="shared" si="10"/>
        <v>3.8045800165744048E-2</v>
      </c>
    </row>
    <row r="176" spans="1:17" x14ac:dyDescent="0.2">
      <c r="A176" s="54">
        <f t="shared" si="11"/>
        <v>40359</v>
      </c>
      <c r="B176" s="27">
        <v>127582818</v>
      </c>
      <c r="C176" s="23">
        <f>'[8]eng-daily-01012010-12312010 par'!$M$207</f>
        <v>37.699999999999996</v>
      </c>
      <c r="D176" s="23">
        <f>'[8]eng-daily-01012010-12312010 par'!$O$207</f>
        <v>26.800000000000004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1788898.1403636287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3"/>
        <v>122431817.11328284</v>
      </c>
      <c r="O176" s="53">
        <f t="shared" si="8"/>
        <v>-5151000.8867171556</v>
      </c>
      <c r="P176" s="171">
        <f t="shared" si="9"/>
        <v>-4.0373782045770107E-2</v>
      </c>
      <c r="Q176" s="13">
        <f t="shared" si="10"/>
        <v>4.0373782045770107E-2</v>
      </c>
    </row>
    <row r="177" spans="1:17" x14ac:dyDescent="0.2">
      <c r="A177" s="54">
        <f t="shared" si="11"/>
        <v>40390</v>
      </c>
      <c r="B177" s="27">
        <v>140727870</v>
      </c>
      <c r="C177" s="23">
        <f>'[8]eng-daily-01012010-12312010 par'!$M$238</f>
        <v>6.7</v>
      </c>
      <c r="D177" s="23">
        <f>'[8]eng-daily-01012010-12312010 par'!$O$238</f>
        <v>100.59999999999998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1844410.7148416862</v>
      </c>
      <c r="J177" s="16">
        <v>60.749673202614304</v>
      </c>
      <c r="K177" s="162">
        <v>136.70627456444714</v>
      </c>
      <c r="L177" s="111">
        <f t="shared" ref="L177:L187" si="14">L176+($L$188-$L$176)/12</f>
        <v>50336.75</v>
      </c>
      <c r="M177" s="10">
        <v>136157</v>
      </c>
      <c r="N177" s="10">
        <f t="shared" si="13"/>
        <v>137919395.03442618</v>
      </c>
      <c r="O177" s="53">
        <f t="shared" si="8"/>
        <v>-2808474.9655738175</v>
      </c>
      <c r="P177" s="171">
        <f t="shared" si="9"/>
        <v>-1.9956778750178039E-2</v>
      </c>
      <c r="Q177" s="13">
        <f t="shared" si="10"/>
        <v>1.9956778750178039E-2</v>
      </c>
    </row>
    <row r="178" spans="1:17" x14ac:dyDescent="0.2">
      <c r="A178" s="54">
        <f t="shared" si="11"/>
        <v>40421</v>
      </c>
      <c r="B178" s="27">
        <v>139365541</v>
      </c>
      <c r="C178" s="23">
        <f>'[8]eng-daily-01012010-12312010 par'!$M$269</f>
        <v>9.6999999999999993</v>
      </c>
      <c r="D178" s="23">
        <f>'[8]eng-daily-01012010-12312010 par'!$O$269</f>
        <v>79.200000000000017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1899923.2893197436</v>
      </c>
      <c r="J178" s="16">
        <v>61.017647058823513</v>
      </c>
      <c r="K178" s="162">
        <v>137.04342911708969</v>
      </c>
      <c r="L178" s="111">
        <f t="shared" si="14"/>
        <v>50412</v>
      </c>
      <c r="M178" s="10">
        <v>136240</v>
      </c>
      <c r="N178" s="10">
        <f t="shared" si="13"/>
        <v>134137321.43651499</v>
      </c>
      <c r="O178" s="53">
        <f t="shared" si="8"/>
        <v>-5228219.5634850115</v>
      </c>
      <c r="P178" s="171">
        <f t="shared" si="9"/>
        <v>-3.751443524683775E-2</v>
      </c>
      <c r="Q178" s="13">
        <f t="shared" si="10"/>
        <v>3.751443524683775E-2</v>
      </c>
    </row>
    <row r="179" spans="1:17" x14ac:dyDescent="0.2">
      <c r="A179" s="54">
        <f t="shared" si="11"/>
        <v>40451</v>
      </c>
      <c r="B179" s="27">
        <v>119162847</v>
      </c>
      <c r="C179" s="23">
        <f>'[8]eng-daily-01012010-12312010 par'!$M$299</f>
        <v>122.70000000000002</v>
      </c>
      <c r="D179" s="23">
        <f>'[8]eng-daily-01012010-12312010 par'!$O$299</f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1955435.8637978011</v>
      </c>
      <c r="J179" s="16">
        <v>60.481699346405208</v>
      </c>
      <c r="K179" s="162">
        <v>137.381415183814</v>
      </c>
      <c r="L179" s="111">
        <f t="shared" si="14"/>
        <v>50487.25</v>
      </c>
      <c r="M179" s="10">
        <v>136323</v>
      </c>
      <c r="N179" s="10">
        <f t="shared" si="13"/>
        <v>120094812.91294044</v>
      </c>
      <c r="O179" s="53">
        <f t="shared" si="8"/>
        <v>931965.91294044256</v>
      </c>
      <c r="P179" s="171">
        <f t="shared" si="9"/>
        <v>7.820943661579708E-3</v>
      </c>
      <c r="Q179" s="13">
        <f t="shared" si="10"/>
        <v>7.820943661579708E-3</v>
      </c>
    </row>
    <row r="180" spans="1:17" x14ac:dyDescent="0.2">
      <c r="A180" s="54">
        <f t="shared" si="11"/>
        <v>40482</v>
      </c>
      <c r="B180" s="27">
        <v>117558713</v>
      </c>
      <c r="C180" s="23">
        <f>'[8]eng-daily-01012010-12312010 par'!$M$330</f>
        <v>279.59999999999997</v>
      </c>
      <c r="D180" s="23">
        <f>'[8]eng-daily-01012010-12312010 par'!$O$330</f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2010948.4382758585</v>
      </c>
      <c r="J180" s="16">
        <v>59.865359477124116</v>
      </c>
      <c r="K180" s="162">
        <v>137.72023481535814</v>
      </c>
      <c r="L180" s="111">
        <f t="shared" si="14"/>
        <v>50562.5</v>
      </c>
      <c r="M180" s="10">
        <v>136406</v>
      </c>
      <c r="N180" s="10">
        <f t="shared" si="13"/>
        <v>118513995.20828699</v>
      </c>
      <c r="O180" s="53">
        <f t="shared" si="8"/>
        <v>955282.20828698575</v>
      </c>
      <c r="P180" s="171">
        <f t="shared" si="9"/>
        <v>8.1260009054963511E-3</v>
      </c>
      <c r="Q180" s="13">
        <f t="shared" si="10"/>
        <v>8.1260009054963511E-3</v>
      </c>
    </row>
    <row r="181" spans="1:17" x14ac:dyDescent="0.2">
      <c r="A181" s="54">
        <f t="shared" si="11"/>
        <v>40512</v>
      </c>
      <c r="B181" s="27">
        <v>122844772</v>
      </c>
      <c r="C181" s="23">
        <f>'[8]eng-daily-01012010-12312010 par'!$M$360</f>
        <v>337.9</v>
      </c>
      <c r="D181" s="23">
        <f>'[8]eng-daily-01012010-12312010 par'!$O$360</f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2066461.012753916</v>
      </c>
      <c r="J181" s="16">
        <v>59.677777777777806</v>
      </c>
      <c r="K181" s="162">
        <v>138.05989006751781</v>
      </c>
      <c r="L181" s="111">
        <f t="shared" si="14"/>
        <v>50637.75</v>
      </c>
      <c r="M181" s="10">
        <v>136489</v>
      </c>
      <c r="N181" s="10">
        <f t="shared" si="13"/>
        <v>119289519.93327761</v>
      </c>
      <c r="O181" s="53">
        <f t="shared" si="8"/>
        <v>-3555252.066722393</v>
      </c>
      <c r="P181" s="171">
        <f t="shared" si="9"/>
        <v>-2.8941012375540028E-2</v>
      </c>
      <c r="Q181" s="13">
        <f t="shared" si="10"/>
        <v>2.8941012375540028E-2</v>
      </c>
    </row>
    <row r="182" spans="1:17" x14ac:dyDescent="0.2">
      <c r="A182" s="54">
        <f t="shared" si="11"/>
        <v>40543</v>
      </c>
      <c r="B182" s="27">
        <v>131431074</v>
      </c>
      <c r="C182" s="23">
        <f>'[8]eng-daily-01012010-12312010 par'!$M$391</f>
        <v>719.39999999999986</v>
      </c>
      <c r="D182" s="23">
        <f>'[8]eng-daily-01012010-12312010 par'!$O$391</f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2121973.5872319737</v>
      </c>
      <c r="J182" s="16">
        <v>59.570588235294053</v>
      </c>
      <c r="K182" s="162">
        <v>138.40038300115881</v>
      </c>
      <c r="L182" s="111">
        <f t="shared" si="14"/>
        <v>50713</v>
      </c>
      <c r="M182" s="10">
        <v>136572</v>
      </c>
      <c r="N182" s="10">
        <f t="shared" si="13"/>
        <v>133394084.18969141</v>
      </c>
      <c r="O182" s="53">
        <f t="shared" si="8"/>
        <v>1963010.1896914095</v>
      </c>
      <c r="P182" s="171">
        <f t="shared" si="9"/>
        <v>1.4935662700978989E-2</v>
      </c>
      <c r="Q182" s="13">
        <f t="shared" si="10"/>
        <v>1.4935662700978989E-2</v>
      </c>
    </row>
    <row r="183" spans="1:17" x14ac:dyDescent="0.2">
      <c r="A183" s="54">
        <f t="shared" si="11"/>
        <v>40574</v>
      </c>
      <c r="B183" s="27">
        <f>135907935+(2912181.71/12)</f>
        <v>136150616.80916667</v>
      </c>
      <c r="C183" s="23">
        <f>'[9]eng-daily-01012011-12312011'!$M$56</f>
        <v>770.00000000000011</v>
      </c>
      <c r="D183" s="23">
        <f>'[9]eng-daily-01012011-12312011'!$O$56</f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2214484.6357381274</v>
      </c>
      <c r="J183" s="16">
        <v>51.509482758620607</v>
      </c>
      <c r="K183" s="162">
        <v>138.640283295465</v>
      </c>
      <c r="L183" s="111">
        <f t="shared" si="14"/>
        <v>50788.25</v>
      </c>
      <c r="M183" s="111">
        <f>M182+M182-M181</f>
        <v>136655</v>
      </c>
      <c r="N183" s="10">
        <f t="shared" si="13"/>
        <v>132196513.64906685</v>
      </c>
      <c r="O183" s="53">
        <f t="shared" si="8"/>
        <v>-3954103.1600998193</v>
      </c>
      <c r="P183" s="171">
        <f t="shared" si="9"/>
        <v>-2.9042124470446025E-2</v>
      </c>
      <c r="Q183" s="13">
        <f t="shared" si="10"/>
        <v>2.9042124470446025E-2</v>
      </c>
    </row>
    <row r="184" spans="1:17" x14ac:dyDescent="0.2">
      <c r="A184" s="54">
        <f t="shared" si="11"/>
        <v>40602</v>
      </c>
      <c r="B184" s="27">
        <f>122520649+(2912181.71/12)</f>
        <v>122763330.80916667</v>
      </c>
      <c r="C184" s="23">
        <f>'[9]eng-daily-01012011-12312011'!$M$85</f>
        <v>640.80000000000007</v>
      </c>
      <c r="D184" s="23">
        <f>'[9]eng-daily-01012011-12312011'!$O$85</f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2306995.6842442811</v>
      </c>
      <c r="J184" s="16">
        <v>51.680172413793116</v>
      </c>
      <c r="K184" s="162">
        <v>138.88059942786325</v>
      </c>
      <c r="L184" s="111">
        <f t="shared" si="14"/>
        <v>50863.5</v>
      </c>
      <c r="M184" s="111">
        <f t="shared" ref="M184:M206" si="15">M183+M183-M182</f>
        <v>136738</v>
      </c>
      <c r="N184" s="10">
        <f t="shared" si="13"/>
        <v>121463986.79137717</v>
      </c>
      <c r="O184" s="53">
        <f t="shared" si="8"/>
        <v>-1299344.017789498</v>
      </c>
      <c r="P184" s="171">
        <f t="shared" si="9"/>
        <v>-1.0584137862871318E-2</v>
      </c>
      <c r="Q184" s="13">
        <f t="shared" si="10"/>
        <v>1.0584137862871318E-2</v>
      </c>
    </row>
    <row r="185" spans="1:17" x14ac:dyDescent="0.2">
      <c r="A185" s="54">
        <f t="shared" si="11"/>
        <v>40633</v>
      </c>
      <c r="B185" s="27">
        <f>131001103+(2912181.71/12)</f>
        <v>131243784.80916667</v>
      </c>
      <c r="C185" s="23">
        <f>'[9]eng-daily-01012011-12312011'!$M$116</f>
        <v>605.29999999999995</v>
      </c>
      <c r="D185" s="23">
        <f>'[9]eng-daily-01012011-12312011'!$O$116</f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2399506.7327504349</v>
      </c>
      <c r="J185" s="16">
        <v>52.075862068965534</v>
      </c>
      <c r="K185" s="162">
        <v>139.12133211915852</v>
      </c>
      <c r="L185" s="111">
        <f t="shared" si="14"/>
        <v>50938.75</v>
      </c>
      <c r="M185" s="111">
        <f t="shared" si="15"/>
        <v>136821</v>
      </c>
      <c r="N185" s="10">
        <f t="shared" si="13"/>
        <v>131143247.58412884</v>
      </c>
      <c r="O185" s="53">
        <f t="shared" si="8"/>
        <v>-100537.22503782809</v>
      </c>
      <c r="P185" s="171">
        <f t="shared" si="9"/>
        <v>-7.660341797062081E-4</v>
      </c>
      <c r="Q185" s="13">
        <f t="shared" si="10"/>
        <v>7.660341797062081E-4</v>
      </c>
    </row>
    <row r="186" spans="1:17" x14ac:dyDescent="0.2">
      <c r="A186" s="54">
        <f t="shared" si="11"/>
        <v>40663</v>
      </c>
      <c r="B186" s="27">
        <f>114525009+(2912181.71/12)</f>
        <v>114767690.80916667</v>
      </c>
      <c r="C186" s="23">
        <f>'[9]eng-daily-01012011-12312011'!$M$146</f>
        <v>298.69999999999993</v>
      </c>
      <c r="D186" s="23">
        <f>'[9]eng-daily-01012011-12312011'!$O$146</f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2492017.7812565886</v>
      </c>
      <c r="J186" s="16">
        <v>52.750862068965489</v>
      </c>
      <c r="K186" s="162">
        <v>139.36248209140518</v>
      </c>
      <c r="L186" s="111">
        <f t="shared" si="14"/>
        <v>51014</v>
      </c>
      <c r="M186" s="111">
        <f t="shared" si="15"/>
        <v>136904</v>
      </c>
      <c r="N186" s="10">
        <f t="shared" si="13"/>
        <v>119172641.71170586</v>
      </c>
      <c r="O186" s="53">
        <f t="shared" si="8"/>
        <v>4404950.9025391936</v>
      </c>
      <c r="P186" s="171">
        <f t="shared" si="9"/>
        <v>3.8381454497186447E-2</v>
      </c>
      <c r="Q186" s="13">
        <f t="shared" si="10"/>
        <v>3.8381454497186447E-2</v>
      </c>
    </row>
    <row r="187" spans="1:17" x14ac:dyDescent="0.2">
      <c r="A187" s="54">
        <f t="shared" si="11"/>
        <v>40694</v>
      </c>
      <c r="B187" s="27">
        <f>114078847+(2912181.71/12)</f>
        <v>114321528.80916667</v>
      </c>
      <c r="C187" s="23">
        <f>'[9]eng-daily-01012011-12312011'!$M$177</f>
        <v>148.69999999999996</v>
      </c>
      <c r="D187" s="23">
        <f>'[9]eng-daily-01012011-12312011'!$O$177</f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2584528.8297627424</v>
      </c>
      <c r="J187" s="16">
        <v>53.208620689655163</v>
      </c>
      <c r="K187" s="162">
        <v>139.60405006790918</v>
      </c>
      <c r="L187" s="111">
        <f t="shared" si="14"/>
        <v>51089.25</v>
      </c>
      <c r="M187" s="111">
        <f t="shared" si="15"/>
        <v>136987</v>
      </c>
      <c r="N187" s="10">
        <f t="shared" si="13"/>
        <v>122407361.85280582</v>
      </c>
      <c r="O187" s="53">
        <f t="shared" si="8"/>
        <v>8085833.0436391532</v>
      </c>
      <c r="P187" s="171">
        <f t="shared" si="9"/>
        <v>7.0728874323720603E-2</v>
      </c>
      <c r="Q187" s="13">
        <f t="shared" si="10"/>
        <v>7.0728874323720603E-2</v>
      </c>
    </row>
    <row r="188" spans="1:17" x14ac:dyDescent="0.2">
      <c r="A188" s="54">
        <f t="shared" si="11"/>
        <v>40724</v>
      </c>
      <c r="B188" s="27">
        <f>124489030+(2912181.71/12)</f>
        <v>124731711.80916667</v>
      </c>
      <c r="C188" s="23">
        <f>'[9]eng-daily-01012011-12312011'!$M$207</f>
        <v>48.500000000000007</v>
      </c>
      <c r="D188" s="23">
        <f>'[9]eng-daily-01012011-12312011'!$O$207</f>
        <v>21.599999999999998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2677039.8782688961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5"/>
        <v>137070</v>
      </c>
      <c r="N188" s="10">
        <f t="shared" si="13"/>
        <v>125211438.73691933</v>
      </c>
      <c r="O188" s="53">
        <f t="shared" si="8"/>
        <v>479726.92775265872</v>
      </c>
      <c r="P188" s="171">
        <f t="shared" si="9"/>
        <v>3.8460702638845935E-3</v>
      </c>
      <c r="Q188" s="13">
        <f t="shared" si="10"/>
        <v>3.8460702638845935E-3</v>
      </c>
    </row>
    <row r="189" spans="1:17" x14ac:dyDescent="0.2">
      <c r="A189" s="54">
        <f t="shared" si="11"/>
        <v>40755</v>
      </c>
      <c r="B189" s="27">
        <f>144144406+(2912181.71/12)</f>
        <v>144387087.80916667</v>
      </c>
      <c r="C189" s="23">
        <f>'[9]eng-daily-01012011-12312011'!$M$238</f>
        <v>0.8</v>
      </c>
      <c r="D189" s="23">
        <f>'[9]eng-daily-01012011-12312011'!$O$238</f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2769550.9267750499</v>
      </c>
      <c r="J189" s="16">
        <v>54.892241379310349</v>
      </c>
      <c r="K189" s="162">
        <v>140.08844293318413</v>
      </c>
      <c r="L189" s="111">
        <f t="shared" ref="L189:L199" si="16">L188+($L$200-$L$188)/12</f>
        <v>51210.041666666664</v>
      </c>
      <c r="M189" s="111">
        <f t="shared" si="15"/>
        <v>137153</v>
      </c>
      <c r="N189" s="10">
        <f t="shared" si="13"/>
        <v>144668777.35498193</v>
      </c>
      <c r="O189" s="53">
        <f t="shared" si="8"/>
        <v>281689.54581525922</v>
      </c>
      <c r="P189" s="171">
        <f t="shared" si="9"/>
        <v>1.9509330791930804E-3</v>
      </c>
      <c r="Q189" s="13">
        <f t="shared" si="10"/>
        <v>1.9509330791930804E-3</v>
      </c>
    </row>
    <row r="190" spans="1:17" x14ac:dyDescent="0.2">
      <c r="A190" s="54">
        <f t="shared" si="11"/>
        <v>40786</v>
      </c>
      <c r="B190" s="27">
        <f>137697927+(2912181.71/12)</f>
        <v>137940608.80916667</v>
      </c>
      <c r="C190" s="23">
        <f>'[9]eng-daily-01012011-12312011'!$M$269</f>
        <v>6.8999999999999995</v>
      </c>
      <c r="D190" s="23">
        <f>'[9]eng-daily-01012011-12312011'!$O$269</f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2862061.9752812036</v>
      </c>
      <c r="J190" s="16">
        <v>54.954310344827491</v>
      </c>
      <c r="K190" s="162">
        <v>140.33126927484452</v>
      </c>
      <c r="L190" s="111">
        <f t="shared" si="16"/>
        <v>51255.583333333328</v>
      </c>
      <c r="M190" s="111">
        <f t="shared" si="15"/>
        <v>137236</v>
      </c>
      <c r="N190" s="10">
        <f t="shared" si="13"/>
        <v>133516497.90598294</v>
      </c>
      <c r="O190" s="53">
        <f t="shared" si="8"/>
        <v>-4424110.9031837285</v>
      </c>
      <c r="P190" s="171">
        <f t="shared" si="9"/>
        <v>-3.2072577766451976E-2</v>
      </c>
      <c r="Q190" s="13">
        <f t="shared" si="10"/>
        <v>3.2072577766451976E-2</v>
      </c>
    </row>
    <row r="191" spans="1:17" x14ac:dyDescent="0.2">
      <c r="A191" s="54">
        <f t="shared" si="11"/>
        <v>40816</v>
      </c>
      <c r="B191" s="27">
        <f>121686966+(2912181.71/12)</f>
        <v>121929647.80916667</v>
      </c>
      <c r="C191" s="23">
        <f>'[9]eng-daily-01012011-12312011'!$M$299</f>
        <v>88.9</v>
      </c>
      <c r="D191" s="23">
        <f>'[9]eng-daily-01012011-12312011'!$O$299</f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2954573.0237873574</v>
      </c>
      <c r="J191" s="16">
        <v>54.372413793103419</v>
      </c>
      <c r="K191" s="162">
        <v>140.57451652654552</v>
      </c>
      <c r="L191" s="111">
        <f t="shared" si="16"/>
        <v>51301.124999999993</v>
      </c>
      <c r="M191" s="111">
        <f t="shared" si="15"/>
        <v>137319</v>
      </c>
      <c r="N191" s="10">
        <f t="shared" si="13"/>
        <v>121579493.32100306</v>
      </c>
      <c r="O191" s="53">
        <f t="shared" si="8"/>
        <v>-350154.48816360533</v>
      </c>
      <c r="P191" s="171">
        <f t="shared" si="9"/>
        <v>-2.8717747853388019E-3</v>
      </c>
      <c r="Q191" s="13">
        <f t="shared" si="10"/>
        <v>2.8717747853388019E-3</v>
      </c>
    </row>
    <row r="192" spans="1:17" x14ac:dyDescent="0.2">
      <c r="A192" s="54">
        <f t="shared" si="11"/>
        <v>40847</v>
      </c>
      <c r="B192" s="27">
        <f>119815218+(2912181.71/12)</f>
        <v>120057899.80916667</v>
      </c>
      <c r="C192" s="23">
        <f>'[9]eng-daily-01012011-12312011'!$M$330</f>
        <v>279.89999999999998</v>
      </c>
      <c r="D192" s="23">
        <f>'[9]eng-daily-01012011-12312011'!$O$330</f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3047084.0722935111</v>
      </c>
      <c r="J192" s="16">
        <v>53.813793103448234</v>
      </c>
      <c r="K192" s="162">
        <v>140.81818541788368</v>
      </c>
      <c r="L192" s="111">
        <f t="shared" si="16"/>
        <v>51346.666666666657</v>
      </c>
      <c r="M192" s="111">
        <f t="shared" si="15"/>
        <v>137402</v>
      </c>
      <c r="N192" s="10">
        <f t="shared" si="13"/>
        <v>120392362.64692733</v>
      </c>
      <c r="O192" s="53">
        <f t="shared" si="8"/>
        <v>334462.83776065707</v>
      </c>
      <c r="P192" s="171">
        <f t="shared" si="9"/>
        <v>2.7858461483358395E-3</v>
      </c>
      <c r="Q192" s="13">
        <f t="shared" si="10"/>
        <v>2.7858461483358395E-3</v>
      </c>
    </row>
    <row r="193" spans="1:18" x14ac:dyDescent="0.2">
      <c r="A193" s="54">
        <f t="shared" ref="A193:A222" si="17">EOMONTH(A192,1)</f>
        <v>40877</v>
      </c>
      <c r="B193" s="27">
        <f>123068812+(2912181.71/12)</f>
        <v>123311493.80916667</v>
      </c>
      <c r="C193" s="23">
        <f>'[9]eng-daily-01012011-12312011'!$M$360</f>
        <v>382.4</v>
      </c>
      <c r="D193" s="23">
        <f>'[9]eng-daily-01012011-12312011'!$O$360</f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3139595.1207996649</v>
      </c>
      <c r="J193" s="16">
        <v>53.549999999999955</v>
      </c>
      <c r="K193" s="162">
        <v>141.06227667972024</v>
      </c>
      <c r="L193" s="111">
        <f t="shared" si="16"/>
        <v>51392.208333333321</v>
      </c>
      <c r="M193" s="111">
        <f t="shared" si="15"/>
        <v>137485</v>
      </c>
      <c r="N193" s="10">
        <f t="shared" si="13"/>
        <v>123383756.51539262</v>
      </c>
      <c r="O193" s="53">
        <f t="shared" si="8"/>
        <v>72262.706225946546</v>
      </c>
      <c r="P193" s="171">
        <f t="shared" si="9"/>
        <v>5.8601760463447333E-4</v>
      </c>
      <c r="Q193" s="13">
        <f t="shared" si="10"/>
        <v>5.8601760463447333E-4</v>
      </c>
    </row>
    <row r="194" spans="1:18" x14ac:dyDescent="0.2">
      <c r="A194" s="54">
        <f t="shared" si="17"/>
        <v>40908</v>
      </c>
      <c r="B194" s="27">
        <f>127591184+(2912181.71/12)</f>
        <v>127833865.80916667</v>
      </c>
      <c r="C194" s="23">
        <f>'[9]eng-daily-01012011-12312011'!$M$391</f>
        <v>574.79999999999995</v>
      </c>
      <c r="D194" s="23">
        <f>'[9]eng-daily-01012011-12312011'!$O$391</f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3232106.1693058186</v>
      </c>
      <c r="J194" s="16">
        <v>53.565517241379325</v>
      </c>
      <c r="K194" s="162">
        <v>141.30679104418314</v>
      </c>
      <c r="L194" s="111">
        <f t="shared" si="16"/>
        <v>51437.749999999985</v>
      </c>
      <c r="M194" s="111">
        <f t="shared" si="15"/>
        <v>137568</v>
      </c>
      <c r="N194" s="10">
        <f t="shared" si="13"/>
        <v>128423577.23102665</v>
      </c>
      <c r="O194" s="53">
        <f t="shared" si="8"/>
        <v>589711.42185997963</v>
      </c>
      <c r="P194" s="171">
        <f t="shared" si="9"/>
        <v>4.6131079438707923E-3</v>
      </c>
      <c r="Q194" s="13">
        <f t="shared" si="10"/>
        <v>4.6131079438707923E-3</v>
      </c>
    </row>
    <row r="195" spans="1:18" x14ac:dyDescent="0.2">
      <c r="A195" s="54">
        <f t="shared" si="17"/>
        <v>40939</v>
      </c>
      <c r="B195" s="27">
        <f>134139861.54+(5510021/12)</f>
        <v>134599029.95666668</v>
      </c>
      <c r="C195" s="23">
        <f>'[10]eng-daily-01012012-12312012'!$M$56</f>
        <v>657.30000000000007</v>
      </c>
      <c r="D195" s="23">
        <f>'[10]eng-daily-01012012-12312012'!$O$56</f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3197305.6790111838</v>
      </c>
      <c r="J195" s="16">
        <v>48.348179871520415</v>
      </c>
      <c r="K195" s="162">
        <v>141.54017069810607</v>
      </c>
      <c r="L195" s="111">
        <f t="shared" si="16"/>
        <v>51483.29166666665</v>
      </c>
      <c r="M195" s="111">
        <f t="shared" si="15"/>
        <v>137651</v>
      </c>
      <c r="N195" s="10">
        <f t="shared" si="13"/>
        <v>130430555.64791298</v>
      </c>
      <c r="O195" s="53">
        <f t="shared" ref="O195:O206" si="18">N195-B195</f>
        <v>-4168474.3087536991</v>
      </c>
      <c r="P195" s="171">
        <f t="shared" ref="P195:P206" si="19">O195/B195</f>
        <v>-3.0969571698218876E-2</v>
      </c>
      <c r="Q195" s="13">
        <f t="shared" si="10"/>
        <v>3.0969571698218876E-2</v>
      </c>
    </row>
    <row r="196" spans="1:18" x14ac:dyDescent="0.2">
      <c r="A196" s="54">
        <f t="shared" si="17"/>
        <v>40968</v>
      </c>
      <c r="B196" s="27">
        <f>124214753.85+(5510021/12)</f>
        <v>124673922.26666667</v>
      </c>
      <c r="C196" s="23">
        <f>'[10]eng-daily-01012012-12312012'!$M$85</f>
        <v>573</v>
      </c>
      <c r="D196" s="23">
        <f>'[10]eng-daily-01012012-12312012'!$O$85</f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3162505.188716549</v>
      </c>
      <c r="J196" s="16">
        <v>48.249250535331953</v>
      </c>
      <c r="K196" s="162">
        <v>141.77393579750165</v>
      </c>
      <c r="L196" s="111">
        <f t="shared" si="16"/>
        <v>51528.833333333314</v>
      </c>
      <c r="M196" s="111">
        <f t="shared" si="15"/>
        <v>137734</v>
      </c>
      <c r="N196" s="10">
        <f t="shared" ref="N196:N230" si="20">$U$18+$U$19*C196+$U$20*D196+$U$21*E196+$U$22*F196+$U$23*G196+$U$24*H196+$U$25*I196+$U$26*J196</f>
        <v>123761117.18293473</v>
      </c>
      <c r="O196" s="53">
        <f t="shared" si="18"/>
        <v>-912805.08373193443</v>
      </c>
      <c r="P196" s="171">
        <f t="shared" si="19"/>
        <v>-7.3215397986719612E-3</v>
      </c>
      <c r="Q196" s="13">
        <f t="shared" ref="Q196:Q206" si="21">ABS(P196)</f>
        <v>7.3215397986719612E-3</v>
      </c>
    </row>
    <row r="197" spans="1:18" x14ac:dyDescent="0.2">
      <c r="A197" s="54">
        <f t="shared" si="17"/>
        <v>40999</v>
      </c>
      <c r="B197" s="27">
        <f>124384646.15+(5510021/12)</f>
        <v>124843814.56666668</v>
      </c>
      <c r="C197" s="23">
        <f>'[10]eng-daily-01012012-12312012'!$M$116</f>
        <v>370.1</v>
      </c>
      <c r="D197" s="23">
        <f>'[10]eng-daily-01012012-12312012'!$O$116</f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3127704.6984219141</v>
      </c>
      <c r="J197" s="16">
        <v>48.107922912205595</v>
      </c>
      <c r="K197" s="162">
        <v>142.00808697896443</v>
      </c>
      <c r="L197" s="111">
        <f t="shared" si="16"/>
        <v>51574.374999999978</v>
      </c>
      <c r="M197" s="111">
        <f t="shared" si="15"/>
        <v>137817</v>
      </c>
      <c r="N197" s="10">
        <f t="shared" si="20"/>
        <v>124117014.38273589</v>
      </c>
      <c r="O197" s="53">
        <f t="shared" si="18"/>
        <v>-726800.18393078446</v>
      </c>
      <c r="P197" s="171">
        <f t="shared" si="19"/>
        <v>-5.8216755588052999E-3</v>
      </c>
      <c r="Q197" s="13">
        <f t="shared" si="21"/>
        <v>5.8216755588052999E-3</v>
      </c>
    </row>
    <row r="198" spans="1:18" x14ac:dyDescent="0.2">
      <c r="A198" s="54">
        <f t="shared" si="17"/>
        <v>41029</v>
      </c>
      <c r="B198" s="27">
        <f>114550515.38+(27225356.55/9)+(5510021/12)</f>
        <v>118034723.41333333</v>
      </c>
      <c r="C198" s="23">
        <f>'[10]eng-daily-01012012-12312012'!$M$146</f>
        <v>365.3</v>
      </c>
      <c r="D198" s="23">
        <f>'[10]eng-daily-01012012-12312012'!$O$146</f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3092904.2081272793</v>
      </c>
      <c r="J198" s="16">
        <v>48.256316916488231</v>
      </c>
      <c r="K198" s="162">
        <v>142.24262488014034</v>
      </c>
      <c r="L198" s="111">
        <f t="shared" si="16"/>
        <v>51619.916666666642</v>
      </c>
      <c r="M198" s="111">
        <f t="shared" si="15"/>
        <v>137900</v>
      </c>
      <c r="N198" s="10">
        <f t="shared" si="20"/>
        <v>119695870.48482504</v>
      </c>
      <c r="O198" s="53">
        <f t="shared" si="18"/>
        <v>1661147.0714917183</v>
      </c>
      <c r="P198" s="171">
        <f t="shared" si="19"/>
        <v>1.4073376235861738E-2</v>
      </c>
      <c r="Q198" s="13">
        <f t="shared" si="21"/>
        <v>1.4073376235861738E-2</v>
      </c>
    </row>
    <row r="199" spans="1:18" x14ac:dyDescent="0.2">
      <c r="A199" s="54">
        <f t="shared" si="17"/>
        <v>41060</v>
      </c>
      <c r="B199" s="27">
        <f>120400400+(27225356.55/9)+(5510021/12)</f>
        <v>123884608.03333333</v>
      </c>
      <c r="C199" s="23">
        <f>'[10]eng-daily-01012012-12312012'!$M$177</f>
        <v>103.8</v>
      </c>
      <c r="D199" s="23">
        <f>'[10]eng-daily-01012012-12312012'!$O$177</f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3058103.7178326445</v>
      </c>
      <c r="J199" s="16">
        <v>48.524839400428277</v>
      </c>
      <c r="K199" s="162">
        <v>142.47755013972844</v>
      </c>
      <c r="L199" s="111">
        <f t="shared" si="16"/>
        <v>51665.458333333307</v>
      </c>
      <c r="M199" s="111">
        <f t="shared" si="15"/>
        <v>137983</v>
      </c>
      <c r="N199" s="10">
        <f t="shared" si="20"/>
        <v>123350264.96585038</v>
      </c>
      <c r="O199" s="53">
        <f t="shared" si="18"/>
        <v>-534343.0674829483</v>
      </c>
      <c r="P199" s="171">
        <f t="shared" si="19"/>
        <v>-4.313232095299312E-3</v>
      </c>
      <c r="Q199" s="13">
        <f t="shared" si="21"/>
        <v>4.313232095299312E-3</v>
      </c>
    </row>
    <row r="200" spans="1:18" x14ac:dyDescent="0.2">
      <c r="A200" s="54">
        <f t="shared" si="17"/>
        <v>41090</v>
      </c>
      <c r="B200" s="27">
        <f>127372618.18+(27225356.55/9)+(5510021/12)</f>
        <v>130856826.21333334</v>
      </c>
      <c r="C200" s="23">
        <f>'[10]eng-daily-01012012-12312012'!$M$207</f>
        <v>42.100000000000009</v>
      </c>
      <c r="D200" s="23">
        <f>'[10]eng-daily-01012012-12312012'!$O$207</f>
        <v>61.199999999999996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3023303.2275380096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5"/>
        <v>138066</v>
      </c>
      <c r="N200" s="10">
        <f t="shared" si="20"/>
        <v>129687832.00194705</v>
      </c>
      <c r="O200" s="53">
        <f t="shared" si="18"/>
        <v>-1168994.2113862932</v>
      </c>
      <c r="P200" s="171">
        <f t="shared" si="19"/>
        <v>-8.9333834941136715E-3</v>
      </c>
      <c r="Q200" s="13">
        <f t="shared" si="21"/>
        <v>8.9333834941136715E-3</v>
      </c>
    </row>
    <row r="201" spans="1:18" x14ac:dyDescent="0.2">
      <c r="A201" s="54">
        <f t="shared" si="17"/>
        <v>41121</v>
      </c>
      <c r="B201" s="27">
        <f>141753854.55+(27225356.55/9)+(5510021/12)</f>
        <v>145238062.58333334</v>
      </c>
      <c r="C201" s="23">
        <f>'[10]eng-daily-01012012-12312012'!$M$238</f>
        <v>0</v>
      </c>
      <c r="D201" s="23">
        <f>'[10]eng-daily-01012012-12312012'!$O$238</f>
        <v>116.40000000000002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2988502.7372433748</v>
      </c>
      <c r="J201" s="16">
        <v>49.068950749464761</v>
      </c>
      <c r="K201" s="162">
        <v>142.94856529421338</v>
      </c>
      <c r="L201" s="111">
        <f t="shared" ref="L201:L206" si="22">L200+($L$200-$L$188)/12</f>
        <v>51756.541666666664</v>
      </c>
      <c r="M201" s="111">
        <f t="shared" si="15"/>
        <v>138149</v>
      </c>
      <c r="N201" s="10">
        <f t="shared" si="20"/>
        <v>141765380.59804574</v>
      </c>
      <c r="O201" s="53">
        <f t="shared" si="18"/>
        <v>-3472681.9852876067</v>
      </c>
      <c r="P201" s="171">
        <f t="shared" si="19"/>
        <v>-2.3910274782790383E-2</v>
      </c>
      <c r="Q201" s="13">
        <f t="shared" si="21"/>
        <v>2.3910274782790383E-2</v>
      </c>
    </row>
    <row r="202" spans="1:18" x14ac:dyDescent="0.2">
      <c r="A202" s="54">
        <f t="shared" si="17"/>
        <v>41152</v>
      </c>
      <c r="B202" s="27">
        <f>132844609.09+(27225356.55/9)+(5510021/12)</f>
        <v>136328817.12333333</v>
      </c>
      <c r="C202" s="23">
        <f>'[10]eng-daily-01012012-12312012'!$M$269</f>
        <v>19.400000000000002</v>
      </c>
      <c r="D202" s="23">
        <f>'[10]eng-daily-01012012-12312012'!$O$269</f>
        <v>58.100000000000009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2953702.24694874</v>
      </c>
      <c r="J202" s="16">
        <v>48.736830835117871</v>
      </c>
      <c r="K202" s="162">
        <v>143.18465647178962</v>
      </c>
      <c r="L202" s="111">
        <f t="shared" si="22"/>
        <v>51802.083333333328</v>
      </c>
      <c r="M202" s="111">
        <f t="shared" si="15"/>
        <v>138232</v>
      </c>
      <c r="N202" s="10">
        <f t="shared" si="20"/>
        <v>131762249.60132381</v>
      </c>
      <c r="O202" s="53">
        <f t="shared" si="18"/>
        <v>-4566567.5220095217</v>
      </c>
      <c r="P202" s="171">
        <f t="shared" si="19"/>
        <v>-3.3496714915953976E-2</v>
      </c>
      <c r="Q202" s="13">
        <f t="shared" si="21"/>
        <v>3.3496714915953976E-2</v>
      </c>
    </row>
    <row r="203" spans="1:18" x14ac:dyDescent="0.2">
      <c r="A203" s="54">
        <f t="shared" si="17"/>
        <v>41182</v>
      </c>
      <c r="B203" s="27">
        <f>115005427.27+(27225356.55/9)+(5510021/12)</f>
        <v>118489635.30333333</v>
      </c>
      <c r="C203" s="23">
        <f>'[10]eng-daily-01012012-12312012'!$M$299</f>
        <v>125.40000000000002</v>
      </c>
      <c r="D203" s="23">
        <f>'[10]eng-daily-01012012-12312012'!$O$299</f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2918901.7566541051</v>
      </c>
      <c r="J203" s="16">
        <v>48.185653104925109</v>
      </c>
      <c r="K203" s="162">
        <v>143.4211375731403</v>
      </c>
      <c r="L203" s="111">
        <f t="shared" si="22"/>
        <v>51847.624999999993</v>
      </c>
      <c r="M203" s="111">
        <f t="shared" si="15"/>
        <v>138315</v>
      </c>
      <c r="N203" s="10">
        <f t="shared" si="20"/>
        <v>116594768.26117834</v>
      </c>
      <c r="O203" s="53">
        <f t="shared" si="18"/>
        <v>-1894867.0421549827</v>
      </c>
      <c r="P203" s="171">
        <f t="shared" si="19"/>
        <v>-1.5991837913114725E-2</v>
      </c>
      <c r="Q203" s="13">
        <f t="shared" si="21"/>
        <v>1.5991837913114725E-2</v>
      </c>
    </row>
    <row r="204" spans="1:18" x14ac:dyDescent="0.2">
      <c r="A204" s="54">
        <f t="shared" si="17"/>
        <v>41213</v>
      </c>
      <c r="B204" s="27">
        <f>116946700+(27225356.55/9)+(5510021/12)</f>
        <v>120430908.03333333</v>
      </c>
      <c r="C204" s="23">
        <f>'[10]eng-daily-01012012-12312012'!$M$330</f>
        <v>279.2</v>
      </c>
      <c r="D204" s="23">
        <f>'[10]eng-daily-01012012-12312012'!$O$330</f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2884101.2663594703</v>
      </c>
      <c r="J204" s="16">
        <v>48.178586723768831</v>
      </c>
      <c r="K204" s="162">
        <v>143.65800924225621</v>
      </c>
      <c r="L204" s="111">
        <f t="shared" si="22"/>
        <v>51893.166666666657</v>
      </c>
      <c r="M204" s="111">
        <f t="shared" si="15"/>
        <v>138398</v>
      </c>
      <c r="N204" s="10">
        <f t="shared" si="20"/>
        <v>123458118.23258506</v>
      </c>
      <c r="O204" s="53">
        <f t="shared" si="18"/>
        <v>3027210.1992517263</v>
      </c>
      <c r="P204" s="171">
        <f t="shared" si="19"/>
        <v>2.5136489034973009E-2</v>
      </c>
      <c r="Q204" s="13">
        <f t="shared" si="21"/>
        <v>2.5136489034973009E-2</v>
      </c>
    </row>
    <row r="205" spans="1:18" x14ac:dyDescent="0.2">
      <c r="A205" s="54">
        <f t="shared" si="17"/>
        <v>41243</v>
      </c>
      <c r="B205" s="27">
        <f>120693809.09+(27225356.55/9)+(5510021/12)</f>
        <v>124178017.12333333</v>
      </c>
      <c r="C205" s="23">
        <f>'[10]eng-daily-01012012-12312012'!$M$360</f>
        <v>483.60000000000014</v>
      </c>
      <c r="D205" s="23">
        <f>'[10]eng-daily-01012012-12312012'!$O$360</f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2849300.7760648355</v>
      </c>
      <c r="J205" s="16">
        <v>48.510706638115721</v>
      </c>
      <c r="K205" s="162">
        <v>143.89527212419182</v>
      </c>
      <c r="L205" s="111">
        <f t="shared" si="22"/>
        <v>51938.708333333321</v>
      </c>
      <c r="M205" s="111">
        <f t="shared" si="15"/>
        <v>138481</v>
      </c>
      <c r="N205" s="10">
        <f t="shared" si="20"/>
        <v>127461674.7046404</v>
      </c>
      <c r="O205" s="53">
        <f t="shared" si="18"/>
        <v>3283657.5813070685</v>
      </c>
      <c r="P205" s="171">
        <f t="shared" si="19"/>
        <v>2.6443147163847422E-2</v>
      </c>
      <c r="Q205" s="13">
        <f t="shared" si="21"/>
        <v>2.6443147163847422E-2</v>
      </c>
    </row>
    <row r="206" spans="1:18" x14ac:dyDescent="0.2">
      <c r="A206" s="54">
        <f t="shared" si="17"/>
        <v>41274</v>
      </c>
      <c r="B206" s="27">
        <f>121548763.64+(27225356.55/9)+(5510021/12)</f>
        <v>125032971.67333333</v>
      </c>
      <c r="C206" s="23">
        <f>'[10]eng-daily-01012012-12312012'!$M$391</f>
        <v>565.50000000000011</v>
      </c>
      <c r="D206" s="23">
        <f>'[10]eng-daily-01012012-12312012'!$O$391</f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2814500.2857702007</v>
      </c>
      <c r="J206" s="16">
        <v>49.019486081370474</v>
      </c>
      <c r="K206" s="162">
        <v>144.13292686506682</v>
      </c>
      <c r="L206" s="111">
        <f t="shared" si="22"/>
        <v>51984.249999999985</v>
      </c>
      <c r="M206" s="111">
        <f t="shared" si="15"/>
        <v>138564</v>
      </c>
      <c r="N206" s="10">
        <f t="shared" si="20"/>
        <v>128689531.63431746</v>
      </c>
      <c r="O206" s="53">
        <f t="shared" si="18"/>
        <v>3656559.9609841257</v>
      </c>
      <c r="P206" s="171">
        <f t="shared" si="19"/>
        <v>2.9244765696982838E-2</v>
      </c>
      <c r="Q206" s="13">
        <f t="shared" si="21"/>
        <v>2.9244765696982838E-2</v>
      </c>
    </row>
    <row r="207" spans="1:18" x14ac:dyDescent="0.2">
      <c r="A207" s="54">
        <f>EOMONTH(A206,1)</f>
        <v>41305</v>
      </c>
      <c r="C207" s="340">
        <f t="shared" ref="C207:D218" si="23">(C3+C15+C27+C39+C51+C63+C75+C87+C99+C111+C123+C135+C147+C159+C171+C183+C195)/17</f>
        <v>746.91764705882338</v>
      </c>
      <c r="D207" s="340">
        <f t="shared" si="23"/>
        <v>0</v>
      </c>
      <c r="E207" s="10">
        <v>31</v>
      </c>
      <c r="F207" s="16">
        <v>0</v>
      </c>
      <c r="G207" s="16">
        <v>352</v>
      </c>
      <c r="H207" s="16">
        <f>H206</f>
        <v>693.7</v>
      </c>
      <c r="I207" s="16">
        <f>'CDM Activity'!F100</f>
        <v>2843140.4328086367</v>
      </c>
      <c r="J207" s="174">
        <f>J206</f>
        <v>49.019486081370474</v>
      </c>
      <c r="K207" s="162">
        <v>144.35917379447397</v>
      </c>
      <c r="L207"/>
      <c r="M207" s="10"/>
      <c r="N207" s="10">
        <f t="shared" si="20"/>
        <v>137553740.35584983</v>
      </c>
      <c r="O207"/>
      <c r="P207"/>
      <c r="Q207" s="5">
        <f>AVERAGE(Q3:Q206)</f>
        <v>2.2606843066446843E-2</v>
      </c>
      <c r="R207" s="172" t="s">
        <v>162</v>
      </c>
    </row>
    <row r="208" spans="1:18" x14ac:dyDescent="0.2">
      <c r="A208" s="54">
        <f t="shared" si="17"/>
        <v>41333</v>
      </c>
      <c r="C208" s="340">
        <f t="shared" si="23"/>
        <v>649.60588235294108</v>
      </c>
      <c r="D208" s="340">
        <f t="shared" si="23"/>
        <v>0</v>
      </c>
      <c r="E208" s="10">
        <v>28</v>
      </c>
      <c r="F208" s="16">
        <v>0</v>
      </c>
      <c r="G208" s="16">
        <v>304</v>
      </c>
      <c r="H208" s="16">
        <f t="shared" ref="H208:H230" si="24">H207</f>
        <v>693.7</v>
      </c>
      <c r="I208" s="16">
        <f>'CDM Activity'!F101</f>
        <v>2871780.5798470727</v>
      </c>
      <c r="J208" s="174">
        <f t="shared" ref="J208:J230" si="25">J207</f>
        <v>49.019486081370474</v>
      </c>
      <c r="K208" s="162">
        <v>144.58577586600015</v>
      </c>
      <c r="L208"/>
      <c r="M208" s="10"/>
      <c r="N208" s="10">
        <f t="shared" si="20"/>
        <v>125695752.34239444</v>
      </c>
      <c r="O208"/>
      <c r="P208"/>
    </row>
    <row r="209" spans="1:16" x14ac:dyDescent="0.2">
      <c r="A209" s="54">
        <f t="shared" si="17"/>
        <v>41364</v>
      </c>
      <c r="C209" s="340">
        <f t="shared" si="23"/>
        <v>572.55294117647043</v>
      </c>
      <c r="D209" s="340">
        <f t="shared" si="23"/>
        <v>0</v>
      </c>
      <c r="E209" s="10">
        <v>31</v>
      </c>
      <c r="F209" s="16">
        <v>1</v>
      </c>
      <c r="G209" s="16">
        <v>320</v>
      </c>
      <c r="H209" s="16">
        <f t="shared" si="24"/>
        <v>693.7</v>
      </c>
      <c r="I209" s="16">
        <f>'CDM Activity'!F102</f>
        <v>2900420.7268855087</v>
      </c>
      <c r="J209" s="174">
        <f t="shared" si="25"/>
        <v>49.019486081370474</v>
      </c>
      <c r="K209" s="162">
        <v>144.81273363711554</v>
      </c>
      <c r="L209"/>
      <c r="M209" s="10"/>
      <c r="N209" s="10">
        <f t="shared" si="20"/>
        <v>128721147.38948432</v>
      </c>
      <c r="O209"/>
      <c r="P209"/>
    </row>
    <row r="210" spans="1:16" x14ac:dyDescent="0.2">
      <c r="A210" s="54">
        <f t="shared" si="17"/>
        <v>41394</v>
      </c>
      <c r="C210" s="340">
        <f t="shared" si="23"/>
        <v>346.36470588235295</v>
      </c>
      <c r="D210" s="340">
        <f t="shared" si="23"/>
        <v>0.61764705882352944</v>
      </c>
      <c r="E210" s="10">
        <v>30</v>
      </c>
      <c r="F210" s="16">
        <v>1</v>
      </c>
      <c r="G210" s="16">
        <v>352</v>
      </c>
      <c r="H210" s="16">
        <f t="shared" si="24"/>
        <v>693.7</v>
      </c>
      <c r="I210" s="16">
        <f>'CDM Activity'!F103</f>
        <v>2929060.8739239448</v>
      </c>
      <c r="J210" s="174">
        <f t="shared" si="25"/>
        <v>49.019486081370474</v>
      </c>
      <c r="K210" s="162">
        <v>145.04004766616546</v>
      </c>
      <c r="L210"/>
      <c r="M210" s="10"/>
      <c r="N210" s="10">
        <f t="shared" si="20"/>
        <v>125645096.48160672</v>
      </c>
      <c r="O210"/>
      <c r="P210"/>
    </row>
    <row r="211" spans="1:16" x14ac:dyDescent="0.2">
      <c r="A211" s="54">
        <f t="shared" si="17"/>
        <v>41425</v>
      </c>
      <c r="C211" s="340">
        <f t="shared" si="23"/>
        <v>182.57647058823531</v>
      </c>
      <c r="D211" s="340">
        <f t="shared" si="23"/>
        <v>9.4117647058823533</v>
      </c>
      <c r="E211" s="10">
        <v>31</v>
      </c>
      <c r="F211" s="16">
        <v>1</v>
      </c>
      <c r="G211" s="16">
        <v>352</v>
      </c>
      <c r="H211" s="16">
        <f t="shared" si="24"/>
        <v>693.7</v>
      </c>
      <c r="I211" s="16">
        <f>'CDM Activity'!F104</f>
        <v>2957701.0209623808</v>
      </c>
      <c r="J211" s="174">
        <f t="shared" si="25"/>
        <v>49.019486081370474</v>
      </c>
      <c r="K211" s="162">
        <v>145.2677185123716</v>
      </c>
      <c r="L211"/>
      <c r="M211" s="10"/>
      <c r="N211" s="10">
        <f t="shared" si="20"/>
        <v>125185605.12662911</v>
      </c>
      <c r="O211"/>
      <c r="P211"/>
    </row>
    <row r="212" spans="1:16" x14ac:dyDescent="0.2">
      <c r="A212" s="54">
        <f t="shared" si="17"/>
        <v>41455</v>
      </c>
      <c r="C212" s="340">
        <f t="shared" si="23"/>
        <v>48.317647058823539</v>
      </c>
      <c r="D212" s="340">
        <f t="shared" si="23"/>
        <v>47.076470588235296</v>
      </c>
      <c r="E212" s="10">
        <v>30</v>
      </c>
      <c r="F212" s="16">
        <v>0</v>
      </c>
      <c r="G212" s="16">
        <v>320</v>
      </c>
      <c r="H212" s="16">
        <f t="shared" si="24"/>
        <v>693.7</v>
      </c>
      <c r="I212" s="16">
        <f>'CDM Activity'!F105</f>
        <v>2986341.1680008168</v>
      </c>
      <c r="J212" s="174">
        <f t="shared" si="25"/>
        <v>49.019486081370474</v>
      </c>
      <c r="K212" s="162">
        <v>145.49574673583354</v>
      </c>
      <c r="L212"/>
      <c r="M212" s="10"/>
      <c r="N212" s="10">
        <f t="shared" si="20"/>
        <v>125990532.08130026</v>
      </c>
      <c r="O212"/>
      <c r="P212"/>
    </row>
    <row r="213" spans="1:16" x14ac:dyDescent="0.2">
      <c r="A213" s="54">
        <f t="shared" si="17"/>
        <v>41486</v>
      </c>
      <c r="C213" s="340">
        <f t="shared" si="23"/>
        <v>13.205882352941176</v>
      </c>
      <c r="D213" s="340">
        <f t="shared" si="23"/>
        <v>79.776470588235298</v>
      </c>
      <c r="E213" s="10">
        <v>31</v>
      </c>
      <c r="F213" s="16">
        <v>0</v>
      </c>
      <c r="G213" s="16">
        <v>352</v>
      </c>
      <c r="H213" s="16">
        <f t="shared" si="24"/>
        <v>693.7</v>
      </c>
      <c r="I213" s="16">
        <f>'CDM Activity'!F106</f>
        <v>3014981.3150392529</v>
      </c>
      <c r="J213" s="174">
        <f t="shared" si="25"/>
        <v>49.019486081370474</v>
      </c>
      <c r="K213" s="162">
        <v>145.72413289752996</v>
      </c>
      <c r="L213"/>
      <c r="M213" s="10"/>
      <c r="N213" s="10">
        <f t="shared" si="20"/>
        <v>136349433.32476974</v>
      </c>
    </row>
    <row r="214" spans="1:16" x14ac:dyDescent="0.2">
      <c r="A214" s="54">
        <f t="shared" si="17"/>
        <v>41517</v>
      </c>
      <c r="C214" s="340">
        <f t="shared" si="23"/>
        <v>22.299999999999994</v>
      </c>
      <c r="D214" s="340">
        <f t="shared" si="23"/>
        <v>56.694117647058818</v>
      </c>
      <c r="E214" s="10">
        <v>31</v>
      </c>
      <c r="F214" s="16">
        <v>0</v>
      </c>
      <c r="G214" s="16">
        <v>336</v>
      </c>
      <c r="H214" s="16">
        <f t="shared" si="24"/>
        <v>693.7</v>
      </c>
      <c r="I214" s="16">
        <f>'CDM Activity'!F107</f>
        <v>3043621.4620776889</v>
      </c>
      <c r="J214" s="174">
        <f t="shared" si="25"/>
        <v>49.019486081370474</v>
      </c>
      <c r="K214" s="162">
        <v>145.9528775593202</v>
      </c>
      <c r="L214"/>
      <c r="M214" s="10"/>
      <c r="N214" s="10">
        <f t="shared" si="20"/>
        <v>130237821.3709121</v>
      </c>
    </row>
    <row r="215" spans="1:16" x14ac:dyDescent="0.2">
      <c r="A215" s="54">
        <f t="shared" si="17"/>
        <v>41547</v>
      </c>
      <c r="C215" s="340">
        <f t="shared" si="23"/>
        <v>96.182352941176475</v>
      </c>
      <c r="D215" s="340">
        <f t="shared" si="23"/>
        <v>17.247058823529407</v>
      </c>
      <c r="E215" s="10">
        <v>30</v>
      </c>
      <c r="F215" s="16">
        <v>1</v>
      </c>
      <c r="G215" s="16">
        <v>320</v>
      </c>
      <c r="H215" s="16">
        <f t="shared" si="24"/>
        <v>693.7</v>
      </c>
      <c r="I215" s="16">
        <f>'CDM Activity'!F108</f>
        <v>3072261.6091161249</v>
      </c>
      <c r="J215" s="174">
        <f t="shared" si="25"/>
        <v>49.019486081370474</v>
      </c>
      <c r="K215" s="162">
        <v>146.18198128394553</v>
      </c>
      <c r="L215"/>
      <c r="M215" s="10"/>
      <c r="N215" s="10">
        <f t="shared" si="20"/>
        <v>119418115.587405</v>
      </c>
    </row>
    <row r="216" spans="1:16" x14ac:dyDescent="0.2">
      <c r="A216" s="54">
        <f t="shared" si="17"/>
        <v>41578</v>
      </c>
      <c r="C216" s="340">
        <f t="shared" si="23"/>
        <v>290.2</v>
      </c>
      <c r="D216" s="340">
        <f t="shared" si="23"/>
        <v>1.2588235294117647</v>
      </c>
      <c r="E216" s="10">
        <v>31</v>
      </c>
      <c r="F216" s="16">
        <v>1</v>
      </c>
      <c r="G216" s="16">
        <v>352</v>
      </c>
      <c r="H216" s="16">
        <f t="shared" si="24"/>
        <v>693.7</v>
      </c>
      <c r="I216" s="16">
        <f>'CDM Activity'!F109</f>
        <v>3100901.7561545609</v>
      </c>
      <c r="J216" s="174">
        <f t="shared" si="25"/>
        <v>49.019486081370474</v>
      </c>
      <c r="K216" s="162">
        <v>146.41144463503053</v>
      </c>
      <c r="L216"/>
      <c r="M216" s="10"/>
      <c r="N216" s="10">
        <f t="shared" si="20"/>
        <v>125278694.34804827</v>
      </c>
    </row>
    <row r="217" spans="1:16" x14ac:dyDescent="0.2">
      <c r="A217" s="54">
        <f t="shared" si="17"/>
        <v>41608</v>
      </c>
      <c r="C217" s="340">
        <f t="shared" si="23"/>
        <v>442.41176470588238</v>
      </c>
      <c r="D217" s="340">
        <f t="shared" si="23"/>
        <v>0</v>
      </c>
      <c r="E217" s="10">
        <v>30</v>
      </c>
      <c r="F217" s="16">
        <v>1</v>
      </c>
      <c r="G217" s="16">
        <v>336</v>
      </c>
      <c r="H217" s="16">
        <f t="shared" si="24"/>
        <v>693.7</v>
      </c>
      <c r="I217" s="16">
        <f>'CDM Activity'!F110</f>
        <v>3129541.903192997</v>
      </c>
      <c r="J217" s="174">
        <f t="shared" si="25"/>
        <v>49.019486081370474</v>
      </c>
      <c r="K217" s="162">
        <v>146.64126817708456</v>
      </c>
      <c r="L217"/>
      <c r="M217" s="10"/>
      <c r="N217" s="10">
        <f t="shared" si="20"/>
        <v>125005295.0409503</v>
      </c>
    </row>
    <row r="218" spans="1:16" x14ac:dyDescent="0.2">
      <c r="A218" s="54">
        <f t="shared" si="17"/>
        <v>41639</v>
      </c>
      <c r="C218" s="340">
        <f t="shared" si="23"/>
        <v>645.59411764705885</v>
      </c>
      <c r="D218" s="340">
        <f t="shared" si="23"/>
        <v>0</v>
      </c>
      <c r="E218" s="10">
        <v>31</v>
      </c>
      <c r="F218" s="16">
        <v>0</v>
      </c>
      <c r="G218" s="16">
        <v>320</v>
      </c>
      <c r="H218" s="16">
        <f t="shared" si="24"/>
        <v>693.7</v>
      </c>
      <c r="I218" s="16">
        <f>'CDM Activity'!F111</f>
        <v>3158182.050231433</v>
      </c>
      <c r="J218" s="174">
        <f t="shared" si="25"/>
        <v>49.019486081370474</v>
      </c>
      <c r="K218" s="162">
        <v>146.87145247550308</v>
      </c>
      <c r="L218"/>
      <c r="M218" s="10"/>
      <c r="N218" s="10">
        <f t="shared" si="20"/>
        <v>130534230.29791293</v>
      </c>
    </row>
    <row r="219" spans="1:16" x14ac:dyDescent="0.2">
      <c r="A219" s="54">
        <f t="shared" si="17"/>
        <v>41670</v>
      </c>
      <c r="C219" s="340">
        <f>C207</f>
        <v>746.91764705882338</v>
      </c>
      <c r="D219" s="340">
        <f>D207</f>
        <v>0</v>
      </c>
      <c r="E219" s="10">
        <v>31</v>
      </c>
      <c r="F219" s="16">
        <v>0</v>
      </c>
      <c r="G219" s="16">
        <v>352</v>
      </c>
      <c r="H219" s="16">
        <f t="shared" si="24"/>
        <v>693.7</v>
      </c>
      <c r="I219" s="16">
        <f>'CDM Activity'!F112</f>
        <v>3127637.2650742307</v>
      </c>
      <c r="J219" s="174">
        <f t="shared" si="25"/>
        <v>49.019486081370474</v>
      </c>
      <c r="K219" s="162">
        <v>147.1500314630903</v>
      </c>
      <c r="L219"/>
      <c r="M219" s="10"/>
      <c r="N219" s="10">
        <f t="shared" si="20"/>
        <v>136245602.86772212</v>
      </c>
    </row>
    <row r="220" spans="1:16" x14ac:dyDescent="0.2">
      <c r="A220" s="54">
        <f t="shared" si="17"/>
        <v>41698</v>
      </c>
      <c r="C220" s="340">
        <f t="shared" ref="C220:D230" si="26">C208</f>
        <v>649.60588235294108</v>
      </c>
      <c r="D220" s="340">
        <f t="shared" si="26"/>
        <v>0</v>
      </c>
      <c r="E220" s="10">
        <v>28</v>
      </c>
      <c r="F220" s="16">
        <v>0</v>
      </c>
      <c r="G220" s="16">
        <v>304</v>
      </c>
      <c r="H220" s="16">
        <f t="shared" si="24"/>
        <v>693.7</v>
      </c>
      <c r="I220" s="16">
        <f>'CDM Activity'!F113</f>
        <v>3097092.4799170285</v>
      </c>
      <c r="J220" s="174">
        <f t="shared" si="25"/>
        <v>49.019486081370474</v>
      </c>
      <c r="K220" s="162">
        <v>147.42913884643463</v>
      </c>
      <c r="L220"/>
      <c r="M220" s="10"/>
      <c r="N220" s="10">
        <f t="shared" si="20"/>
        <v>124659751.55231312</v>
      </c>
    </row>
    <row r="221" spans="1:16" x14ac:dyDescent="0.2">
      <c r="A221" s="54">
        <f t="shared" si="17"/>
        <v>41729</v>
      </c>
      <c r="C221" s="340">
        <f t="shared" si="26"/>
        <v>572.55294117647043</v>
      </c>
      <c r="D221" s="340">
        <f t="shared" si="26"/>
        <v>0</v>
      </c>
      <c r="E221" s="10">
        <v>31</v>
      </c>
      <c r="F221" s="16">
        <v>1</v>
      </c>
      <c r="G221" s="16">
        <v>336</v>
      </c>
      <c r="H221" s="16">
        <f t="shared" si="24"/>
        <v>693.7</v>
      </c>
      <c r="I221" s="16">
        <f>'CDM Activity'!F114</f>
        <v>3066547.6947598262</v>
      </c>
      <c r="J221" s="174">
        <f t="shared" si="25"/>
        <v>49.019486081370474</v>
      </c>
      <c r="K221" s="162">
        <v>147.7087756277727</v>
      </c>
      <c r="L221"/>
      <c r="M221" s="10"/>
      <c r="N221" s="10">
        <f t="shared" si="20"/>
        <v>129641960.29713842</v>
      </c>
    </row>
    <row r="222" spans="1:16" x14ac:dyDescent="0.2">
      <c r="A222" s="54">
        <f t="shared" si="17"/>
        <v>41759</v>
      </c>
      <c r="C222" s="340">
        <f t="shared" si="26"/>
        <v>346.36470588235295</v>
      </c>
      <c r="D222" s="340">
        <f t="shared" si="26"/>
        <v>0.61764705882352944</v>
      </c>
      <c r="E222" s="10">
        <v>30</v>
      </c>
      <c r="F222" s="16">
        <v>1</v>
      </c>
      <c r="G222" s="16">
        <v>320</v>
      </c>
      <c r="H222" s="16">
        <f t="shared" si="24"/>
        <v>693.7</v>
      </c>
      <c r="I222" s="16">
        <f>'CDM Activity'!F115</f>
        <v>3036002.9096026239</v>
      </c>
      <c r="J222" s="174">
        <f t="shared" si="25"/>
        <v>49.019486081370474</v>
      </c>
      <c r="K222" s="162">
        <v>147.9889428112422</v>
      </c>
      <c r="L222"/>
      <c r="M222" s="10"/>
      <c r="N222" s="10">
        <f t="shared" si="20"/>
        <v>121784015.08824</v>
      </c>
    </row>
    <row r="223" spans="1:16" x14ac:dyDescent="0.2">
      <c r="A223" s="54">
        <f t="shared" ref="A223:A230" si="27">EOMONTH(A222,1)</f>
        <v>41790</v>
      </c>
      <c r="C223" s="340">
        <f t="shared" si="26"/>
        <v>182.57647058823531</v>
      </c>
      <c r="D223" s="340">
        <f t="shared" si="26"/>
        <v>9.4117647058823533</v>
      </c>
      <c r="E223" s="10">
        <v>31</v>
      </c>
      <c r="F223" s="16">
        <v>1</v>
      </c>
      <c r="G223" s="16">
        <v>336</v>
      </c>
      <c r="H223" s="16">
        <f t="shared" si="24"/>
        <v>693.7</v>
      </c>
      <c r="I223" s="16">
        <f>'CDM Activity'!F116</f>
        <v>3005458.1244454216</v>
      </c>
      <c r="J223" s="174">
        <f t="shared" si="25"/>
        <v>49.019486081370474</v>
      </c>
      <c r="K223" s="162">
        <v>148.26964140288536</v>
      </c>
      <c r="L223"/>
      <c r="M223" s="10"/>
      <c r="N223" s="10">
        <f t="shared" si="20"/>
        <v>123281337.43099782</v>
      </c>
    </row>
    <row r="224" spans="1:16" x14ac:dyDescent="0.2">
      <c r="A224" s="54">
        <f t="shared" si="27"/>
        <v>41820</v>
      </c>
      <c r="C224" s="340">
        <f t="shared" si="26"/>
        <v>48.317647058823539</v>
      </c>
      <c r="D224" s="340">
        <f t="shared" si="26"/>
        <v>47.076470588235296</v>
      </c>
      <c r="E224" s="10">
        <v>30</v>
      </c>
      <c r="F224" s="16">
        <v>0</v>
      </c>
      <c r="G224" s="16">
        <v>336</v>
      </c>
      <c r="H224" s="16">
        <f t="shared" si="24"/>
        <v>693.7</v>
      </c>
      <c r="I224" s="16">
        <f>'CDM Activity'!F117</f>
        <v>2974913.3392882193</v>
      </c>
      <c r="J224" s="174">
        <f t="shared" si="25"/>
        <v>49.019486081370474</v>
      </c>
      <c r="K224" s="162">
        <v>148.55087241065269</v>
      </c>
      <c r="L224"/>
      <c r="M224" s="10"/>
      <c r="N224" s="10">
        <f t="shared" si="20"/>
        <v>127727755.08309346</v>
      </c>
    </row>
    <row r="225" spans="1:19" x14ac:dyDescent="0.2">
      <c r="A225" s="54">
        <f t="shared" si="27"/>
        <v>41851</v>
      </c>
      <c r="C225" s="340">
        <f t="shared" si="26"/>
        <v>13.205882352941176</v>
      </c>
      <c r="D225" s="340">
        <f t="shared" si="26"/>
        <v>79.776470588235298</v>
      </c>
      <c r="E225" s="10">
        <v>31</v>
      </c>
      <c r="F225" s="16">
        <v>0</v>
      </c>
      <c r="G225" s="16">
        <v>352</v>
      </c>
      <c r="H225" s="16">
        <f t="shared" si="24"/>
        <v>693.7</v>
      </c>
      <c r="I225" s="16">
        <f>'CDM Activity'!F118</f>
        <v>2944368.5541310171</v>
      </c>
      <c r="J225" s="174">
        <f t="shared" si="25"/>
        <v>49.019486081370474</v>
      </c>
      <c r="K225" s="162">
        <v>148.83263684440649</v>
      </c>
      <c r="L225"/>
      <c r="M225" s="10"/>
      <c r="N225" s="10">
        <f t="shared" si="20"/>
        <v>136674116.02492025</v>
      </c>
    </row>
    <row r="226" spans="1:19" x14ac:dyDescent="0.2">
      <c r="A226" s="54">
        <f t="shared" si="27"/>
        <v>41882</v>
      </c>
      <c r="C226" s="340">
        <f t="shared" si="26"/>
        <v>22.299999999999994</v>
      </c>
      <c r="D226" s="340">
        <f t="shared" si="26"/>
        <v>56.694117647058818</v>
      </c>
      <c r="E226" s="10">
        <v>31</v>
      </c>
      <c r="F226" s="16">
        <v>0</v>
      </c>
      <c r="G226" s="16">
        <v>320</v>
      </c>
      <c r="H226" s="16">
        <f t="shared" si="24"/>
        <v>693.7</v>
      </c>
      <c r="I226" s="16">
        <f>'CDM Activity'!F119</f>
        <v>2913823.7689738148</v>
      </c>
      <c r="J226" s="174">
        <f t="shared" si="25"/>
        <v>49.019486081370474</v>
      </c>
      <c r="K226" s="162">
        <v>149.11493571592456</v>
      </c>
      <c r="L226"/>
      <c r="M226" s="10"/>
      <c r="N226" s="10">
        <f t="shared" si="20"/>
        <v>129149963.76941991</v>
      </c>
    </row>
    <row r="227" spans="1:19" x14ac:dyDescent="0.2">
      <c r="A227" s="54">
        <f t="shared" si="27"/>
        <v>41912</v>
      </c>
      <c r="C227" s="340">
        <f t="shared" si="26"/>
        <v>96.182352941176475</v>
      </c>
      <c r="D227" s="340">
        <f t="shared" si="26"/>
        <v>17.247058823529407</v>
      </c>
      <c r="E227" s="10">
        <v>30</v>
      </c>
      <c r="F227" s="16">
        <v>1</v>
      </c>
      <c r="G227" s="16">
        <v>336</v>
      </c>
      <c r="H227" s="16">
        <f t="shared" si="24"/>
        <v>693.7</v>
      </c>
      <c r="I227" s="16">
        <f>'CDM Activity'!F120</f>
        <v>2883278.9838166125</v>
      </c>
      <c r="J227" s="174">
        <f t="shared" si="25"/>
        <v>49.019486081370474</v>
      </c>
      <c r="K227" s="162">
        <v>149.39777003890373</v>
      </c>
      <c r="L227"/>
      <c r="M227" s="10"/>
      <c r="N227" s="10">
        <f t="shared" si="20"/>
        <v>121971748.68333733</v>
      </c>
    </row>
    <row r="228" spans="1:19" x14ac:dyDescent="0.2">
      <c r="A228" s="54">
        <f t="shared" si="27"/>
        <v>41943</v>
      </c>
      <c r="C228" s="340">
        <f t="shared" si="26"/>
        <v>290.2</v>
      </c>
      <c r="D228" s="340">
        <f t="shared" si="26"/>
        <v>1.2588235294117647</v>
      </c>
      <c r="E228" s="10">
        <v>31</v>
      </c>
      <c r="F228" s="16">
        <v>1</v>
      </c>
      <c r="G228" s="16">
        <v>352</v>
      </c>
      <c r="H228" s="16">
        <f t="shared" si="24"/>
        <v>693.7</v>
      </c>
      <c r="I228" s="16">
        <f>'CDM Activity'!F121</f>
        <v>2852734.1986594102</v>
      </c>
      <c r="J228" s="174">
        <f t="shared" si="25"/>
        <v>49.019486081370474</v>
      </c>
      <c r="K228" s="162">
        <v>149.68114082896363</v>
      </c>
      <c r="L228"/>
      <c r="M228" s="10"/>
      <c r="N228" s="10">
        <f t="shared" si="20"/>
        <v>126419787.14233789</v>
      </c>
    </row>
    <row r="229" spans="1:19" x14ac:dyDescent="0.2">
      <c r="A229" s="54">
        <f t="shared" si="27"/>
        <v>41973</v>
      </c>
      <c r="C229" s="340">
        <f t="shared" si="26"/>
        <v>442.41176470588238</v>
      </c>
      <c r="D229" s="340">
        <f t="shared" si="26"/>
        <v>0</v>
      </c>
      <c r="E229" s="10">
        <v>30</v>
      </c>
      <c r="F229" s="16">
        <v>1</v>
      </c>
      <c r="G229" s="16">
        <v>304</v>
      </c>
      <c r="H229" s="16">
        <f t="shared" si="24"/>
        <v>693.7</v>
      </c>
      <c r="I229" s="16">
        <f>'CDM Activity'!F122</f>
        <v>2822189.413502208</v>
      </c>
      <c r="J229" s="174">
        <f t="shared" si="25"/>
        <v>49.019486081370474</v>
      </c>
      <c r="K229" s="162">
        <v>149.96504910365024</v>
      </c>
      <c r="L229"/>
      <c r="M229" s="10"/>
      <c r="N229" s="10">
        <f t="shared" si="20"/>
        <v>123049170.53390819</v>
      </c>
    </row>
    <row r="230" spans="1:19" x14ac:dyDescent="0.2">
      <c r="A230" s="54">
        <f t="shared" si="27"/>
        <v>42004</v>
      </c>
      <c r="C230" s="340">
        <f t="shared" si="26"/>
        <v>645.59411764705885</v>
      </c>
      <c r="D230" s="340">
        <f t="shared" si="26"/>
        <v>0</v>
      </c>
      <c r="E230" s="10">
        <v>31</v>
      </c>
      <c r="F230" s="16">
        <v>0</v>
      </c>
      <c r="G230" s="16">
        <v>336</v>
      </c>
      <c r="H230" s="16">
        <f t="shared" si="24"/>
        <v>693.7</v>
      </c>
      <c r="I230" s="16">
        <f>'CDM Activity'!F123</f>
        <v>2791644.6283450057</v>
      </c>
      <c r="J230" s="174">
        <f t="shared" si="25"/>
        <v>49.019486081370474</v>
      </c>
      <c r="K230" s="162">
        <v>150.24949588243965</v>
      </c>
      <c r="L230"/>
      <c r="M230" s="10"/>
      <c r="N230" s="10">
        <f t="shared" si="20"/>
        <v>133904273.48798436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195233997.22816619</v>
      </c>
      <c r="N232" s="53">
        <f>SUM(N3:N230)</f>
        <v>27866128805.60865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1161686409.2337322</v>
      </c>
      <c r="O234" s="38">
        <f t="shared" ref="O234:O250" si="28">N234-B234</f>
        <v>34907816.233732224</v>
      </c>
      <c r="P234" s="5">
        <f t="shared" ref="P234:P250" si="29">O234/B234</f>
        <v>3.0980191184491402E-2</v>
      </c>
      <c r="Q234" s="5">
        <f>ABS(P234)</f>
        <v>3.0980191184491402E-2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1200484352.1881585</v>
      </c>
      <c r="O235" s="38">
        <f t="shared" si="28"/>
        <v>-2337891.8118414879</v>
      </c>
      <c r="P235" s="5">
        <f t="shared" si="29"/>
        <v>-1.9436719128728449E-3</v>
      </c>
      <c r="Q235" s="5">
        <f t="shared" ref="Q235:Q250" si="30">ABS(P235)</f>
        <v>1.9436719128728449E-3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1274039552.3470397</v>
      </c>
      <c r="O236" s="38">
        <f t="shared" si="28"/>
        <v>1488395.3470396996</v>
      </c>
      <c r="P236" s="5">
        <f t="shared" si="29"/>
        <v>1.1696153344031728E-3</v>
      </c>
      <c r="Q236" s="5">
        <f t="shared" si="30"/>
        <v>1.1696153344031728E-3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1376209888.0144532</v>
      </c>
      <c r="O237" s="38">
        <f t="shared" si="28"/>
        <v>25394497.91445303</v>
      </c>
      <c r="P237" s="5">
        <f t="shared" si="29"/>
        <v>1.8799384505511954E-2</v>
      </c>
      <c r="Q237" s="5">
        <f t="shared" si="30"/>
        <v>1.8799384505511954E-2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1379379307.8130035</v>
      </c>
      <c r="O238" s="38">
        <f t="shared" si="28"/>
        <v>-12794283.986996412</v>
      </c>
      <c r="P238" s="5">
        <f t="shared" si="29"/>
        <v>-9.1901498939181443E-3</v>
      </c>
      <c r="Q238" s="5">
        <f t="shared" si="30"/>
        <v>9.1901498939181443E-3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1415398231.8241625</v>
      </c>
      <c r="O239" s="38">
        <f t="shared" si="28"/>
        <v>-5579498.1758375168</v>
      </c>
      <c r="P239" s="5">
        <f t="shared" si="29"/>
        <v>-3.9265204922229969E-3</v>
      </c>
      <c r="Q239" s="5">
        <f t="shared" si="30"/>
        <v>3.9265204922229969E-3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1472169727.7710733</v>
      </c>
      <c r="O240" s="38">
        <f t="shared" si="28"/>
        <v>-46975028.228926659</v>
      </c>
      <c r="P240" s="5">
        <f t="shared" si="29"/>
        <v>-3.0922022436238893E-2</v>
      </c>
      <c r="Q240" s="5">
        <f t="shared" si="30"/>
        <v>3.0922022436238893E-2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1503545264.2280295</v>
      </c>
      <c r="O241" s="38">
        <f t="shared" si="28"/>
        <v>-20172265.77197051</v>
      </c>
      <c r="P241" s="5">
        <f t="shared" si="29"/>
        <v>-1.3238848654560344E-2</v>
      </c>
      <c r="Q241" s="5">
        <f t="shared" si="30"/>
        <v>1.3238848654560344E-2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1540996225.1877706</v>
      </c>
      <c r="O242" s="38">
        <f t="shared" si="28"/>
        <v>-29409704.812229395</v>
      </c>
      <c r="P242" s="5">
        <f t="shared" si="29"/>
        <v>-1.8727453997979614E-2</v>
      </c>
      <c r="Q242" s="5">
        <f t="shared" si="30"/>
        <v>1.8727453997979614E-2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1632861923.8141685</v>
      </c>
      <c r="O243" s="38">
        <f t="shared" si="28"/>
        <v>-8126738.1858315468</v>
      </c>
      <c r="P243" s="5">
        <f t="shared" si="29"/>
        <v>-4.9523426785452991E-3</v>
      </c>
      <c r="Q243" s="5">
        <f t="shared" si="30"/>
        <v>4.9523426785452991E-3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1630552137.8152494</v>
      </c>
      <c r="O244" s="38">
        <f t="shared" si="28"/>
        <v>31192093.815249443</v>
      </c>
      <c r="P244" s="5">
        <f t="shared" si="29"/>
        <v>1.9502859241899033E-2</v>
      </c>
      <c r="Q244" s="5">
        <f t="shared" si="30"/>
        <v>1.9502859241899033E-2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1623409147.6340034</v>
      </c>
      <c r="O245" s="38">
        <f t="shared" si="28"/>
        <v>14215224.634003401</v>
      </c>
      <c r="P245" s="5">
        <f t="shared" si="29"/>
        <v>8.833754857526516E-3</v>
      </c>
      <c r="Q245" s="5">
        <f t="shared" si="30"/>
        <v>8.833754857526516E-3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1602109200.6277266</v>
      </c>
      <c r="O246" s="38">
        <f t="shared" si="28"/>
        <v>44585971.627726555</v>
      </c>
      <c r="P246" s="5">
        <f t="shared" si="29"/>
        <v>2.8626200108972214E-2</v>
      </c>
      <c r="Q246" s="5">
        <f t="shared" si="30"/>
        <v>2.8626200108972214E-2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1453060912.9809282</v>
      </c>
      <c r="O247" s="38">
        <f t="shared" si="28"/>
        <v>2706066.9809281826</v>
      </c>
      <c r="P247" s="5">
        <f t="shared" si="29"/>
        <v>1.8657964900047519E-3</v>
      </c>
      <c r="Q247" s="5">
        <f t="shared" si="30"/>
        <v>1.8657964900047519E-3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1485767545.4208729</v>
      </c>
      <c r="O248" s="38">
        <f t="shared" si="28"/>
        <v>-27398084.579127073</v>
      </c>
      <c r="P248" s="5">
        <f t="shared" si="29"/>
        <v>-1.8106467683334224E-2</v>
      </c>
      <c r="Q248" s="5">
        <f t="shared" si="30"/>
        <v>1.8106467683334224E-2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1523559655.3013182</v>
      </c>
      <c r="O249" s="38">
        <f t="shared" si="28"/>
        <v>4120387.5913181305</v>
      </c>
      <c r="P249" s="5">
        <f t="shared" si="29"/>
        <v>2.7117816939982802E-3</v>
      </c>
      <c r="Q249" s="5">
        <f t="shared" si="30"/>
        <v>2.7117816939982802E-3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1520774377.6982965</v>
      </c>
      <c r="O250" s="38">
        <f t="shared" si="28"/>
        <v>-5816958.5917036533</v>
      </c>
      <c r="P250" s="5">
        <f t="shared" si="29"/>
        <v>-3.8104229032507948E-3</v>
      </c>
      <c r="Q250" s="5">
        <f t="shared" si="30"/>
        <v>3.8104229032507948E-3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1535615463.747263</v>
      </c>
      <c r="O251" s="38"/>
      <c r="P251" s="5"/>
      <c r="Q251" s="5">
        <f>AVERAGE(Q234:Q250)</f>
        <v>1.2782793180572382E-2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1534509481.9614129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166</v>
      </c>
      <c r="B254" s="6">
        <f>SUM(B234:B252)</f>
        <v>24796003859.900002</v>
      </c>
      <c r="N254" s="6">
        <f>SUM(N234:N250)</f>
        <v>24796003859.899986</v>
      </c>
      <c r="O254" s="53">
        <f>N254-B254</f>
        <v>0</v>
      </c>
    </row>
    <row r="256" spans="1:21" x14ac:dyDescent="0.2">
      <c r="N256" s="6">
        <f>SUM(N234:N252)</f>
        <v>27866128805.608662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35" t="s">
        <v>261</v>
      </c>
      <c r="C260" s="436"/>
      <c r="D260" s="436"/>
    </row>
    <row r="261" spans="2:19" x14ac:dyDescent="0.2">
      <c r="C261" s="173">
        <f>'Weather Analysis '!V8</f>
        <v>757.42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693.7</v>
      </c>
      <c r="I261" s="16">
        <f>I219</f>
        <v>3127637.2650742307</v>
      </c>
      <c r="J261" s="174">
        <f>J219</f>
        <v>49.019486081370474</v>
      </c>
      <c r="K261" s="162">
        <v>147.1500314630903</v>
      </c>
      <c r="L261"/>
      <c r="M261" s="10"/>
      <c r="N261" s="10">
        <f t="shared" ref="N261:N272" si="31">$U$18+$U$19*C261+$U$20*D261+$U$21*E261+$U$22*F261+$U$23*G261+$U$24*H261+$U$25*I261+$U$26*J261</f>
        <v>136473799.41668907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2">H261</f>
        <v>693.7</v>
      </c>
      <c r="I262" s="16">
        <f t="shared" ref="I262:I272" si="33">I220</f>
        <v>3097092.4799170285</v>
      </c>
      <c r="J262" s="174">
        <f t="shared" ref="J262:J272" si="34">J261</f>
        <v>49.019486081370474</v>
      </c>
      <c r="K262" s="162">
        <v>147.42913884643463</v>
      </c>
      <c r="L262"/>
      <c r="M262" s="10"/>
      <c r="N262" s="10">
        <f t="shared" si="31"/>
        <v>125177187.93006471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2"/>
        <v>693.7</v>
      </c>
      <c r="I263" s="16">
        <f t="shared" si="33"/>
        <v>3066547.6947598262</v>
      </c>
      <c r="J263" s="174">
        <f t="shared" si="34"/>
        <v>49.019486081370474</v>
      </c>
      <c r="K263" s="162">
        <v>147.7087756277727</v>
      </c>
      <c r="L263"/>
      <c r="M263" s="10"/>
      <c r="N263" s="10">
        <f t="shared" si="31"/>
        <v>129585403.23826206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2"/>
        <v>693.7</v>
      </c>
      <c r="I264" s="16">
        <f t="shared" si="33"/>
        <v>3036002.9096026239</v>
      </c>
      <c r="J264" s="174">
        <f t="shared" si="34"/>
        <v>49.019486081370474</v>
      </c>
      <c r="K264" s="162">
        <v>147.9889428112422</v>
      </c>
      <c r="L264"/>
      <c r="M264" s="10"/>
      <c r="N264" s="10">
        <f t="shared" si="31"/>
        <v>121581204.5742034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2"/>
        <v>693.7</v>
      </c>
      <c r="I265" s="16">
        <f t="shared" si="33"/>
        <v>3005458.1244454216</v>
      </c>
      <c r="J265" s="174">
        <f t="shared" si="34"/>
        <v>49.019486081370474</v>
      </c>
      <c r="K265" s="162">
        <v>148.26964140288536</v>
      </c>
      <c r="L265"/>
      <c r="M265" s="10"/>
      <c r="N265" s="10">
        <f t="shared" si="31"/>
        <v>123241589.97021526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2"/>
        <v>693.7</v>
      </c>
      <c r="I266" s="16">
        <f t="shared" si="33"/>
        <v>2974913.3392882193</v>
      </c>
      <c r="J266" s="174">
        <f t="shared" si="34"/>
        <v>49.019486081370474</v>
      </c>
      <c r="K266" s="162">
        <v>148.55087241065269</v>
      </c>
      <c r="L266"/>
      <c r="M266" s="10"/>
      <c r="N266" s="10">
        <f t="shared" si="31"/>
        <v>126773054.33590299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2"/>
        <v>693.7</v>
      </c>
      <c r="I267" s="16">
        <f t="shared" si="33"/>
        <v>2944368.5541310171</v>
      </c>
      <c r="J267" s="174">
        <f t="shared" si="34"/>
        <v>49.019486081370474</v>
      </c>
      <c r="K267" s="162">
        <v>148.83263684440649</v>
      </c>
      <c r="L267"/>
      <c r="M267" s="10"/>
      <c r="N267" s="10">
        <f t="shared" si="31"/>
        <v>136928318.9005495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2"/>
        <v>693.7</v>
      </c>
      <c r="I268" s="16">
        <f t="shared" si="33"/>
        <v>2913823.7689738148</v>
      </c>
      <c r="J268" s="174">
        <f t="shared" si="34"/>
        <v>49.019486081370474</v>
      </c>
      <c r="K268" s="162">
        <v>149.11493571592456</v>
      </c>
      <c r="L268"/>
      <c r="M268" s="10"/>
      <c r="N268" s="10">
        <f t="shared" si="31"/>
        <v>129048980.13352847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2"/>
        <v>693.7</v>
      </c>
      <c r="I269" s="16">
        <f t="shared" si="33"/>
        <v>2883278.9838166125</v>
      </c>
      <c r="J269" s="174">
        <f t="shared" si="34"/>
        <v>49.019486081370474</v>
      </c>
      <c r="K269" s="162">
        <v>149.39777003890373</v>
      </c>
      <c r="L269"/>
      <c r="M269" s="10"/>
      <c r="N269" s="10">
        <f t="shared" si="31"/>
        <v>121176402.07184526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2"/>
        <v>693.7</v>
      </c>
      <c r="I270" s="16">
        <f t="shared" si="33"/>
        <v>2852734.1986594102</v>
      </c>
      <c r="J270" s="174">
        <f t="shared" si="34"/>
        <v>49.019486081370474</v>
      </c>
      <c r="K270" s="162">
        <v>149.68114082896363</v>
      </c>
      <c r="L270"/>
      <c r="M270" s="10"/>
      <c r="N270" s="10">
        <f t="shared" si="31"/>
        <v>126417109.65631193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2"/>
        <v>693.7</v>
      </c>
      <c r="I271" s="16">
        <f t="shared" si="33"/>
        <v>2822189.413502208</v>
      </c>
      <c r="J271" s="174">
        <f t="shared" si="34"/>
        <v>49.019486081370474</v>
      </c>
      <c r="K271" s="162">
        <v>149.96504910365024</v>
      </c>
      <c r="L271"/>
      <c r="M271" s="10"/>
      <c r="N271" s="10">
        <f t="shared" si="31"/>
        <v>122840759.36960581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2"/>
        <v>693.7</v>
      </c>
      <c r="I272" s="16">
        <f t="shared" si="33"/>
        <v>2791644.6283450057</v>
      </c>
      <c r="J272" s="174">
        <f t="shared" si="34"/>
        <v>49.019486081370474</v>
      </c>
      <c r="K272" s="162">
        <v>150.24949588243965</v>
      </c>
      <c r="L272"/>
      <c r="M272" s="10"/>
      <c r="N272" s="10">
        <f t="shared" si="31"/>
        <v>133971106.67688027</v>
      </c>
      <c r="O272" s="53">
        <f>SUM(N261:N272)</f>
        <v>1533214916.2740588</v>
      </c>
      <c r="P272" s="53"/>
    </row>
    <row r="274" spans="2:15" x14ac:dyDescent="0.2">
      <c r="B274" s="435" t="s">
        <v>248</v>
      </c>
      <c r="C274" s="436"/>
      <c r="D274" s="436"/>
      <c r="E274" s="297"/>
      <c r="F274" s="297"/>
      <c r="L274" s="297"/>
      <c r="M274" s="297"/>
      <c r="N274" s="297"/>
      <c r="O274" s="297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693.7</v>
      </c>
      <c r="I275" s="16">
        <f>I261</f>
        <v>3127637.2650742307</v>
      </c>
      <c r="J275" s="174">
        <f>J261</f>
        <v>49.019486081370474</v>
      </c>
      <c r="K275" s="162">
        <v>147.1500314630903</v>
      </c>
      <c r="L275"/>
      <c r="M275" s="10"/>
      <c r="N275" s="10">
        <f t="shared" ref="N275:N286" si="35">$U$18+$U$19*C275+$U$20*D275+$U$21*E275+$U$22*F275+$U$23*G275+$U$24*H275+$U$25*I275+$U$26*J275</f>
        <v>135795912.62574098</v>
      </c>
      <c r="O275" s="297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6">H275</f>
        <v>693.7</v>
      </c>
      <c r="I276" s="16">
        <f t="shared" ref="I276:I286" si="37">I262</f>
        <v>3097092.4799170285</v>
      </c>
      <c r="J276" s="174">
        <f t="shared" ref="J276:J286" si="38">J275</f>
        <v>49.019486081370474</v>
      </c>
      <c r="K276" s="162">
        <v>147.42913884643463</v>
      </c>
      <c r="L276"/>
      <c r="M276" s="10"/>
      <c r="N276" s="10">
        <f t="shared" si="35"/>
        <v>124245344.977238</v>
      </c>
      <c r="O276" s="297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6"/>
        <v>693.7</v>
      </c>
      <c r="I277" s="16">
        <f t="shared" si="37"/>
        <v>3066547.6947598262</v>
      </c>
      <c r="J277" s="174">
        <f t="shared" si="38"/>
        <v>49.019486081370474</v>
      </c>
      <c r="K277" s="162">
        <v>147.7087756277727</v>
      </c>
      <c r="L277"/>
      <c r="M277" s="10"/>
      <c r="N277" s="10">
        <f t="shared" si="35"/>
        <v>128726606.02976257</v>
      </c>
      <c r="O277" s="297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6"/>
        <v>693.7</v>
      </c>
      <c r="I278" s="16">
        <f t="shared" si="37"/>
        <v>3036002.9096026239</v>
      </c>
      <c r="J278" s="174">
        <f t="shared" si="38"/>
        <v>49.019486081370474</v>
      </c>
      <c r="K278" s="162">
        <v>147.9889428112422</v>
      </c>
      <c r="L278"/>
      <c r="M278" s="10"/>
      <c r="N278" s="10">
        <f t="shared" si="35"/>
        <v>121117081.95247072</v>
      </c>
      <c r="O278" s="297"/>
    </row>
    <row r="279" spans="2:15" x14ac:dyDescent="0.2">
      <c r="C279" s="173">
        <f>'Weather Analysis '!W12</f>
        <v>165.07270676691678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6"/>
        <v>693.7</v>
      </c>
      <c r="I279" s="16">
        <f t="shared" si="37"/>
        <v>3005458.1244454216</v>
      </c>
      <c r="J279" s="174">
        <f t="shared" si="38"/>
        <v>49.019486081370474</v>
      </c>
      <c r="K279" s="162">
        <v>148.26964140288536</v>
      </c>
      <c r="L279"/>
      <c r="M279" s="10"/>
      <c r="N279" s="10">
        <f t="shared" si="35"/>
        <v>123599178.65432572</v>
      </c>
      <c r="O279" s="297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6"/>
        <v>693.7</v>
      </c>
      <c r="I280" s="16">
        <f t="shared" si="37"/>
        <v>2974913.3392882193</v>
      </c>
      <c r="J280" s="174">
        <f t="shared" si="38"/>
        <v>49.019486081370474</v>
      </c>
      <c r="K280" s="162">
        <v>148.55087241065269</v>
      </c>
      <c r="L280"/>
      <c r="M280" s="10"/>
      <c r="N280" s="10">
        <f t="shared" si="35"/>
        <v>126235504.54724583</v>
      </c>
      <c r="O280" s="297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6"/>
        <v>693.7</v>
      </c>
      <c r="I281" s="16">
        <f t="shared" si="37"/>
        <v>2944368.5541310171</v>
      </c>
      <c r="J281" s="174">
        <f t="shared" si="38"/>
        <v>49.019486081370474</v>
      </c>
      <c r="K281" s="162">
        <v>148.83263684440649</v>
      </c>
      <c r="L281"/>
      <c r="M281" s="10"/>
      <c r="N281" s="10">
        <f t="shared" si="35"/>
        <v>138547282.43399975</v>
      </c>
      <c r="O281" s="297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6"/>
        <v>693.7</v>
      </c>
      <c r="I282" s="16">
        <f t="shared" si="37"/>
        <v>2913823.7689738148</v>
      </c>
      <c r="J282" s="174">
        <f t="shared" si="38"/>
        <v>49.019486081370474</v>
      </c>
      <c r="K282" s="162">
        <v>149.11493571592456</v>
      </c>
      <c r="L282"/>
      <c r="M282" s="10"/>
      <c r="N282" s="10">
        <f t="shared" si="35"/>
        <v>128674098.60234469</v>
      </c>
      <c r="O282" s="297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6"/>
        <v>693.7</v>
      </c>
      <c r="I283" s="16">
        <f t="shared" si="37"/>
        <v>2883278.9838166125</v>
      </c>
      <c r="J283" s="174">
        <f t="shared" si="38"/>
        <v>49.019486081370474</v>
      </c>
      <c r="K283" s="162">
        <v>149.39777003890373</v>
      </c>
      <c r="L283"/>
      <c r="M283" s="10"/>
      <c r="N283" s="10">
        <f t="shared" si="35"/>
        <v>121842112.39075768</v>
      </c>
      <c r="O283" s="297"/>
    </row>
    <row r="284" spans="2:15" x14ac:dyDescent="0.2">
      <c r="C284" s="173">
        <f>'Weather Analysis '!W17</f>
        <v>288.84977443609023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6"/>
        <v>693.7</v>
      </c>
      <c r="I284" s="16">
        <f t="shared" si="37"/>
        <v>2852734.1986594102</v>
      </c>
      <c r="J284" s="174">
        <f t="shared" si="38"/>
        <v>49.019486081370474</v>
      </c>
      <c r="K284" s="162">
        <v>149.68114082896363</v>
      </c>
      <c r="L284"/>
      <c r="M284" s="10"/>
      <c r="N284" s="10">
        <f t="shared" si="35"/>
        <v>126478209.55364928</v>
      </c>
      <c r="O284" s="297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6"/>
        <v>693.7</v>
      </c>
      <c r="I285" s="16">
        <f t="shared" si="37"/>
        <v>2822189.413502208</v>
      </c>
      <c r="J285" s="174">
        <f t="shared" si="38"/>
        <v>49.019486081370474</v>
      </c>
      <c r="K285" s="162">
        <v>149.96504910365024</v>
      </c>
      <c r="L285"/>
      <c r="M285" s="10"/>
      <c r="N285" s="10">
        <f t="shared" si="35"/>
        <v>122381619.35867605</v>
      </c>
      <c r="O285" s="297"/>
    </row>
    <row r="286" spans="2:15" x14ac:dyDescent="0.2">
      <c r="C286" s="173">
        <f>'Weather Analysis '!W19</f>
        <v>645.63368421052633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6"/>
        <v>693.7</v>
      </c>
      <c r="I286" s="16">
        <f t="shared" si="37"/>
        <v>2791644.6283450057</v>
      </c>
      <c r="J286" s="174">
        <f t="shared" si="38"/>
        <v>49.019486081370474</v>
      </c>
      <c r="K286" s="162">
        <v>150.24949588243965</v>
      </c>
      <c r="L286"/>
      <c r="M286" s="10"/>
      <c r="N286" s="10">
        <f t="shared" si="35"/>
        <v>133905133.19564113</v>
      </c>
      <c r="O286" s="53">
        <f>SUM(N275:N286)</f>
        <v>1531548084.321852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8" orientation="landscape" r:id="rId1"/>
  <headerFooter alignWithMargins="0">
    <oddFooter>&amp;L&amp;Z&amp;F</oddFooter>
  </headerFooter>
  <rowBreaks count="1" manualBreakCount="1">
    <brk id="9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C24" sqref="C24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165</v>
      </c>
      <c r="M2" s="184" t="s">
        <v>164</v>
      </c>
      <c r="N2" s="52" t="s">
        <v>83</v>
      </c>
      <c r="O2" s="52" t="s">
        <v>2</v>
      </c>
      <c r="P2" s="283" t="s">
        <v>222</v>
      </c>
      <c r="R2" s="283" t="s">
        <v>227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1161686409.2337322</v>
      </c>
      <c r="D7" s="38">
        <f>C7-B7</f>
        <v>34907816.233732224</v>
      </c>
      <c r="E7" s="5">
        <f>D7/B7</f>
        <v>3.0980191184491402E-2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1200484352.1881585</v>
      </c>
      <c r="D8" s="38">
        <f t="shared" ref="D8:D23" si="0">C8-B8</f>
        <v>-2337891.8118414879</v>
      </c>
      <c r="E8" s="5">
        <f t="shared" ref="E8:E23" si="1">D8/B8</f>
        <v>-1.9436719128728449E-3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1274039552.3470397</v>
      </c>
      <c r="D9" s="38">
        <f t="shared" si="0"/>
        <v>1488395.3470396996</v>
      </c>
      <c r="E9" s="5">
        <f t="shared" si="1"/>
        <v>1.1696153344031728E-3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1376209888.0144532</v>
      </c>
      <c r="D10" s="38">
        <f t="shared" si="0"/>
        <v>25394497.91445303</v>
      </c>
      <c r="E10" s="5">
        <f t="shared" si="1"/>
        <v>1.8799384505511954E-2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1379379307.8130035</v>
      </c>
      <c r="D11" s="38">
        <f t="shared" si="0"/>
        <v>-12794283.986996412</v>
      </c>
      <c r="E11" s="5">
        <f>D11/B11</f>
        <v>-9.1901498939181443E-3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1415398231.8241625</v>
      </c>
      <c r="D12" s="38">
        <f t="shared" si="0"/>
        <v>-5579498.1758375168</v>
      </c>
      <c r="E12" s="5">
        <f t="shared" si="1"/>
        <v>-3.9265204922229969E-3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1472169727.7710733</v>
      </c>
      <c r="D13" s="38">
        <f t="shared" si="0"/>
        <v>-46975028.228926659</v>
      </c>
      <c r="E13" s="5">
        <f t="shared" si="1"/>
        <v>-3.0922022436238893E-2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1503545264.2280295</v>
      </c>
      <c r="D14" s="38">
        <f t="shared" si="0"/>
        <v>-20172265.77197051</v>
      </c>
      <c r="E14" s="5">
        <f t="shared" si="1"/>
        <v>-1.3238848654560344E-2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1540996225.1877706</v>
      </c>
      <c r="D15" s="38">
        <f t="shared" si="0"/>
        <v>-29409704.812229395</v>
      </c>
      <c r="E15" s="5">
        <f t="shared" si="1"/>
        <v>-1.8727453997979614E-2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1632861923.8141685</v>
      </c>
      <c r="D16" s="38">
        <f t="shared" si="0"/>
        <v>-8126738.1858315468</v>
      </c>
      <c r="E16" s="5">
        <f t="shared" si="1"/>
        <v>-4.9523426785452991E-3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1630552137.8152494</v>
      </c>
      <c r="D17" s="38">
        <f t="shared" si="0"/>
        <v>31192093.815249443</v>
      </c>
      <c r="E17" s="5">
        <f t="shared" si="1"/>
        <v>1.9502859241899033E-2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f>470126973.536552-[11]Usage_!$K$3</f>
        <v>457225682.57655203</v>
      </c>
      <c r="K17" s="40">
        <f>278109293.968225-[11]Usage_!$K$5</f>
        <v>248250590.658225</v>
      </c>
      <c r="L17" s="40">
        <v>252101813.91</v>
      </c>
      <c r="M17" s="40">
        <f>[11]Usage_!$K$13</f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1623409147.6340034</v>
      </c>
      <c r="D18" s="38">
        <f t="shared" si="0"/>
        <v>14215224.634003401</v>
      </c>
      <c r="E18" s="5">
        <f t="shared" si="1"/>
        <v>8.833754857526516E-3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f>484236276.201269-[11]Usage_!$J$3</f>
        <v>471077396.07126898</v>
      </c>
      <c r="K18" s="40">
        <f>256451885.899981-[11]Usage_!$J$5</f>
        <v>226838923.199981</v>
      </c>
      <c r="L18" s="40">
        <v>252092348.47999129</v>
      </c>
      <c r="M18" s="40">
        <f>[11]Usage_!$J$13</f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1602109200.6277266</v>
      </c>
      <c r="D19" s="38">
        <f t="shared" si="0"/>
        <v>44585971.627726555</v>
      </c>
      <c r="E19" s="5">
        <f t="shared" si="1"/>
        <v>2.8626200108972214E-2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f>469318625.822253-[11]Usage_!$I$3</f>
        <v>456048382.432253</v>
      </c>
      <c r="K19" s="40">
        <f>249869850.91123-[11]Usage_!$I$5</f>
        <v>220203261.21123001</v>
      </c>
      <c r="L19" s="40">
        <v>230297755.10999835</v>
      </c>
      <c r="M19" s="40">
        <f>[11]Usage_!$I$13</f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1453060912.9809282</v>
      </c>
      <c r="D20" s="38">
        <f t="shared" si="0"/>
        <v>2706066.9809281826</v>
      </c>
      <c r="E20" s="5">
        <f t="shared" si="1"/>
        <v>1.8657964900047519E-3</v>
      </c>
      <c r="F20" s="24">
        <f t="shared" si="2"/>
        <v>1.025374190415405</v>
      </c>
      <c r="G20" s="27">
        <f>SUM(H20:P20)</f>
        <v>1414463967.9417174</v>
      </c>
      <c r="H20" s="89">
        <f>'[6]2009'!B$15</f>
        <v>379582713.77996522</v>
      </c>
      <c r="I20" s="89">
        <f>'[6]2009'!C$15</f>
        <v>160300294.19006816</v>
      </c>
      <c r="J20" s="89">
        <f>'[6]2009'!D$15-[11]Usage_!$H$3</f>
        <v>432461966.79929554</v>
      </c>
      <c r="K20" s="89">
        <f>'[6]2009'!E$15-[11]Usage_!$H$5</f>
        <v>193002685.32998714</v>
      </c>
      <c r="L20" s="89">
        <f>'[6]2009'!F$15</f>
        <v>180679078.79999399</v>
      </c>
      <c r="M20" s="89">
        <f>[11]Usage_!$H$13</f>
        <v>43206777.520000003</v>
      </c>
      <c r="N20" s="89">
        <f>'[6]2009'!G$15</f>
        <v>9470530.1599761229</v>
      </c>
      <c r="O20" s="89">
        <f>'[6]2009'!H$15</f>
        <v>2135656.9424311616</v>
      </c>
      <c r="P20" s="89">
        <f>'[6]2009'!$L$15</f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1485767545.4208729</v>
      </c>
      <c r="D21" s="38">
        <f t="shared" si="0"/>
        <v>-27398084.579127073</v>
      </c>
      <c r="E21" s="5">
        <f t="shared" si="1"/>
        <v>-1.8106467683334224E-2</v>
      </c>
      <c r="F21" s="24">
        <f t="shared" si="2"/>
        <v>1.0274097708961134</v>
      </c>
      <c r="G21" s="27">
        <f>SUM(H21:P21)</f>
        <v>1472796612.2808111</v>
      </c>
      <c r="H21" s="89">
        <f>'[6]2010'!B$15</f>
        <v>396266835.39498085</v>
      </c>
      <c r="I21" s="89">
        <f>'[6]2010'!C$15</f>
        <v>163479892.81864908</v>
      </c>
      <c r="J21" s="89">
        <f>'[6]2010'!D$15-[11]Usage_!$G$3</f>
        <v>426513755.5630784</v>
      </c>
      <c r="K21" s="89">
        <f>'[6]2010'!E$15-[11]Usage_!$G$5</f>
        <v>220917668.45862433</v>
      </c>
      <c r="L21" s="89">
        <f>'[6]2010'!F$15</f>
        <v>196557280.62270561</v>
      </c>
      <c r="M21" s="89">
        <f>[11]Usage_!$G$13</f>
        <v>43796746.469999999</v>
      </c>
      <c r="N21" s="89">
        <f>'[6]2010'!G$15</f>
        <v>9519205.9225450978</v>
      </c>
      <c r="O21" s="89">
        <f>'[6]2010'!H$15</f>
        <v>2130241.9105078499</v>
      </c>
      <c r="P21" s="89">
        <f>'[6]2010'!$L$15</f>
        <v>13614985.119719518</v>
      </c>
      <c r="R21" s="6">
        <f>P21/Summary!K68*Summary!K67</f>
        <v>36195843.353415474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1523559655.3013182</v>
      </c>
      <c r="D22" s="38">
        <f t="shared" si="0"/>
        <v>4120387.5913181305</v>
      </c>
      <c r="E22" s="5">
        <f t="shared" si="1"/>
        <v>2.7117816939982802E-3</v>
      </c>
      <c r="F22" s="24">
        <f t="shared" si="2"/>
        <v>1.0309529175845538</v>
      </c>
      <c r="G22" s="27">
        <f>SUM(H22:P22)</f>
        <v>1473820231.5484335</v>
      </c>
      <c r="H22" s="89">
        <f>'[6]2011_V2'!B$14</f>
        <v>396556720.36740744</v>
      </c>
      <c r="I22" s="89">
        <f>'[6]2011_V2'!C$14</f>
        <v>158322069.2436029</v>
      </c>
      <c r="J22" s="89">
        <f>'[6]2011_V2'!D$14-[11]Usage_!$F$3</f>
        <v>437159036.08214176</v>
      </c>
      <c r="K22" s="89">
        <f>'[6]2011_V2'!E$14-[11]Usage_!$F$5</f>
        <v>240767174.87713027</v>
      </c>
      <c r="L22" s="89">
        <f>'[6]2011_V2'!F$14-[11]Usage_!$F$4</f>
        <v>169195800.19186977</v>
      </c>
      <c r="M22" s="89">
        <f>[11]Usage_!$F$13</f>
        <v>46753740.940000005</v>
      </c>
      <c r="N22" s="89">
        <f>'[6]2011_V2'!G$14</f>
        <v>9519485.5138937458</v>
      </c>
      <c r="O22" s="89">
        <f>'[6]2011_V2'!H$14</f>
        <v>2067610.5874618385</v>
      </c>
      <c r="P22" s="89">
        <f>'[6]2011_V2'!$L$14</f>
        <v>13478593.744925424</v>
      </c>
      <c r="R22" s="6">
        <f>P22/Summary!L68*Summary!L67</f>
        <v>37787891.162206046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1520774377.6982965</v>
      </c>
      <c r="D23" s="38">
        <f t="shared" si="0"/>
        <v>-5816958.5917036533</v>
      </c>
      <c r="E23" s="5">
        <f t="shared" si="1"/>
        <v>-3.8104229032507948E-3</v>
      </c>
      <c r="F23" s="24">
        <f t="shared" si="2"/>
        <v>1.0224135643396406</v>
      </c>
      <c r="G23" s="27">
        <f>SUM(H23:P23)</f>
        <v>1493125081.2150555</v>
      </c>
      <c r="H23" s="89">
        <f>'[6]2012_V2'!B$15</f>
        <v>399587578.13183582</v>
      </c>
      <c r="I23" s="89">
        <f>'[6]2012_V2'!C$15</f>
        <v>158595034.3760052</v>
      </c>
      <c r="J23" s="89">
        <f>'[6]2012_V2'!D$15-[11]Usage_!$E$3</f>
        <v>437401279.48903602</v>
      </c>
      <c r="K23" s="89">
        <f>'[6]2012_V2'!E$15</f>
        <v>226229939.17028835</v>
      </c>
      <c r="L23" s="89">
        <f>'[6]2012_V2'!F$15-[11]Usage_!$E$4</f>
        <v>201189505.21250001</v>
      </c>
      <c r="M23" s="89">
        <f>[11]Usage_!$E$13</f>
        <v>45452655.189999998</v>
      </c>
      <c r="N23" s="89">
        <f>'[6]2012_V2'!G$15</f>
        <v>9645171.1912231408</v>
      </c>
      <c r="O23" s="89">
        <f>'[6]2012_V2'!H$15</f>
        <v>2015389.596745051</v>
      </c>
      <c r="P23" s="89">
        <f>'[6]2012_V2'!$L$15</f>
        <v>13008528.857421884</v>
      </c>
      <c r="R23" s="6">
        <f>P23/Summary!M68*Summary!M67</f>
        <v>31782231.496466905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1535615463.747263</v>
      </c>
      <c r="G24" s="20">
        <f>C24/F27</f>
        <v>1488721910.1631913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1534509481.9614129</v>
      </c>
      <c r="G25" s="20">
        <f>C25/F27</f>
        <v>1487649702.0774386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706685.75359590736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8639.3480086025338</v>
      </c>
      <c r="I42" s="27">
        <f>I20/'Rate Class Customer Model'!C13</f>
        <v>35304.546677693681</v>
      </c>
      <c r="J42" s="27">
        <f>J20/'Rate Class Customer Model'!D13</f>
        <v>624043.24213462556</v>
      </c>
      <c r="K42" s="27">
        <f>K20/'Rate Class Customer Model'!E13</f>
        <v>7283120.2011315897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760.10515349541492</v>
      </c>
      <c r="O42" s="27">
        <f>O20/'Rate Class Customer Model'!I13</f>
        <v>4288.4677558858666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8821.5143507970934</v>
      </c>
      <c r="I43" s="27">
        <f>I21/'Rate Class Customer Model'!C14</f>
        <v>35508.230412391196</v>
      </c>
      <c r="J43" s="27">
        <f>J21/'Rate Class Customer Model'!D14</f>
        <v>602420.55870491301</v>
      </c>
      <c r="K43" s="27">
        <f>K21/'Rate Class Customer Model'!E14</f>
        <v>8496833.4022547826</v>
      </c>
      <c r="L43" s="27">
        <f>L21/'Rate Class Customer Model'!F14</f>
        <v>98278640.311352804</v>
      </c>
      <c r="M43" s="27">
        <f>M21/'Rate Class Customer Model'!G14</f>
        <v>43796746.469999999</v>
      </c>
      <c r="N43" s="27">
        <f>N21/'Rate Class Customer Model'!H14</f>
        <v>757.9890848863397</v>
      </c>
      <c r="O43" s="27">
        <f>O21/'Rate Class Customer Model'!I14</f>
        <v>3963.2407637355345</v>
      </c>
      <c r="P43" s="27">
        <f>P21/'Rate Class Customer Model'!J14</f>
        <v>13614985.119719518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8662.131701650429</v>
      </c>
      <c r="I44" s="27">
        <f>I22/'Rate Class Customer Model'!C15</f>
        <v>34198.524515304656</v>
      </c>
      <c r="J44" s="27">
        <f>J22/'Rate Class Customer Model'!D15</f>
        <v>604228.10792279441</v>
      </c>
      <c r="K44" s="27">
        <f>K22/'Rate Class Customer Model'!E15</f>
        <v>8598827.6741832234</v>
      </c>
      <c r="L44" s="27">
        <f>L22/'Rate Class Customer Model'!F15</f>
        <v>84597900.095934883</v>
      </c>
      <c r="M44" s="27">
        <f>M22/'Rate Class Customer Model'!G15</f>
        <v>46753740.940000005</v>
      </c>
      <c r="N44" s="27">
        <f>N22/'Rate Class Customer Model'!H15</f>
        <v>754.10825158583168</v>
      </c>
      <c r="O44" s="27">
        <f>O22/'Rate Class Customer Model'!I15</f>
        <v>4018.6794702854004</v>
      </c>
      <c r="P44" s="27">
        <f>P22/'Rate Class Customer Model'!J15</f>
        <v>13478593.744925424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8633.477980961592</v>
      </c>
      <c r="I45" s="27">
        <f>I23/'Rate Class Customer Model'!C16</f>
        <v>34025.967469642826</v>
      </c>
      <c r="J45" s="27">
        <f>J23/'Rate Class Customer Model'!D16</f>
        <v>593891.75762258796</v>
      </c>
      <c r="K45" s="27">
        <f>K23/'Rate Class Customer Model'!E16</f>
        <v>8378886.6359366057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4108.8472920388404</v>
      </c>
      <c r="P45" s="27">
        <f>P23/'Rate Class Customer Model'!J16</f>
        <v>13008528.857421884</v>
      </c>
      <c r="S45" s="25"/>
    </row>
    <row r="46" spans="1:19" x14ac:dyDescent="0.2">
      <c r="A46">
        <v>2013</v>
      </c>
      <c r="H46" s="20">
        <f>H45*H64</f>
        <v>8569.1379285788425</v>
      </c>
      <c r="I46" s="20">
        <f t="shared" ref="I46:P46" si="5">I45*I64</f>
        <v>33767.807239866743</v>
      </c>
      <c r="J46" s="20">
        <f t="shared" si="5"/>
        <v>582953.36298319732</v>
      </c>
      <c r="K46" s="20">
        <f t="shared" si="5"/>
        <v>8287423.494096959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3878.4649435302435</v>
      </c>
      <c r="P46" s="20">
        <f t="shared" si="5"/>
        <v>12809530.880362736</v>
      </c>
    </row>
    <row r="47" spans="1:19" x14ac:dyDescent="0.2">
      <c r="A47">
        <v>2014</v>
      </c>
      <c r="H47" s="20">
        <f>H46*H64</f>
        <v>8505.2773634143068</v>
      </c>
      <c r="I47" s="20">
        <f t="shared" ref="I47:P47" si="6">I46*I64</f>
        <v>33511.605711317818</v>
      </c>
      <c r="J47" s="20">
        <f t="shared" si="6"/>
        <v>572216.43346897699</v>
      </c>
      <c r="K47" s="20">
        <f t="shared" si="6"/>
        <v>8196958.7553481599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3661.0000929795715</v>
      </c>
      <c r="P47" s="20">
        <f t="shared" si="6"/>
        <v>12613577.074962633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0.93787037114654703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0.99196570229545877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0.96876130065526067</v>
      </c>
      <c r="I59" s="25">
        <f t="shared" si="9"/>
        <v>0.92251033519881587</v>
      </c>
      <c r="J59" s="25">
        <f t="shared" si="9"/>
        <v>0.92980788741964182</v>
      </c>
      <c r="K59" s="25">
        <f t="shared" si="9"/>
        <v>0.92608694580625295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0.99472851365597759</v>
      </c>
      <c r="O59" s="25">
        <f t="shared" si="9"/>
        <v>0.92784767185692218</v>
      </c>
    </row>
    <row r="60" spans="1:18" x14ac:dyDescent="0.2">
      <c r="A60" s="91">
        <v>2010</v>
      </c>
      <c r="D60" s="6"/>
      <c r="H60" s="25">
        <f t="shared" ref="H60:P60" si="10">H43/H42</f>
        <v>1.0210856585489054</v>
      </c>
      <c r="I60" s="25">
        <f t="shared" si="10"/>
        <v>1.0057693343737566</v>
      </c>
      <c r="J60" s="25">
        <f t="shared" si="10"/>
        <v>0.9653506648742014</v>
      </c>
      <c r="K60" s="25">
        <f t="shared" si="10"/>
        <v>1.1666474213805529</v>
      </c>
      <c r="L60" s="25">
        <f t="shared" si="10"/>
        <v>1.0878806883905374</v>
      </c>
      <c r="M60" s="25">
        <f t="shared" si="10"/>
        <v>1.0136545464360749</v>
      </c>
      <c r="N60" s="99">
        <f t="shared" si="10"/>
        <v>0.99721608438076725</v>
      </c>
      <c r="O60" s="99">
        <f t="shared" si="10"/>
        <v>0.92416242568130258</v>
      </c>
      <c r="P60" s="99">
        <f t="shared" si="10"/>
        <v>0.99931891366796577</v>
      </c>
      <c r="R60" s="99"/>
    </row>
    <row r="61" spans="1:18" x14ac:dyDescent="0.2">
      <c r="A61" s="91">
        <v>2011</v>
      </c>
      <c r="D61" s="6"/>
      <c r="H61" s="25">
        <f>H44/H43</f>
        <v>0.98193250695871026</v>
      </c>
      <c r="I61" s="25">
        <f t="shared" ref="I61:P61" si="11">I44/I43</f>
        <v>0.96311542755367796</v>
      </c>
      <c r="J61" s="25">
        <f t="shared" si="11"/>
        <v>1.0030004773106802</v>
      </c>
      <c r="K61" s="25">
        <f t="shared" si="11"/>
        <v>1.0120037980150787</v>
      </c>
      <c r="L61" s="25">
        <f t="shared" si="11"/>
        <v>0.86079640324615303</v>
      </c>
      <c r="M61" s="25">
        <f t="shared" si="11"/>
        <v>1.0675163044822404</v>
      </c>
      <c r="N61" s="25">
        <f t="shared" si="11"/>
        <v>0.99488009342365402</v>
      </c>
      <c r="O61" s="25">
        <f t="shared" si="11"/>
        <v>1.0139882257613873</v>
      </c>
      <c r="P61" s="25">
        <f t="shared" si="11"/>
        <v>0.98998226045825433</v>
      </c>
      <c r="R61" s="25"/>
    </row>
    <row r="62" spans="1:18" x14ac:dyDescent="0.2">
      <c r="A62" s="91">
        <v>2012</v>
      </c>
      <c r="D62" s="6"/>
      <c r="H62" s="25">
        <f>H45/H44</f>
        <v>0.99669207053462627</v>
      </c>
      <c r="I62" s="25">
        <f t="shared" ref="I62:P62" si="12">I45/I44</f>
        <v>0.99495425466134935</v>
      </c>
      <c r="J62" s="25">
        <f t="shared" si="12"/>
        <v>0.98289329780479662</v>
      </c>
      <c r="K62" s="25">
        <f t="shared" si="12"/>
        <v>0.97442197395036068</v>
      </c>
      <c r="L62" s="25">
        <f t="shared" si="12"/>
        <v>1.1890927847165771</v>
      </c>
      <c r="M62" s="25">
        <f t="shared" si="12"/>
        <v>0.97217151560835069</v>
      </c>
      <c r="N62" s="25">
        <f t="shared" si="12"/>
        <v>1.0053582731702848</v>
      </c>
      <c r="O62" s="25">
        <f t="shared" si="12"/>
        <v>1.0224371767940568</v>
      </c>
      <c r="P62" s="25">
        <f t="shared" si="12"/>
        <v>0.96512507933696601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0.99241284674693209</v>
      </c>
      <c r="J64" s="25">
        <f t="shared" si="13"/>
        <v>0.98158183793764342</v>
      </c>
      <c r="K64" s="25">
        <f t="shared" si="13"/>
        <v>0.98908409364946337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0.94393017502622267</v>
      </c>
      <c r="P64" s="25">
        <f t="shared" si="13"/>
        <v>0.98470249947244326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0.99241284674693209</v>
      </c>
      <c r="J66" s="25">
        <f t="shared" si="14"/>
        <v>0.98158183793764342</v>
      </c>
      <c r="K66" s="25">
        <f t="shared" si="14"/>
        <v>0.98908409364946337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0.94393017502622267</v>
      </c>
      <c r="P66" s="25">
        <f t="shared" si="14"/>
        <v>0.98470249947244326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1503554186.1161785</v>
      </c>
      <c r="H69" s="6">
        <f>H46*'Rate Class Customer Model'!B17</f>
        <v>404278742.57322395</v>
      </c>
      <c r="I69" s="6">
        <f>I46*'Rate Class Customer Model'!C17</f>
        <v>158728313.9644298</v>
      </c>
      <c r="J69" s="6">
        <f>J46*'Rate Class Customer Model'!D17</f>
        <v>439729049.86487174</v>
      </c>
      <c r="K69" s="6">
        <f>K46*'Rate Class Customer Model'!E17</f>
        <v>225331454.26451677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1886385.4314845325</v>
      </c>
      <c r="P69" s="6">
        <f>P46*'Rate Class Customer Model'!J17</f>
        <v>12809530.880362736</v>
      </c>
    </row>
    <row r="70" spans="1:20" x14ac:dyDescent="0.2">
      <c r="A70" s="18">
        <v>2014</v>
      </c>
      <c r="G70" s="6">
        <f>SUM(H70:P70)</f>
        <v>1514150580.4617987</v>
      </c>
      <c r="H70" s="6">
        <f>H47*'Rate Class Customer Model'!B18</f>
        <v>409024981.35881215</v>
      </c>
      <c r="I70" s="6">
        <f>I47*'Rate Class Customer Model'!C18</f>
        <v>158861705.55792919</v>
      </c>
      <c r="J70" s="6">
        <f>J47*'Rate Class Customer Model'!D18</f>
        <v>442069208.21298075</v>
      </c>
      <c r="K70" s="6">
        <f>K47*'Rate Class Customer Model'!E18</f>
        <v>224436537.74199662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1765638.7637725973</v>
      </c>
      <c r="P70" s="6">
        <f>P47*'Rate Class Customer Model'!J18</f>
        <v>12613577.074962633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1488721910.1631913</v>
      </c>
      <c r="H73" s="6">
        <f>H69+H81-H85</f>
        <v>396735305.43328667</v>
      </c>
      <c r="I73" s="6">
        <f t="shared" ref="I73:O73" si="15">I69+I81-I85</f>
        <v>155766602.32186913</v>
      </c>
      <c r="J73" s="6">
        <f t="shared" si="15"/>
        <v>434024249.60020995</v>
      </c>
      <c r="K73" s="6">
        <f t="shared" si="15"/>
        <v>223644135.33006588</v>
      </c>
      <c r="L73" s="6">
        <f t="shared" si="15"/>
        <v>204689690.02683136</v>
      </c>
      <c r="M73" s="6">
        <f t="shared" si="15"/>
        <v>45803036.247554295</v>
      </c>
      <c r="N73" s="6">
        <f t="shared" si="15"/>
        <v>9647105.4435774609</v>
      </c>
      <c r="O73" s="6">
        <f t="shared" si="15"/>
        <v>1881677.4198933209</v>
      </c>
      <c r="P73" s="6">
        <f>P69+P81-P85+P89</f>
        <v>44105573.673745506</v>
      </c>
      <c r="Q73" s="6">
        <f>SUM(H73:P73)</f>
        <v>1516297375.4970336</v>
      </c>
      <c r="R73" s="6">
        <f>G73-Q73</f>
        <v>-27575465.333842278</v>
      </c>
      <c r="S73" s="6">
        <f>P89</f>
        <v>31296042.793382771</v>
      </c>
      <c r="T73" s="6">
        <f>R73+S73</f>
        <v>3720577.4595404938</v>
      </c>
    </row>
    <row r="74" spans="1:20" x14ac:dyDescent="0.2">
      <c r="A74" s="18">
        <v>2014</v>
      </c>
      <c r="G74" s="20">
        <f>G25</f>
        <v>1487649702.0774386</v>
      </c>
      <c r="H74" s="6">
        <f>H70+H82-H86</f>
        <v>395264057.09320611</v>
      </c>
      <c r="I74" s="6">
        <f t="shared" ref="I74:O74" si="16">I70+I82-I86</f>
        <v>153517083.59468055</v>
      </c>
      <c r="J74" s="6">
        <f t="shared" si="16"/>
        <v>431657534.28491879</v>
      </c>
      <c r="K74" s="6">
        <f t="shared" si="16"/>
        <v>221335610.80707443</v>
      </c>
      <c r="L74" s="6">
        <f t="shared" si="16"/>
        <v>208256974.32055795</v>
      </c>
      <c r="M74" s="6">
        <f t="shared" si="16"/>
        <v>46157493.587914743</v>
      </c>
      <c r="N74" s="6">
        <f t="shared" si="16"/>
        <v>9649327.5931708179</v>
      </c>
      <c r="O74" s="6">
        <f t="shared" si="16"/>
        <v>1756888.8018717372</v>
      </c>
      <c r="P74" s="6">
        <f>P70+P82-P86+P90</f>
        <v>43430868.637203194</v>
      </c>
      <c r="Q74" s="6">
        <f>SUM(H74:P74)</f>
        <v>1511025838.7205987</v>
      </c>
      <c r="R74" s="6">
        <f>G74-Q74</f>
        <v>-23376136.643160105</v>
      </c>
      <c r="S74" s="6">
        <f>P90</f>
        <v>30817291.56224056</v>
      </c>
      <c r="T74" s="6">
        <f>R74+S74</f>
        <v>7441154.9190804549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-14832275.952987194</v>
      </c>
      <c r="H77" s="6">
        <f t="shared" ref="H77:P78" si="17">H69*H$76</f>
        <v>299076057.27141964</v>
      </c>
      <c r="I77" s="6">
        <f t="shared" si="17"/>
        <v>117423533.11891848</v>
      </c>
      <c r="J77" s="6">
        <f t="shared" si="17"/>
        <v>210873698.4479385</v>
      </c>
      <c r="K77" s="6">
        <f t="shared" si="17"/>
        <v>51487570.514172621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678860859.3524493</v>
      </c>
    </row>
    <row r="78" spans="1:20" x14ac:dyDescent="0.2">
      <c r="A78" s="18">
        <v>2014</v>
      </c>
      <c r="G78" s="6">
        <f>G74-G70</f>
        <v>-26500878.384360075</v>
      </c>
      <c r="H78" s="6">
        <f t="shared" si="17"/>
        <v>302587214.87972575</v>
      </c>
      <c r="I78" s="6">
        <f t="shared" si="17"/>
        <v>117522213.13262147</v>
      </c>
      <c r="J78" s="6">
        <f t="shared" si="17"/>
        <v>211995930.07209709</v>
      </c>
      <c r="K78" s="6">
        <f t="shared" si="17"/>
        <v>51283084.736951903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683388442.82139623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-6534444.5054800818</v>
      </c>
      <c r="I81" s="6">
        <f t="shared" ref="I81:P81" si="18">I77/$Q$77*$G$77</f>
        <v>-2565559.9709428824</v>
      </c>
      <c r="J81" s="6">
        <f t="shared" si="18"/>
        <v>-4607331.3014250249</v>
      </c>
      <c r="K81" s="6">
        <f t="shared" si="18"/>
        <v>-1124940.1751392044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-14832275.952987192</v>
      </c>
    </row>
    <row r="82" spans="1:17" x14ac:dyDescent="0.2">
      <c r="A82" s="18">
        <v>2014</v>
      </c>
      <c r="G82" s="26"/>
      <c r="H82" s="6">
        <f>H78/$Q$78*$G$78</f>
        <v>-11733922.436680077</v>
      </c>
      <c r="I82" s="6">
        <f t="shared" ref="I82:P82" si="19">I78/$Q$78*$G$78</f>
        <v>-4557352.2795181451</v>
      </c>
      <c r="J82" s="6">
        <f t="shared" si="19"/>
        <v>-8220915.0883873431</v>
      </c>
      <c r="K82" s="6">
        <f t="shared" si="19"/>
        <v>-1988688.5797745076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-26500878.384360071</v>
      </c>
    </row>
    <row r="83" spans="1:17" x14ac:dyDescent="0.2">
      <c r="G83" s="26"/>
    </row>
    <row r="84" spans="1:17" x14ac:dyDescent="0.2">
      <c r="A84" s="176" t="s">
        <v>163</v>
      </c>
    </row>
    <row r="85" spans="1:17" x14ac:dyDescent="0.2">
      <c r="A85" s="18">
        <v>2013</v>
      </c>
      <c r="G85" s="6">
        <f>'CDM Activity'!R13*0.5+'CDM Activity'!R14*0.5</f>
        <v>3720577.4595404835</v>
      </c>
      <c r="H85" s="6">
        <f>$G$85*H69/($G$69-$P$69)</f>
        <v>1008992.6344571535</v>
      </c>
      <c r="I85" s="6">
        <f t="shared" ref="I85:O85" si="20">$G$85*I69/($G$69-$P$69)</f>
        <v>396151.67161776859</v>
      </c>
      <c r="J85" s="6">
        <f t="shared" si="20"/>
        <v>1097468.963236762</v>
      </c>
      <c r="K85" s="6">
        <f t="shared" si="20"/>
        <v>562378.7593116815</v>
      </c>
      <c r="L85" s="6">
        <f t="shared" si="20"/>
        <v>512139.55328350473</v>
      </c>
      <c r="M85" s="6">
        <f t="shared" si="20"/>
        <v>114600.5278515774</v>
      </c>
      <c r="N85" s="6">
        <f t="shared" si="20"/>
        <v>24137.338190824317</v>
      </c>
      <c r="O85" s="6">
        <f t="shared" si="20"/>
        <v>4708.0115912115598</v>
      </c>
      <c r="Q85" s="6">
        <f>SUM(H85:P85)</f>
        <v>3720577.4595404835</v>
      </c>
    </row>
    <row r="86" spans="1:17" x14ac:dyDescent="0.2">
      <c r="A86" s="18">
        <v>2014</v>
      </c>
      <c r="G86" s="6">
        <f>'CDM Activity'!S13*0.5+'CDM Activity'!S14+'CDM Activity'!S15*0.5</f>
        <v>7441154.9190809671</v>
      </c>
      <c r="H86" s="6">
        <f>$G$86*H70/($G$70-$P$70)</f>
        <v>2027001.8289259626</v>
      </c>
      <c r="I86" s="6">
        <f t="shared" ref="I86:O86" si="21">$G$86*I70/($G$70-$P$70)</f>
        <v>787269.68373048655</v>
      </c>
      <c r="J86" s="6">
        <f t="shared" si="21"/>
        <v>2190758.8396746195</v>
      </c>
      <c r="K86" s="6">
        <f t="shared" si="21"/>
        <v>1112238.3551476856</v>
      </c>
      <c r="L86" s="6">
        <f t="shared" si="21"/>
        <v>1037197.4532206745</v>
      </c>
      <c r="M86" s="6">
        <f t="shared" si="21"/>
        <v>229881.54395609547</v>
      </c>
      <c r="N86" s="6">
        <f t="shared" si="21"/>
        <v>48057.252524583491</v>
      </c>
      <c r="O86" s="6">
        <f t="shared" si="21"/>
        <v>8749.9619008601276</v>
      </c>
      <c r="Q86" s="6">
        <f>SUM(H86:P86)</f>
        <v>7441154.919080968</v>
      </c>
    </row>
    <row r="88" spans="1:17" x14ac:dyDescent="0.2">
      <c r="A88" s="176" t="s">
        <v>223</v>
      </c>
    </row>
    <row r="89" spans="1:17" x14ac:dyDescent="0.2">
      <c r="A89" s="18">
        <v>2013</v>
      </c>
      <c r="G89" s="6">
        <f>G69+P89</f>
        <v>1534850228.9095614</v>
      </c>
      <c r="P89" s="6">
        <f>R23*P66</f>
        <v>31296042.793382771</v>
      </c>
    </row>
    <row r="90" spans="1:17" x14ac:dyDescent="0.2">
      <c r="A90" s="18">
        <v>2014</v>
      </c>
      <c r="G90" s="6">
        <f>G73+P89</f>
        <v>1520017952.9565742</v>
      </c>
      <c r="P90" s="6">
        <f>P89*P66</f>
        <v>30817291.56224056</v>
      </c>
    </row>
    <row r="91" spans="1:17" x14ac:dyDescent="0.2">
      <c r="G91" s="6">
        <f>G89-G90</f>
        <v>14832275.952987194</v>
      </c>
    </row>
  </sheetData>
  <phoneticPr fontId="0" type="noConversion"/>
  <pageMargins left="0.38" right="0.75" top="0.73" bottom="0.74" header="0.5" footer="0.5"/>
  <pageSetup scale="48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37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164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222</v>
      </c>
      <c r="K2" s="282" t="s">
        <v>228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f>[12]Sheet1!$E$16</f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f>'[13]# of Customers'!B$2</f>
        <v>45526</v>
      </c>
      <c r="C60" s="95">
        <f>'[13]# of Customers'!C$2</f>
        <v>4627</v>
      </c>
      <c r="D60" s="95">
        <f>'[13]# of Customers'!D$2</f>
        <v>707</v>
      </c>
      <c r="E60" s="95">
        <f>'[13]# of Customers'!E$2</f>
        <v>27</v>
      </c>
      <c r="F60" s="95">
        <f>'[13]# of Customers'!F$2</f>
        <v>2</v>
      </c>
      <c r="G60" s="95">
        <v>1</v>
      </c>
      <c r="H60" s="95">
        <f>'[13]# of Customers'!G$2</f>
        <v>12591</v>
      </c>
      <c r="I60" s="95">
        <f>'[13]# of Customers'!H$2</f>
        <v>537</v>
      </c>
      <c r="J60" s="89">
        <f>'[13]# of Customers'!$I$2</f>
        <v>2</v>
      </c>
      <c r="K60" s="89"/>
    </row>
    <row r="61" spans="1:11" x14ac:dyDescent="0.2">
      <c r="A61" s="4">
        <v>2011</v>
      </c>
      <c r="B61" s="89">
        <f>'[13]# of Customers'!B$3</f>
        <v>46035</v>
      </c>
      <c r="C61" s="89">
        <f>'[13]# of Customers'!C$3</f>
        <v>4632</v>
      </c>
      <c r="D61" s="89">
        <f>'[13]# of Customers'!D$3</f>
        <v>740</v>
      </c>
      <c r="E61" s="89">
        <f>'[13]# of Customers'!E$3</f>
        <v>29</v>
      </c>
      <c r="F61" s="89">
        <f>'[13]# of Customers'!F$3-1</f>
        <v>2</v>
      </c>
      <c r="G61" s="89">
        <v>1</v>
      </c>
      <c r="H61" s="89">
        <f>'[13]# of Customers'!G$3</f>
        <v>12656</v>
      </c>
      <c r="I61" s="89">
        <f>'[13]# of Customers'!H$3</f>
        <v>492</v>
      </c>
      <c r="J61" s="89">
        <f>'[13]# of Customers'!$I$3</f>
        <v>2</v>
      </c>
      <c r="K61" s="89"/>
    </row>
    <row r="62" spans="1:11" x14ac:dyDescent="0.2">
      <c r="A62" s="4">
        <v>2012</v>
      </c>
      <c r="B62" s="89">
        <f>'[13]# of Customers'!B$4</f>
        <v>46532</v>
      </c>
      <c r="C62" s="89">
        <f>'[13]# of Customers'!C$4</f>
        <v>4690</v>
      </c>
      <c r="D62" s="89">
        <f>'[13]# of Customers'!D$4</f>
        <v>733</v>
      </c>
      <c r="E62" s="89">
        <f>'[13]# of Customers'!E$4</f>
        <v>25</v>
      </c>
      <c r="F62" s="89">
        <f>'[13]# of Customers'!F$4-1</f>
        <v>2</v>
      </c>
      <c r="G62" s="89">
        <v>1</v>
      </c>
      <c r="H62" s="89">
        <f>'[13]# of Customers'!G$4</f>
        <v>12788</v>
      </c>
      <c r="I62" s="89">
        <f>'[13]# of Customers'!H$4</f>
        <v>489</v>
      </c>
      <c r="J62" s="89">
        <f>'[13]# of Customers'!$I$4</f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96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L29" sqref="L29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164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f>[11]Demand_billed!$L$26</f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f>[11]Demand_billed!$K$26</f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f>[11]Demand_billed!$J$26</f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f>'[6]2009'!B$31</f>
        <v>1337289.374367215</v>
      </c>
      <c r="C12" s="100">
        <f>'[6]2009'!C$31</f>
        <v>530195.33860000013</v>
      </c>
      <c r="D12" s="100">
        <f>'[6]2009'!D$31</f>
        <v>411895.9939</v>
      </c>
      <c r="E12" s="100">
        <f>[11]Demand_billed!$I$26</f>
        <v>73037.789999999994</v>
      </c>
      <c r="F12" s="100">
        <f>'[6]2009'!E$31</f>
        <v>26450.66</v>
      </c>
      <c r="G12" s="100">
        <f>'[6]2009'!$F$31+'[6]2009'!$G$31</f>
        <v>107590.9891359524</v>
      </c>
      <c r="H12" s="6">
        <f t="shared" ref="H12:H17" si="1">SUM(B12:G12)</f>
        <v>2486460.1460031676</v>
      </c>
    </row>
    <row r="13" spans="1:9" x14ac:dyDescent="0.2">
      <c r="A13" s="30">
        <v>2010</v>
      </c>
      <c r="B13" s="100">
        <f>'[6]2010'!B$32</f>
        <v>1294863.0522035467</v>
      </c>
      <c r="C13" s="100">
        <f>'[6]2010'!C$32</f>
        <v>570059.7252000001</v>
      </c>
      <c r="D13" s="100">
        <f>'[6]2010'!D$32</f>
        <v>421436.3223</v>
      </c>
      <c r="E13" s="100">
        <f>[11]Demand_billed!$H$26</f>
        <v>75928.2</v>
      </c>
      <c r="F13" s="100">
        <f>'[6]2010'!E$32</f>
        <v>26613.739999999998</v>
      </c>
      <c r="G13" s="100">
        <f>'[6]2010'!$F$32+'[6]2010'!$G$32</f>
        <v>101371.27183867896</v>
      </c>
      <c r="H13" s="6">
        <f t="shared" si="1"/>
        <v>2490272.3115422265</v>
      </c>
    </row>
    <row r="14" spans="1:9" x14ac:dyDescent="0.2">
      <c r="A14" s="30">
        <v>2011</v>
      </c>
      <c r="B14" s="100">
        <f>'[6]2011_V2'!B$34</f>
        <v>1331831.0365679159</v>
      </c>
      <c r="C14" s="100">
        <f>'[6]2011_V2'!C$34</f>
        <v>582382.60674197262</v>
      </c>
      <c r="D14" s="100">
        <f>'[6]2011_V2'!D$34</f>
        <v>431698.85844270035</v>
      </c>
      <c r="E14" s="100">
        <f>[11]Demand_billed!$G$26</f>
        <v>81847.960000000006</v>
      </c>
      <c r="F14" s="100">
        <f>'[6]2011_V2'!E$34</f>
        <v>26604.027249875653</v>
      </c>
      <c r="G14" s="100">
        <f>'[6]2011_V2'!$F$34+'[6]2011_V2'!$G$34</f>
        <v>107151.21353000897</v>
      </c>
      <c r="H14" s="6">
        <f t="shared" si="1"/>
        <v>2561515.7025324735</v>
      </c>
    </row>
    <row r="15" spans="1:9" x14ac:dyDescent="0.2">
      <c r="A15" s="30">
        <v>2012</v>
      </c>
      <c r="B15" s="100">
        <f>'[6]2012_V2'!B$32</f>
        <v>1350651.4097994231</v>
      </c>
      <c r="C15" s="100">
        <f>'[6]2012_V2'!C$32</f>
        <v>527946.7194752692</v>
      </c>
      <c r="D15" s="100">
        <f>'[6]2012_V2'!D$32</f>
        <v>483777.43670654291</v>
      </c>
      <c r="E15" s="100">
        <f>[11]Demand_billed!$F$26</f>
        <v>81650.759999999995</v>
      </c>
      <c r="F15" s="100">
        <f>'[6]2012_V2'!E$32</f>
        <v>26876.159901697181</v>
      </c>
      <c r="G15" s="100">
        <f>'[6]2012_V2'!$F$32+'[6]2012_V2'!$G$32</f>
        <v>100035.04633331299</v>
      </c>
      <c r="H15" s="6">
        <f t="shared" si="1"/>
        <v>2570937.5322162453</v>
      </c>
      <c r="I15" s="109"/>
    </row>
    <row r="16" spans="1:9" x14ac:dyDescent="0.2">
      <c r="A16" s="30">
        <v>2013</v>
      </c>
      <c r="B16" s="31">
        <f>B35*'Rate Class Energy Model'!J73</f>
        <v>1233395.7067435158</v>
      </c>
      <c r="C16" s="31">
        <f>C35*'Rate Class Energy Model'!K73</f>
        <v>531983.39869071601</v>
      </c>
      <c r="D16" s="31">
        <f>D35*'Rate Class Energy Model'!L73</f>
        <v>424120.23888764903</v>
      </c>
      <c r="E16" s="31">
        <f>E35*'Rate Class Energy Model'!M73</f>
        <v>79052.686123715452</v>
      </c>
      <c r="F16" s="31">
        <f>F35*'Rate Class Energy Model'!N73</f>
        <v>25892.100735152428</v>
      </c>
      <c r="G16" s="31">
        <f>G35*'Rate Class Energy Model'!P73</f>
        <v>91971.308330616273</v>
      </c>
      <c r="H16" s="6">
        <f t="shared" si="1"/>
        <v>2386415.4395113653</v>
      </c>
    </row>
    <row r="17" spans="1:9" x14ac:dyDescent="0.2">
      <c r="A17" s="30">
        <v>2014</v>
      </c>
      <c r="B17" s="31">
        <f>B35*'Rate Class Energy Model'!J74</f>
        <v>1226670.0537145592</v>
      </c>
      <c r="C17" s="31">
        <f>C35*'Rate Class Energy Model'!K74</f>
        <v>526492.10011546221</v>
      </c>
      <c r="D17" s="31">
        <f>D35*'Rate Class Energy Model'!L74</f>
        <v>431511.70773318375</v>
      </c>
      <c r="E17" s="31">
        <f>E35*'Rate Class Energy Model'!M74</f>
        <v>79664.453534074797</v>
      </c>
      <c r="F17" s="31">
        <f>F35*'Rate Class Energy Model'!N74</f>
        <v>25898.064816446684</v>
      </c>
      <c r="G17" s="31">
        <f>G35*'Rate Class Energy Model'!P74</f>
        <v>90564.377192908592</v>
      </c>
      <c r="H17" s="6">
        <f t="shared" si="1"/>
        <v>2380800.7571066348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2.7986266930352484E-3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3.0922704816441059E-3</v>
      </c>
      <c r="C30" s="28">
        <f>C12/'Rate Class Energy Model'!K20</f>
        <v>2.7470878847799265E-3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2.7929439591232647E-3</v>
      </c>
      <c r="G30" s="28">
        <f>G12/('Rate Class Energy Model'!P20+'Rate Class Energy Model'!R20)</f>
        <v>1.982420537900864E-3</v>
      </c>
      <c r="I30" s="28"/>
    </row>
    <row r="31" spans="1:9" x14ac:dyDescent="0.2">
      <c r="A31" s="4">
        <v>2010</v>
      </c>
      <c r="B31" s="28">
        <f>B13/'Rate Class Energy Model'!J21</f>
        <v>3.0359233091886658E-3</v>
      </c>
      <c r="C31" s="28">
        <f>C13/'Rate Class Energy Model'!K21</f>
        <v>2.580417081066409E-3</v>
      </c>
      <c r="D31" s="28">
        <f>D13/'Rate Class Energy Model'!L21</f>
        <v>2.1440890969027641E-3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2.0351251915705962E-3</v>
      </c>
      <c r="I31" s="28"/>
    </row>
    <row r="32" spans="1:9" x14ac:dyDescent="0.2">
      <c r="A32" s="4">
        <v>2011</v>
      </c>
      <c r="B32" s="28">
        <f>B14/'Rate Class Energy Model'!J22</f>
        <v>3.0465595507390272E-3</v>
      </c>
      <c r="C32" s="28">
        <f>C14/'Rate Class Energy Model'!K22</f>
        <v>2.4188621519489837E-3</v>
      </c>
      <c r="D32" s="28">
        <f>D14/'Rate Class Energy Model'!L22</f>
        <v>2.5514750245168583E-3</v>
      </c>
      <c r="E32" s="28">
        <f>E14/'Rate Class Energy Model'!M22</f>
        <v>1.7506184180007564E-3</v>
      </c>
      <c r="F32" s="28">
        <f>F14/'Rate Class Energy Model'!N22</f>
        <v>2.7946917100768647E-3</v>
      </c>
      <c r="G32" s="28">
        <f>G14/('Rate Class Energy Model'!P22+'Rate Class Energy Model'!R22)</f>
        <v>2.0900830966685529E-3</v>
      </c>
      <c r="I32" s="28"/>
    </row>
    <row r="33" spans="1:9" x14ac:dyDescent="0.2">
      <c r="A33" s="4">
        <v>2012</v>
      </c>
      <c r="B33" s="28">
        <f>B15/'Rate Class Energy Model'!J23</f>
        <v>3.0878999974056518E-3</v>
      </c>
      <c r="C33" s="28">
        <f>C15/'Rate Class Energy Model'!K23</f>
        <v>2.3336730824025545E-3</v>
      </c>
      <c r="D33" s="28">
        <f>D15/'Rate Class Energy Model'!L23</f>
        <v>2.4045858465408937E-3</v>
      </c>
      <c r="E33" s="28">
        <f>E15/'Rate Class Energy Model'!M23</f>
        <v>1.796391424410425E-3</v>
      </c>
      <c r="F33" s="28">
        <f>F15/'Rate Class Energy Model'!N23</f>
        <v>2.786488634453041E-3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28">
        <f t="shared" ref="B35:G35" si="2">AVERAGE(B24:B33)</f>
        <v>2.8417668088352803E-3</v>
      </c>
      <c r="C35" s="28">
        <f t="shared" si="2"/>
        <v>2.3787048916153633E-3</v>
      </c>
      <c r="D35" s="28">
        <f t="shared" si="2"/>
        <v>2.072015639048816E-3</v>
      </c>
      <c r="E35" s="28">
        <f t="shared" si="2"/>
        <v>1.7259267638165922E-3</v>
      </c>
      <c r="F35" s="28">
        <f t="shared" si="2"/>
        <v>2.6839243010855691E-3</v>
      </c>
      <c r="G35" s="28">
        <f t="shared" si="2"/>
        <v>2.08525364641983E-3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topLeftCell="E1" zoomScaleNormal="100" workbookViewId="0">
      <selection activeCell="F11" sqref="F11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51" x14ac:dyDescent="0.2">
      <c r="B1" s="105" t="s">
        <v>110</v>
      </c>
      <c r="C1" s="105" t="s">
        <v>111</v>
      </c>
      <c r="D1" s="105" t="s">
        <v>112</v>
      </c>
      <c r="E1" s="105" t="s">
        <v>113</v>
      </c>
      <c r="F1" s="105" t="s">
        <v>114</v>
      </c>
      <c r="G1" s="105" t="s">
        <v>115</v>
      </c>
      <c r="P1" s="437" t="s">
        <v>116</v>
      </c>
      <c r="Q1" s="437"/>
      <c r="R1" s="437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38" t="s">
        <v>23</v>
      </c>
      <c r="K2" s="438"/>
      <c r="M2" s="74" t="s">
        <v>117</v>
      </c>
      <c r="N2" s="74">
        <v>1</v>
      </c>
      <c r="P2" s="439">
        <v>73660000</v>
      </c>
      <c r="Q2" s="439"/>
      <c r="R2" s="439"/>
    </row>
    <row r="3" spans="1:21" ht="13.5" thickBot="1" x14ac:dyDescent="0.25">
      <c r="A3">
        <v>2006</v>
      </c>
      <c r="B3" s="165">
        <v>4080568.0364742391</v>
      </c>
      <c r="C3" s="165">
        <v>3653791.7195841358</v>
      </c>
      <c r="D3" s="67">
        <f>B3-C3</f>
        <v>426776.31689010328</v>
      </c>
      <c r="E3" s="114">
        <f>D3/C3</f>
        <v>0.11680367947702222</v>
      </c>
      <c r="F3" s="113">
        <f>C3</f>
        <v>3653791.7195841358</v>
      </c>
      <c r="G3" s="113">
        <f>F3</f>
        <v>3653791.7195841358</v>
      </c>
      <c r="H3" s="113">
        <f t="shared" si="0"/>
        <v>46843.483584411995</v>
      </c>
      <c r="J3" s="115">
        <f>G27</f>
        <v>3653791.7195841353</v>
      </c>
      <c r="K3" s="115">
        <f t="shared" ref="K3:K11" si="1">F3-J3</f>
        <v>0</v>
      </c>
      <c r="M3" s="74" t="s">
        <v>118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6210683.4403872015</v>
      </c>
      <c r="D4" s="67">
        <f t="shared" ref="D4:D11" si="2">B4-C4</f>
        <v>5642814.3170065945</v>
      </c>
      <c r="E4" s="114">
        <f t="shared" ref="E4:E12" si="3">D4/C4</f>
        <v>0.90856575949631668</v>
      </c>
      <c r="F4" s="113">
        <f>C4</f>
        <v>6210683.4403872015</v>
      </c>
      <c r="G4" s="113">
        <f>F4-H27</f>
        <v>-534778.19576812722</v>
      </c>
      <c r="H4" s="113">
        <f t="shared" si="0"/>
        <v>-6856.1307149759896</v>
      </c>
      <c r="J4" s="115">
        <f>G39</f>
        <v>6210683.4403872015</v>
      </c>
      <c r="K4" s="115">
        <f t="shared" si="1"/>
        <v>0</v>
      </c>
      <c r="M4" s="74" t="s">
        <v>119</v>
      </c>
      <c r="N4" s="74">
        <v>3</v>
      </c>
      <c r="P4" s="440" t="s">
        <v>120</v>
      </c>
      <c r="Q4" s="441"/>
      <c r="R4" s="441"/>
      <c r="S4" s="441"/>
      <c r="T4" s="442"/>
    </row>
    <row r="5" spans="1:21" x14ac:dyDescent="0.2">
      <c r="A5">
        <v>2008</v>
      </c>
      <c r="B5" s="165">
        <v>13371884.135300633</v>
      </c>
      <c r="C5" s="165">
        <v>8702391.973049026</v>
      </c>
      <c r="D5" s="67">
        <f t="shared" si="2"/>
        <v>4669492.1622516066</v>
      </c>
      <c r="E5" s="114">
        <f t="shared" si="3"/>
        <v>0.53657571121972492</v>
      </c>
      <c r="F5" s="113">
        <f>C5</f>
        <v>8702391.973049026</v>
      </c>
      <c r="G5" s="113">
        <f>F5-H39</f>
        <v>2944213.1598502407</v>
      </c>
      <c r="H5" s="113">
        <f t="shared" si="0"/>
        <v>37746.32256218257</v>
      </c>
      <c r="J5" s="115">
        <f>G51</f>
        <v>8702391.973049026</v>
      </c>
      <c r="K5" s="115">
        <f t="shared" si="1"/>
        <v>0</v>
      </c>
      <c r="M5" s="74" t="s">
        <v>121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14593270.086206168</v>
      </c>
      <c r="D6" s="67">
        <f t="shared" si="2"/>
        <v>6611001.6533800885</v>
      </c>
      <c r="E6" s="114">
        <f t="shared" si="3"/>
        <v>0.45301715203838588</v>
      </c>
      <c r="F6" s="113">
        <f>C6</f>
        <v>14593270.086206168</v>
      </c>
      <c r="G6" s="113">
        <f>F6-H51</f>
        <v>3399620.8240530938</v>
      </c>
      <c r="H6" s="113">
        <f t="shared" si="0"/>
        <v>43584.88235965505</v>
      </c>
      <c r="J6" s="115">
        <f>G63</f>
        <v>14593270.086206172</v>
      </c>
      <c r="K6" s="115">
        <f t="shared" si="1"/>
        <v>0</v>
      </c>
      <c r="M6" s="74" t="s">
        <v>122</v>
      </c>
      <c r="N6" s="74">
        <v>5</v>
      </c>
      <c r="P6" s="118">
        <f>P12/$P$2</f>
        <v>0.17491056004878902</v>
      </c>
      <c r="Q6" s="119">
        <f>Q12/$P$2</f>
        <v>0.17438210722500408</v>
      </c>
      <c r="R6" s="119">
        <f>R12/$P$2</f>
        <v>0.17435117565324193</v>
      </c>
      <c r="S6" s="119">
        <f>S12/$P$2</f>
        <v>0.17329527250545343</v>
      </c>
      <c r="T6" s="120">
        <f>SUM(P6:S6)</f>
        <v>0.69693911543248843</v>
      </c>
    </row>
    <row r="7" spans="1:21" x14ac:dyDescent="0.2">
      <c r="A7">
        <v>2010</v>
      </c>
      <c r="B7" s="165">
        <v>35333845.644771695</v>
      </c>
      <c r="C7" s="165">
        <v>21799853.131231893</v>
      </c>
      <c r="D7" s="67">
        <f t="shared" si="2"/>
        <v>13533992.513539802</v>
      </c>
      <c r="E7" s="114">
        <f t="shared" si="3"/>
        <v>0.6208295272480584</v>
      </c>
      <c r="F7" s="113">
        <f>C7</f>
        <v>21799853.131231893</v>
      </c>
      <c r="G7" s="113">
        <f>F7-H63</f>
        <v>4329980.8092884831</v>
      </c>
      <c r="H7" s="113">
        <f t="shared" si="0"/>
        <v>55512.574478057475</v>
      </c>
      <c r="J7" s="115">
        <f>G75</f>
        <v>21799853.131231889</v>
      </c>
      <c r="K7" s="115">
        <f t="shared" si="1"/>
        <v>0</v>
      </c>
      <c r="M7" s="74" t="s">
        <v>123</v>
      </c>
      <c r="N7" s="74">
        <v>6</v>
      </c>
      <c r="P7" s="121"/>
      <c r="Q7" s="122">
        <f>(100%-T6)/6</f>
        <v>5.0510147427918595E-2</v>
      </c>
      <c r="R7" s="122">
        <f>Q7</f>
        <v>5.0510147427918595E-2</v>
      </c>
      <c r="S7" s="122">
        <f>R7</f>
        <v>5.0510147427918595E-2</v>
      </c>
      <c r="T7" s="120">
        <f>SUM(P7:S7)</f>
        <v>0.15153044228375578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C8+P12</f>
        <v>32679544.830263674</v>
      </c>
      <c r="G8" s="113">
        <f>F8-H75</f>
        <v>7215861.7834799886</v>
      </c>
      <c r="H8" s="113">
        <f t="shared" si="0"/>
        <v>92511.048506153704</v>
      </c>
      <c r="J8" s="115">
        <f>G87</f>
        <v>32679544.830263678</v>
      </c>
      <c r="K8" s="115">
        <f t="shared" si="1"/>
        <v>0</v>
      </c>
      <c r="M8" s="74" t="s">
        <v>124</v>
      </c>
      <c r="N8" s="74">
        <v>7</v>
      </c>
      <c r="P8" s="123"/>
      <c r="Q8" s="122"/>
      <c r="R8" s="122">
        <f>(100%-T6-T7)/3</f>
        <v>5.0510147427918595E-2</v>
      </c>
      <c r="S8" s="122">
        <f>R8</f>
        <v>5.0510147427918595E-2</v>
      </c>
      <c r="T8" s="120">
        <f>SUM(P8:S8)</f>
        <v>0.10102029485583719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C9+Q12+Q13</f>
        <v>36070835.788688309</v>
      </c>
      <c r="G9" s="113">
        <f>F9-H87</f>
        <v>-2714438.2429815158</v>
      </c>
      <c r="H9" s="113">
        <f t="shared" si="0"/>
        <v>-34800.490294634816</v>
      </c>
      <c r="J9" s="115">
        <f>G99</f>
        <v>36070835.788688309</v>
      </c>
      <c r="K9" s="115">
        <f t="shared" si="1"/>
        <v>0</v>
      </c>
      <c r="M9" s="74" t="s">
        <v>125</v>
      </c>
      <c r="N9" s="74">
        <v>8</v>
      </c>
      <c r="P9" s="123"/>
      <c r="Q9" s="124"/>
      <c r="R9" s="122"/>
      <c r="S9" s="122">
        <f>S8</f>
        <v>5.0510147427918595E-2</v>
      </c>
      <c r="T9" s="120">
        <f>SUM(P9:S9)</f>
        <v>5.0510147427918595E-2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C10+R12+R13</f>
        <v>36007934.898240425</v>
      </c>
      <c r="G10" s="113">
        <f>F10-H99</f>
        <v>2233931.4689980149</v>
      </c>
      <c r="H10" s="113">
        <f t="shared" si="0"/>
        <v>28640.147038436087</v>
      </c>
      <c r="J10" s="115">
        <f>G111</f>
        <v>36007934.898240417</v>
      </c>
      <c r="K10" s="115">
        <f t="shared" si="1"/>
        <v>0</v>
      </c>
      <c r="M10" s="74" t="s">
        <v>126</v>
      </c>
      <c r="N10" s="74">
        <v>9</v>
      </c>
      <c r="P10" s="121">
        <f>SUM(P6:P9)</f>
        <v>0.17491056004878902</v>
      </c>
      <c r="Q10" s="122">
        <f>SUM(Q6:Q9)</f>
        <v>0.22489225465292267</v>
      </c>
      <c r="R10" s="122">
        <f>SUM(R6:R9)</f>
        <v>0.27537147050907912</v>
      </c>
      <c r="S10" s="122">
        <f>SUM(S6:S9)</f>
        <v>0.32482571478920919</v>
      </c>
      <c r="T10" s="120">
        <f>SUM(P10:S10)</f>
        <v>1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C11+S12+S13</f>
        <v>35515691.360515438</v>
      </c>
      <c r="G11" s="113">
        <f>F11-H111</f>
        <v>-2382493.2422617599</v>
      </c>
      <c r="H11" s="113">
        <f t="shared" si="0"/>
        <v>-30544.785157202052</v>
      </c>
      <c r="J11" s="115">
        <f>G123</f>
        <v>35515691.360515416</v>
      </c>
      <c r="K11" s="115">
        <f t="shared" si="1"/>
        <v>0</v>
      </c>
      <c r="M11" s="74" t="s">
        <v>127</v>
      </c>
      <c r="N11" s="74">
        <v>10</v>
      </c>
      <c r="P11" s="443"/>
      <c r="Q11" s="437"/>
      <c r="R11" s="437"/>
      <c r="S11" s="437"/>
      <c r="T11" s="444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132735729.60678773</v>
      </c>
      <c r="D12" s="113">
        <f>SUM(D3:D11)</f>
        <v>83436453.601481721</v>
      </c>
      <c r="E12" s="114">
        <f t="shared" si="3"/>
        <v>0.62859076338112818</v>
      </c>
      <c r="F12" s="113">
        <f>SUM(F3:F11)</f>
        <v>195233997.22816628</v>
      </c>
      <c r="G12" s="113"/>
      <c r="H12" s="113"/>
      <c r="J12" s="113">
        <f>SUM(J3:J11)</f>
        <v>195233997.22816625</v>
      </c>
      <c r="K12" s="115">
        <f>SUM(K3:K11)</f>
        <v>0</v>
      </c>
      <c r="M12" s="74" t="s">
        <v>128</v>
      </c>
      <c r="N12" s="74">
        <v>11</v>
      </c>
      <c r="P12" s="125">
        <v>12883911.853193799</v>
      </c>
      <c r="Q12" s="125">
        <v>12844986.0181938</v>
      </c>
      <c r="R12" s="125">
        <v>12842707.5986178</v>
      </c>
      <c r="S12" s="125">
        <v>12764929.7727517</v>
      </c>
      <c r="T12" s="127">
        <f>SUM(P12:S12)</f>
        <v>51336535.242757097</v>
      </c>
      <c r="U12" s="14" t="s">
        <v>129</v>
      </c>
    </row>
    <row r="13" spans="1:21" x14ac:dyDescent="0.2">
      <c r="F13" s="113"/>
      <c r="H13" s="113"/>
      <c r="M13" s="74" t="s">
        <v>130</v>
      </c>
      <c r="N13" s="74">
        <v>12</v>
      </c>
      <c r="P13" s="128"/>
      <c r="Q13" s="126">
        <f>$P$2*Q7</f>
        <v>3720577.4595404835</v>
      </c>
      <c r="R13" s="159">
        <f t="shared" ref="R13:S13" si="4">$P$2*R7</f>
        <v>3720577.4595404835</v>
      </c>
      <c r="S13" s="159">
        <f t="shared" si="4"/>
        <v>3720577.4595404835</v>
      </c>
      <c r="T13" s="127">
        <f>SUM(P13:S13)</f>
        <v>11161732.378621452</v>
      </c>
      <c r="U13" s="14" t="s">
        <v>131</v>
      </c>
    </row>
    <row r="14" spans="1:21" x14ac:dyDescent="0.2">
      <c r="F14" s="113" t="s">
        <v>132</v>
      </c>
      <c r="M14" s="74" t="s">
        <v>12</v>
      </c>
      <c r="N14" s="74">
        <f>SUM(N2:N13)</f>
        <v>78</v>
      </c>
      <c r="P14" s="128"/>
      <c r="Q14" s="22"/>
      <c r="R14" s="22">
        <f>P2*R8</f>
        <v>3720577.4595404835</v>
      </c>
      <c r="S14" s="22">
        <f>R14</f>
        <v>3720577.4595404835</v>
      </c>
      <c r="T14" s="127">
        <f>SUM(P14:S14)</f>
        <v>7441154.9190809671</v>
      </c>
    </row>
    <row r="15" spans="1:21" x14ac:dyDescent="0.2">
      <c r="F15" s="113"/>
      <c r="P15" s="128"/>
      <c r="Q15" s="22"/>
      <c r="R15" s="22"/>
      <c r="S15" s="22">
        <f>S14</f>
        <v>3720577.4595404835</v>
      </c>
      <c r="T15" s="127">
        <f>SUM(P15:S15)</f>
        <v>3720577.4595404835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46843.483584411995</v>
      </c>
      <c r="J16" s="115"/>
      <c r="P16" s="129">
        <f>SUM(P12:P15)</f>
        <v>12883911.853193799</v>
      </c>
      <c r="Q16" s="130">
        <f>SUM(Q12:Q15)</f>
        <v>16565563.477734283</v>
      </c>
      <c r="R16" s="130">
        <f>SUM(R12:R15)</f>
        <v>20283862.517698765</v>
      </c>
      <c r="S16" s="130">
        <f>SUM(S12:S15)</f>
        <v>23926662.151373148</v>
      </c>
      <c r="T16" s="131">
        <f>SUM(P16:S16)</f>
        <v>73660000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93686.967168823991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140530.45075323599</v>
      </c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187373.93433764798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234217.41792205998</v>
      </c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281060.90150647197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327904.38509088394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374747.86867529596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421591.35225970799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468434.83584412001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515278.31942853204</v>
      </c>
      <c r="G26" s="4" t="s">
        <v>23</v>
      </c>
      <c r="BF26" t="s">
        <v>133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562121.80301294406</v>
      </c>
      <c r="G27" s="113">
        <f>SUM(F16:F27)</f>
        <v>3653791.7195841353</v>
      </c>
      <c r="H27" s="113">
        <f>F27*12</f>
        <v>6745461.6361553287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555265.67229796806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548409.54158299207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541553.41086801607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534697.28015304008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527841.14943806408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520985.01872308808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514128.88800811209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507272.75729313609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500416.6265781601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493560.4958631841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486704.3651482081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479848.23443323211</v>
      </c>
      <c r="G39" s="113">
        <f>SUM(F28:F39)</f>
        <v>6210683.4403872015</v>
      </c>
      <c r="H39" s="113">
        <f>F39*12</f>
        <v>5758178.8131987853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517594.55699541466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555340.87955759722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593087.20211977977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630833.52468196233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668579.84724414488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706326.16980632744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744072.49236850999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781818.81493069255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819565.1374928751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857311.46005505766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895057.78261724021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932804.10517942277</v>
      </c>
      <c r="G51" s="113">
        <f>SUM(F40:F51)</f>
        <v>8702391.973049026</v>
      </c>
      <c r="H51" s="113">
        <f>F51*12</f>
        <v>11193649.262153074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976388.98753907788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1019973.869898733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1063558.7522583881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1107143.6346180432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1150728.5169776983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1194313.3993373534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1237898.2816970085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1281483.1640566636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1325068.0464163187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1368652.9287759739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1412237.811135629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1455822.6934952841</v>
      </c>
      <c r="G63" s="113">
        <f>SUM(F52:F63)</f>
        <v>14593270.086206172</v>
      </c>
      <c r="H63" s="113">
        <f>F63*12</f>
        <v>17469872.32194341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1511335.2679733415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1566847.842451399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1622360.4169294564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1677872.9914075139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1733385.5658855713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1788898.1403636287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1844410.7148416862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1899923.2893197436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1955435.8637978011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2010948.4382758585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2066461.012753916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2121973.5872319737</v>
      </c>
      <c r="G75" s="113">
        <f>SUM(F64:F75)</f>
        <v>21799853.131231889</v>
      </c>
      <c r="H75" s="113">
        <f>F75*12</f>
        <v>25463683.046783686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2214484.6357381274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2306995.6842442811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2399506.7327504349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2492017.7812565886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2584528.8297627424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2677039.8782688961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2769550.9267750499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2862061.9752812036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2954573.0237873574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3047084.0722935111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3139595.1207996649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3232106.1693058186</v>
      </c>
      <c r="G87" s="113">
        <f>SUM(F76:F87)</f>
        <v>32679544.830263678</v>
      </c>
      <c r="H87" s="113">
        <f>F87*12</f>
        <v>38785274.031669825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3197305.6790111838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3162505.188716549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3127704.6984219141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3092904.2081272793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3058103.7178326445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3023303.2275380096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2988502.7372433748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2953702.24694874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2918901.7566541051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2884101.2663594703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2849300.7760648355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2814500.2857702007</v>
      </c>
      <c r="G99" s="113">
        <f>SUM(F88:F99)</f>
        <v>36070835.788688309</v>
      </c>
      <c r="H99" s="113">
        <f>F99*12</f>
        <v>33774003.42924241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2843140.4328086367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2871780.5798470727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2900420.7268855087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2929060.8739239448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2957701.0209623808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2986341.1680008168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3014981.3150392529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3043621.4620776889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3072261.6091161249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3100901.7561545609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3129541.903192997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3158182.050231433</v>
      </c>
      <c r="G111" s="113">
        <f>SUM(F100:F111)</f>
        <v>36007934.898240417</v>
      </c>
      <c r="H111" s="113">
        <f>F111*12</f>
        <v>37898184.602777198</v>
      </c>
    </row>
    <row r="112" spans="1:8" x14ac:dyDescent="0.2">
      <c r="A112" s="3">
        <v>41640</v>
      </c>
      <c r="F112" s="115">
        <f>F111+$H$11</f>
        <v>3127637.2650742307</v>
      </c>
    </row>
    <row r="113" spans="1:8" x14ac:dyDescent="0.2">
      <c r="A113" s="3">
        <v>41671</v>
      </c>
      <c r="F113" s="115">
        <f t="shared" ref="F113:F123" si="13">F112+$H$11</f>
        <v>3097092.4799170285</v>
      </c>
    </row>
    <row r="114" spans="1:8" x14ac:dyDescent="0.2">
      <c r="A114" s="3">
        <v>41699</v>
      </c>
      <c r="F114" s="115">
        <f t="shared" si="13"/>
        <v>3066547.6947598262</v>
      </c>
    </row>
    <row r="115" spans="1:8" x14ac:dyDescent="0.2">
      <c r="A115" s="3">
        <v>41730</v>
      </c>
      <c r="F115" s="115">
        <f t="shared" si="13"/>
        <v>3036002.9096026239</v>
      </c>
    </row>
    <row r="116" spans="1:8" x14ac:dyDescent="0.2">
      <c r="A116" s="3">
        <v>41760</v>
      </c>
      <c r="F116" s="115">
        <f t="shared" si="13"/>
        <v>3005458.1244454216</v>
      </c>
    </row>
    <row r="117" spans="1:8" x14ac:dyDescent="0.2">
      <c r="A117" s="3">
        <v>41791</v>
      </c>
      <c r="F117" s="115">
        <f t="shared" si="13"/>
        <v>2974913.3392882193</v>
      </c>
    </row>
    <row r="118" spans="1:8" x14ac:dyDescent="0.2">
      <c r="A118" s="3">
        <v>41821</v>
      </c>
      <c r="F118" s="115">
        <f t="shared" si="13"/>
        <v>2944368.5541310171</v>
      </c>
    </row>
    <row r="119" spans="1:8" x14ac:dyDescent="0.2">
      <c r="A119" s="3">
        <v>41852</v>
      </c>
      <c r="F119" s="115">
        <f t="shared" si="13"/>
        <v>2913823.7689738148</v>
      </c>
    </row>
    <row r="120" spans="1:8" x14ac:dyDescent="0.2">
      <c r="A120" s="3">
        <v>41883</v>
      </c>
      <c r="F120" s="115">
        <f t="shared" si="13"/>
        <v>2883278.9838166125</v>
      </c>
    </row>
    <row r="121" spans="1:8" x14ac:dyDescent="0.2">
      <c r="A121" s="3">
        <v>41913</v>
      </c>
      <c r="F121" s="115">
        <f t="shared" si="13"/>
        <v>2852734.1986594102</v>
      </c>
    </row>
    <row r="122" spans="1:8" x14ac:dyDescent="0.2">
      <c r="A122" s="3">
        <v>41944</v>
      </c>
      <c r="F122" s="115">
        <f t="shared" si="13"/>
        <v>2822189.413502208</v>
      </c>
    </row>
    <row r="123" spans="1:8" x14ac:dyDescent="0.2">
      <c r="A123" s="3">
        <v>41974</v>
      </c>
      <c r="F123" s="115">
        <f t="shared" si="13"/>
        <v>2791644.6283450057</v>
      </c>
      <c r="G123" s="113">
        <f>SUM(F112:F123)</f>
        <v>35515691.360515416</v>
      </c>
      <c r="H123" s="113">
        <f>F123*12</f>
        <v>33499735.54014007</v>
      </c>
    </row>
    <row r="124" spans="1:8" x14ac:dyDescent="0.2">
      <c r="A124" s="3"/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f>'[7]eng-daily-01012010-12312010'!$M$56</f>
        <v>727.0999999999998</v>
      </c>
      <c r="C231" s="110">
        <f>'[7]eng-daily-01012010-12312010'!$O$56</f>
        <v>0</v>
      </c>
    </row>
    <row r="232" spans="1:5" x14ac:dyDescent="0.2">
      <c r="A232" s="54">
        <f t="shared" si="3"/>
        <v>40237</v>
      </c>
      <c r="B232" s="110">
        <f>'[7]eng-daily-01012010-12312010'!$M$85</f>
        <v>644.6999999999997</v>
      </c>
      <c r="C232" s="110">
        <f>'[7]eng-daily-01012010-12312010'!$O$85</f>
        <v>0</v>
      </c>
    </row>
    <row r="233" spans="1:5" x14ac:dyDescent="0.2">
      <c r="A233" s="54">
        <f t="shared" si="3"/>
        <v>40268</v>
      </c>
      <c r="B233" s="110">
        <f>'[7]eng-daily-01012010-12312010'!$M$116</f>
        <v>470.90000000000003</v>
      </c>
      <c r="C233" s="110">
        <f>'[7]eng-daily-01012010-12312010'!$O$116</f>
        <v>0</v>
      </c>
    </row>
    <row r="234" spans="1:5" x14ac:dyDescent="0.2">
      <c r="A234" s="54">
        <f t="shared" si="3"/>
        <v>40298</v>
      </c>
      <c r="B234" s="110">
        <f>'[7]eng-daily-01012010-12312010'!$M$146+'[8]eng-daily-01012010-12312010 par'!$M$146</f>
        <v>255.70000000000002</v>
      </c>
      <c r="C234" s="110">
        <f>'[7]eng-daily-01012010-12312010'!$O$146+'[8]eng-daily-01012010-12312010 par'!$O$146</f>
        <v>0</v>
      </c>
    </row>
    <row r="235" spans="1:5" x14ac:dyDescent="0.2">
      <c r="A235" s="54">
        <f t="shared" si="3"/>
        <v>40329</v>
      </c>
      <c r="B235" s="110">
        <f>'[8]eng-daily-01012010-12312010 par'!$M$177</f>
        <v>144.69999999999999</v>
      </c>
      <c r="C235" s="110">
        <f>'[8]eng-daily-01012010-12312010 par'!$O$177</f>
        <v>21</v>
      </c>
    </row>
    <row r="236" spans="1:5" x14ac:dyDescent="0.2">
      <c r="A236" s="54">
        <f t="shared" si="3"/>
        <v>40359</v>
      </c>
      <c r="B236" s="110">
        <f>'[8]eng-daily-01012010-12312010 par'!$M$207</f>
        <v>37.699999999999996</v>
      </c>
      <c r="C236" s="110">
        <f>'[8]eng-daily-01012010-12312010 par'!$O$207</f>
        <v>26.800000000000004</v>
      </c>
    </row>
    <row r="237" spans="1:5" x14ac:dyDescent="0.2">
      <c r="A237" s="54">
        <f t="shared" si="3"/>
        <v>40390</v>
      </c>
      <c r="B237" s="110">
        <f>'[8]eng-daily-01012010-12312010 par'!$M$238</f>
        <v>6.7</v>
      </c>
      <c r="C237" s="110">
        <f>'[8]eng-daily-01012010-12312010 par'!$O$238</f>
        <v>100.59999999999998</v>
      </c>
    </row>
    <row r="238" spans="1:5" x14ac:dyDescent="0.2">
      <c r="A238" s="54">
        <f t="shared" si="3"/>
        <v>40421</v>
      </c>
      <c r="B238" s="110">
        <f>'[8]eng-daily-01012010-12312010 par'!$M$269</f>
        <v>9.6999999999999993</v>
      </c>
      <c r="C238" s="110">
        <f>'[8]eng-daily-01012010-12312010 par'!$O$269</f>
        <v>79.200000000000017</v>
      </c>
    </row>
    <row r="239" spans="1:5" x14ac:dyDescent="0.2">
      <c r="A239" s="54">
        <f t="shared" si="3"/>
        <v>40451</v>
      </c>
      <c r="B239" s="110">
        <f>'[8]eng-daily-01012010-12312010 par'!$M$299</f>
        <v>122.70000000000002</v>
      </c>
      <c r="C239" s="110">
        <f>'[8]eng-daily-01012010-12312010 par'!$O$299</f>
        <v>16.7</v>
      </c>
    </row>
    <row r="240" spans="1:5" x14ac:dyDescent="0.2">
      <c r="A240" s="54">
        <f t="shared" si="3"/>
        <v>40482</v>
      </c>
      <c r="B240" s="110">
        <f>'[8]eng-daily-01012010-12312010 par'!$M$330</f>
        <v>279.59999999999997</v>
      </c>
      <c r="C240" s="110">
        <f>'[8]eng-daily-01012010-12312010 par'!$O$330</f>
        <v>0</v>
      </c>
    </row>
    <row r="241" spans="1:5" x14ac:dyDescent="0.2">
      <c r="A241" s="54">
        <f t="shared" si="3"/>
        <v>40512</v>
      </c>
      <c r="B241" s="110">
        <f>'[8]eng-daily-01012010-12312010 par'!$M$360</f>
        <v>337.9</v>
      </c>
      <c r="C241" s="110">
        <f>'[8]eng-daily-01012010-12312010 par'!$O$360</f>
        <v>0</v>
      </c>
    </row>
    <row r="242" spans="1:5" x14ac:dyDescent="0.2">
      <c r="A242" s="54">
        <f t="shared" si="3"/>
        <v>40543</v>
      </c>
      <c r="B242" s="110">
        <f>'[8]eng-daily-01012010-12312010 par'!$M$391</f>
        <v>719.39999999999986</v>
      </c>
      <c r="C242" s="110">
        <f>'[8]eng-daily-01012010-12312010 par'!$O$391</f>
        <v>0</v>
      </c>
      <c r="D242">
        <f>SUM(B231:B242)</f>
        <v>3756.7999999999984</v>
      </c>
      <c r="E242">
        <f>SUM(C231:C242)</f>
        <v>244.29999999999998</v>
      </c>
    </row>
    <row r="243" spans="1:5" x14ac:dyDescent="0.2">
      <c r="A243" s="54">
        <f t="shared" si="3"/>
        <v>40574</v>
      </c>
      <c r="B243" s="110">
        <f>'[9]eng-daily-01012011-12312011'!$M$56</f>
        <v>770.00000000000011</v>
      </c>
      <c r="C243" s="110">
        <f>'[9]eng-daily-01012011-12312011'!$O$56</f>
        <v>0</v>
      </c>
    </row>
    <row r="244" spans="1:5" x14ac:dyDescent="0.2">
      <c r="A244" s="54">
        <f t="shared" si="3"/>
        <v>40602</v>
      </c>
      <c r="B244" s="110">
        <f>'[9]eng-daily-01012011-12312011'!$M$85</f>
        <v>640.80000000000007</v>
      </c>
      <c r="C244" s="110">
        <f>'[9]eng-daily-01012011-12312011'!$O$85</f>
        <v>0</v>
      </c>
    </row>
    <row r="245" spans="1:5" x14ac:dyDescent="0.2">
      <c r="A245" s="54">
        <f t="shared" si="3"/>
        <v>40633</v>
      </c>
      <c r="B245" s="110">
        <f>'[9]eng-daily-01012011-12312011'!$M$116</f>
        <v>605.29999999999995</v>
      </c>
      <c r="C245" s="110">
        <f>'[9]eng-daily-01012011-12312011'!$O$116</f>
        <v>0</v>
      </c>
    </row>
    <row r="246" spans="1:5" x14ac:dyDescent="0.2">
      <c r="A246" s="54">
        <f t="shared" si="3"/>
        <v>40663</v>
      </c>
      <c r="B246" s="110">
        <f>'[9]eng-daily-01012011-12312011'!$M$146</f>
        <v>298.69999999999993</v>
      </c>
      <c r="C246" s="110">
        <f>'[9]eng-daily-01012011-12312011'!$O$146</f>
        <v>0</v>
      </c>
    </row>
    <row r="247" spans="1:5" x14ac:dyDescent="0.2">
      <c r="A247" s="54">
        <f t="shared" si="3"/>
        <v>40694</v>
      </c>
      <c r="B247" s="110">
        <f>'[9]eng-daily-01012011-12312011'!$M$177</f>
        <v>148.69999999999996</v>
      </c>
      <c r="C247" s="110">
        <f>'[9]eng-daily-01012011-12312011'!$O$177</f>
        <v>13.2</v>
      </c>
    </row>
    <row r="248" spans="1:5" x14ac:dyDescent="0.2">
      <c r="A248" s="54">
        <f t="shared" si="3"/>
        <v>40724</v>
      </c>
      <c r="B248" s="110">
        <f>'[9]eng-daily-01012011-12312011'!$M$207</f>
        <v>48.500000000000007</v>
      </c>
      <c r="C248" s="110">
        <f>'[9]eng-daily-01012011-12312011'!$O$207</f>
        <v>21.599999999999998</v>
      </c>
    </row>
    <row r="249" spans="1:5" x14ac:dyDescent="0.2">
      <c r="A249" s="54">
        <f t="shared" si="3"/>
        <v>40755</v>
      </c>
      <c r="B249" s="110">
        <f>'[9]eng-daily-01012011-12312011'!$M$238</f>
        <v>0.8</v>
      </c>
      <c r="C249" s="110">
        <f>'[9]eng-daily-01012011-12312011'!$O$238</f>
        <v>128.19999999999999</v>
      </c>
    </row>
    <row r="250" spans="1:5" x14ac:dyDescent="0.2">
      <c r="A250" s="54">
        <f t="shared" si="3"/>
        <v>40786</v>
      </c>
      <c r="B250" s="110">
        <f>'[9]eng-daily-01012011-12312011'!$M$269</f>
        <v>6.8999999999999995</v>
      </c>
      <c r="C250" s="110">
        <f>'[9]eng-daily-01012011-12312011'!$O$269</f>
        <v>54.3</v>
      </c>
    </row>
    <row r="251" spans="1:5" x14ac:dyDescent="0.2">
      <c r="A251" s="54">
        <f t="shared" si="3"/>
        <v>40816</v>
      </c>
      <c r="B251" s="110">
        <f>'[9]eng-daily-01012011-12312011'!$M$299</f>
        <v>88.9</v>
      </c>
      <c r="C251" s="110">
        <f>'[9]eng-daily-01012011-12312011'!$O$299</f>
        <v>17.2</v>
      </c>
    </row>
    <row r="252" spans="1:5" x14ac:dyDescent="0.2">
      <c r="A252" s="54">
        <f t="shared" si="3"/>
        <v>40847</v>
      </c>
      <c r="B252" s="110">
        <f>'[9]eng-daily-01012011-12312011'!$M$330</f>
        <v>279.89999999999998</v>
      </c>
      <c r="C252" s="110">
        <f>'[9]eng-daily-01012011-12312011'!$O$330</f>
        <v>0</v>
      </c>
    </row>
    <row r="253" spans="1:5" x14ac:dyDescent="0.2">
      <c r="A253" s="54">
        <f t="shared" si="3"/>
        <v>40877</v>
      </c>
      <c r="B253" s="110">
        <f>'[9]eng-daily-01012011-12312011'!$M$360</f>
        <v>382.4</v>
      </c>
      <c r="C253" s="110">
        <f>'[9]eng-daily-01012011-12312011'!$O$360</f>
        <v>0</v>
      </c>
    </row>
    <row r="254" spans="1:5" x14ac:dyDescent="0.2">
      <c r="A254" s="54">
        <f t="shared" si="3"/>
        <v>40908</v>
      </c>
      <c r="B254" s="110">
        <f>'[9]eng-daily-01012011-12312011'!$M$391</f>
        <v>574.79999999999995</v>
      </c>
      <c r="C254" s="110">
        <f>'[9]eng-daily-01012011-12312011'!$O$391</f>
        <v>0</v>
      </c>
      <c r="D254">
        <f>SUM(B243:B254)</f>
        <v>3845.7000000000007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f>'[10]eng-daily-01012012-12312012'!$M$56</f>
        <v>657.30000000000007</v>
      </c>
      <c r="C255" s="110">
        <f>'[10]eng-daily-01012012-12312012'!$O$56</f>
        <v>0</v>
      </c>
    </row>
    <row r="256" spans="1:5" x14ac:dyDescent="0.2">
      <c r="A256" s="54">
        <f t="shared" si="3"/>
        <v>40968</v>
      </c>
      <c r="B256" s="110">
        <f>'[10]eng-daily-01012012-12312012'!$M$85</f>
        <v>573</v>
      </c>
      <c r="C256" s="110">
        <f>'[10]eng-daily-01012012-12312012'!$O$85</f>
        <v>0</v>
      </c>
    </row>
    <row r="257" spans="1:5" x14ac:dyDescent="0.2">
      <c r="A257" s="54">
        <f t="shared" si="3"/>
        <v>40999</v>
      </c>
      <c r="B257" s="110">
        <f>'[10]eng-daily-01012012-12312012'!$M$116</f>
        <v>370.1</v>
      </c>
      <c r="C257" s="110">
        <f>'[10]eng-daily-01012012-12312012'!$O$116</f>
        <v>0</v>
      </c>
    </row>
    <row r="258" spans="1:5" x14ac:dyDescent="0.2">
      <c r="A258" s="54">
        <f t="shared" si="3"/>
        <v>41029</v>
      </c>
      <c r="B258" s="110">
        <f>'[10]eng-daily-01012012-12312012'!$M$146</f>
        <v>365.3</v>
      </c>
      <c r="C258" s="110">
        <f>'[10]eng-daily-01012012-12312012'!$O$146</f>
        <v>0</v>
      </c>
    </row>
    <row r="259" spans="1:5" x14ac:dyDescent="0.2">
      <c r="A259" s="54">
        <f t="shared" si="3"/>
        <v>41060</v>
      </c>
      <c r="B259" s="110">
        <f>'[10]eng-daily-01012012-12312012'!$M$177</f>
        <v>103.8</v>
      </c>
      <c r="C259" s="110">
        <f>'[10]eng-daily-01012012-12312012'!$O$177</f>
        <v>18.2</v>
      </c>
    </row>
    <row r="260" spans="1:5" x14ac:dyDescent="0.2">
      <c r="A260" s="54">
        <f t="shared" ref="A260:A266" si="4">EOMONTH(A259,1)</f>
        <v>41090</v>
      </c>
      <c r="B260" s="110">
        <f>'[10]eng-daily-01012012-12312012'!$M$207</f>
        <v>42.100000000000009</v>
      </c>
      <c r="C260" s="110">
        <f>'[10]eng-daily-01012012-12312012'!$O$207</f>
        <v>61.199999999999996</v>
      </c>
    </row>
    <row r="261" spans="1:5" x14ac:dyDescent="0.2">
      <c r="A261" s="54">
        <f t="shared" si="4"/>
        <v>41121</v>
      </c>
      <c r="B261" s="110">
        <f>'[10]eng-daily-01012012-12312012'!$M$238</f>
        <v>0</v>
      </c>
      <c r="C261" s="110">
        <f>'[10]eng-daily-01012012-12312012'!$O$238</f>
        <v>116.40000000000002</v>
      </c>
    </row>
    <row r="262" spans="1:5" x14ac:dyDescent="0.2">
      <c r="A262" s="54">
        <f t="shared" si="4"/>
        <v>41152</v>
      </c>
      <c r="B262" s="110">
        <f>'[10]eng-daily-01012012-12312012'!$M$269</f>
        <v>19.400000000000002</v>
      </c>
      <c r="C262" s="110">
        <f>'[10]eng-daily-01012012-12312012'!$O$269</f>
        <v>58.100000000000009</v>
      </c>
    </row>
    <row r="263" spans="1:5" x14ac:dyDescent="0.2">
      <c r="A263" s="54">
        <f t="shared" si="4"/>
        <v>41182</v>
      </c>
      <c r="B263" s="110">
        <f>'[10]eng-daily-01012012-12312012'!$M$299</f>
        <v>125.40000000000002</v>
      </c>
      <c r="C263" s="110">
        <f>'[10]eng-daily-01012012-12312012'!$O$299</f>
        <v>16.399999999999999</v>
      </c>
    </row>
    <row r="264" spans="1:5" x14ac:dyDescent="0.2">
      <c r="A264" s="54">
        <f t="shared" si="4"/>
        <v>41213</v>
      </c>
      <c r="B264" s="110">
        <f>'[10]eng-daily-01012012-12312012'!$M$330</f>
        <v>279.2</v>
      </c>
      <c r="C264" s="110">
        <f>'[10]eng-daily-01012012-12312012'!$O$330</f>
        <v>0</v>
      </c>
    </row>
    <row r="265" spans="1:5" x14ac:dyDescent="0.2">
      <c r="A265" s="54">
        <f t="shared" si="4"/>
        <v>41243</v>
      </c>
      <c r="B265" s="110">
        <f>'[10]eng-daily-01012012-12312012'!$M$360</f>
        <v>483.60000000000014</v>
      </c>
      <c r="C265" s="110">
        <f>'[10]eng-daily-01012012-12312012'!$O$360</f>
        <v>0</v>
      </c>
    </row>
    <row r="266" spans="1:5" x14ac:dyDescent="0.2">
      <c r="A266" s="54">
        <f t="shared" si="4"/>
        <v>41274</v>
      </c>
      <c r="B266" s="110">
        <f>'[10]eng-daily-01012012-12312012'!$M$391</f>
        <v>565.50000000000011</v>
      </c>
      <c r="C266" s="110">
        <f>'[10]eng-daily-01012012-12312012'!$O$391</f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7" customWidth="1"/>
    <col min="6" max="6" width="9.5703125" style="317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15" t="s">
        <v>244</v>
      </c>
      <c r="D1" s="445"/>
      <c r="E1" s="445"/>
      <c r="F1" s="315"/>
      <c r="G1" s="315"/>
      <c r="H1" s="315"/>
      <c r="I1" s="315"/>
    </row>
    <row r="2" spans="1:25" x14ac:dyDescent="0.2">
      <c r="A2" s="316"/>
    </row>
    <row r="3" spans="1:25" x14ac:dyDescent="0.2">
      <c r="A3" s="318" t="s">
        <v>245</v>
      </c>
      <c r="B3" s="318"/>
      <c r="C3" s="318"/>
      <c r="D3" s="318"/>
      <c r="E3" s="319"/>
      <c r="F3" s="319"/>
    </row>
    <row r="4" spans="1:25" x14ac:dyDescent="0.2">
      <c r="A4" s="320"/>
      <c r="B4" s="320"/>
      <c r="C4" s="320"/>
      <c r="D4" s="320"/>
      <c r="E4" s="321"/>
      <c r="F4" s="321"/>
    </row>
    <row r="5" spans="1:25" x14ac:dyDescent="0.2">
      <c r="A5" s="322" t="s">
        <v>246</v>
      </c>
      <c r="B5" s="322">
        <v>1993</v>
      </c>
      <c r="C5" s="322">
        <v>1994</v>
      </c>
      <c r="D5" s="322">
        <v>1995</v>
      </c>
      <c r="E5" s="322">
        <v>1996</v>
      </c>
      <c r="F5" s="322">
        <v>1997</v>
      </c>
      <c r="G5" s="322">
        <v>1998</v>
      </c>
      <c r="H5" s="322">
        <v>1999</v>
      </c>
      <c r="I5" s="322">
        <v>2000</v>
      </c>
      <c r="J5" s="322">
        <f t="shared" ref="J5:P5" si="0">J25</f>
        <v>2001</v>
      </c>
      <c r="K5" s="322">
        <f t="shared" si="0"/>
        <v>2002</v>
      </c>
      <c r="L5" s="322">
        <f t="shared" si="0"/>
        <v>2003</v>
      </c>
      <c r="M5" s="322">
        <f t="shared" si="0"/>
        <v>2004</v>
      </c>
      <c r="N5" s="322">
        <f t="shared" si="0"/>
        <v>2005</v>
      </c>
      <c r="O5" s="322">
        <f t="shared" si="0"/>
        <v>2006</v>
      </c>
      <c r="P5" s="322">
        <f t="shared" si="0"/>
        <v>2007</v>
      </c>
      <c r="Q5" s="322">
        <v>2008</v>
      </c>
      <c r="R5" s="322">
        <v>2009</v>
      </c>
      <c r="S5" s="322">
        <v>2010</v>
      </c>
      <c r="T5" s="322">
        <v>2011</v>
      </c>
      <c r="U5" s="322">
        <f t="shared" ref="U5" si="1">U25</f>
        <v>2012</v>
      </c>
      <c r="V5" s="323" t="s">
        <v>247</v>
      </c>
      <c r="W5" s="323" t="s">
        <v>248</v>
      </c>
      <c r="X5" s="323" t="s">
        <v>262</v>
      </c>
      <c r="Y5" s="323" t="s">
        <v>263</v>
      </c>
    </row>
    <row r="6" spans="1:25" x14ac:dyDescent="0.2">
      <c r="A6" s="320"/>
      <c r="B6" s="320"/>
      <c r="C6" s="320"/>
      <c r="D6" s="320"/>
      <c r="E6" s="319"/>
      <c r="F6" s="319"/>
    </row>
    <row r="7" spans="1:25" x14ac:dyDescent="0.2">
      <c r="A7" s="324"/>
      <c r="B7" s="324"/>
      <c r="C7" s="324"/>
      <c r="D7" s="324"/>
      <c r="E7" s="319"/>
      <c r="F7" s="319"/>
      <c r="G7" s="319"/>
      <c r="H7" s="319"/>
    </row>
    <row r="8" spans="1:25" x14ac:dyDescent="0.2">
      <c r="A8" s="324" t="s">
        <v>249</v>
      </c>
      <c r="B8" s="325">
        <f>'HDD and CDD'!B27</f>
        <v>687.2</v>
      </c>
      <c r="C8" s="325">
        <f>'HDD and CDD'!B39</f>
        <v>968.6</v>
      </c>
      <c r="D8" s="325">
        <f>'HDD and CDD'!B51</f>
        <v>667.5</v>
      </c>
      <c r="E8" s="325">
        <f>'HDD and CDD'!B63</f>
        <v>789.4</v>
      </c>
      <c r="F8" s="325">
        <f>'HDD and CDD'!B75</f>
        <v>777.9</v>
      </c>
      <c r="G8" s="325">
        <f>'HDD and CDD'!B87</f>
        <v>652.79999999999995</v>
      </c>
      <c r="H8" s="325">
        <f>'HDD and CDD'!B99</f>
        <v>789.6</v>
      </c>
      <c r="I8" s="325">
        <f>'HDD and CDD'!B111</f>
        <v>773</v>
      </c>
      <c r="J8" s="325">
        <f>'HDD and CDD'!B123</f>
        <v>715</v>
      </c>
      <c r="K8" s="325">
        <f>'HDD and CDD'!B135</f>
        <v>625.70000000000005</v>
      </c>
      <c r="L8" s="325">
        <f>'HDD and CDD'!B147</f>
        <v>868.4</v>
      </c>
      <c r="M8" s="325">
        <f>'HDD and CDD'!B159</f>
        <v>879.2</v>
      </c>
      <c r="N8" s="325">
        <f>'HDD and CDD'!B171</f>
        <v>814.7</v>
      </c>
      <c r="O8" s="325">
        <f>'HDD and CDD'!B183</f>
        <v>590.6</v>
      </c>
      <c r="P8" s="325">
        <f>'HDD and CDD'!B195</f>
        <v>698.3</v>
      </c>
      <c r="Q8" s="325">
        <f>'HDD and CDD'!B207</f>
        <v>676.8</v>
      </c>
      <c r="R8" s="325">
        <f>'HDD and CDD'!B219</f>
        <v>891.8</v>
      </c>
      <c r="S8" s="325">
        <f>'HDD and CDD'!B231</f>
        <v>727.0999999999998</v>
      </c>
      <c r="T8" s="325">
        <f>'HDD and CDD'!B243</f>
        <v>770.00000000000011</v>
      </c>
      <c r="U8" s="325">
        <f>'HDD and CDD'!B255</f>
        <v>657.30000000000007</v>
      </c>
      <c r="V8" s="326">
        <f>AVERAGE(L8:U8)</f>
        <v>757.42</v>
      </c>
      <c r="W8" s="327">
        <f>TREND(B8:U8,$B$25:$U$25,2014)</f>
        <v>726.22142857142808</v>
      </c>
      <c r="X8" s="326">
        <f>AVERAGE(B8:U8)</f>
        <v>751.04499999999996</v>
      </c>
      <c r="Y8" s="327">
        <f>AVERAGE(E8:U8)</f>
        <v>746.91764705882338</v>
      </c>
    </row>
    <row r="9" spans="1:25" x14ac:dyDescent="0.2">
      <c r="A9" s="324" t="s">
        <v>250</v>
      </c>
      <c r="B9" s="325">
        <f>'HDD and CDD'!B28</f>
        <v>738.1</v>
      </c>
      <c r="C9" s="325">
        <f>'HDD and CDD'!B40</f>
        <v>774.2</v>
      </c>
      <c r="D9" s="325">
        <f>'HDD and CDD'!B52</f>
        <v>735.3</v>
      </c>
      <c r="E9" s="325">
        <f>'HDD and CDD'!B64</f>
        <v>712.6</v>
      </c>
      <c r="F9" s="325">
        <f>'HDD and CDD'!B76</f>
        <v>615</v>
      </c>
      <c r="G9" s="325">
        <f>'HDD and CDD'!B88</f>
        <v>547.1</v>
      </c>
      <c r="H9" s="325">
        <f>'HDD and CDD'!B100</f>
        <v>578.4</v>
      </c>
      <c r="I9" s="325">
        <f>'HDD and CDD'!B112</f>
        <v>643.79999999999995</v>
      </c>
      <c r="J9" s="325">
        <f>'HDD and CDD'!B124</f>
        <v>620.20000000000005</v>
      </c>
      <c r="K9" s="325">
        <f>'HDD and CDD'!B136</f>
        <v>592</v>
      </c>
      <c r="L9" s="325">
        <f>'HDD and CDD'!B148</f>
        <v>755.9</v>
      </c>
      <c r="M9" s="325">
        <f>'HDD and CDD'!B160</f>
        <v>699.2</v>
      </c>
      <c r="N9" s="325">
        <f>'HDD and CDD'!B172</f>
        <v>683.5</v>
      </c>
      <c r="O9" s="325">
        <f>'HDD and CDD'!B184</f>
        <v>651.20000000000005</v>
      </c>
      <c r="P9" s="325">
        <f>'HDD and CDD'!B196</f>
        <v>785.1</v>
      </c>
      <c r="Q9" s="325">
        <f>'HDD and CDD'!B208</f>
        <v>651.20000000000005</v>
      </c>
      <c r="R9" s="325">
        <f>'HDD and CDD'!B220</f>
        <v>649.6</v>
      </c>
      <c r="S9" s="325">
        <f>'HDD and CDD'!B232</f>
        <v>644.6999999999997</v>
      </c>
      <c r="T9" s="325">
        <f>'HDD and CDD'!B244</f>
        <v>640.80000000000007</v>
      </c>
      <c r="U9" s="325">
        <f>'HDD and CDD'!B256</f>
        <v>573</v>
      </c>
      <c r="V9" s="326">
        <f t="shared" ref="V9:V19" si="2">AVERAGE(L9:U9)</f>
        <v>673.42000000000007</v>
      </c>
      <c r="W9" s="327">
        <f t="shared" ref="W9:W19" si="3">TREND(B9:U9,$B$25:$U$25,2014)</f>
        <v>630.53353383458671</v>
      </c>
      <c r="X9" s="326">
        <f t="shared" ref="X9:X19" si="4">AVERAGE(B9:U9)</f>
        <v>664.54499999999996</v>
      </c>
      <c r="Y9" s="327">
        <f t="shared" ref="Y9:Y19" si="5">AVERAGE(E9:U9)</f>
        <v>649.60588235294108</v>
      </c>
    </row>
    <row r="10" spans="1:25" x14ac:dyDescent="0.2">
      <c r="A10" s="324" t="s">
        <v>251</v>
      </c>
      <c r="B10" s="325">
        <f>'HDD and CDD'!B29</f>
        <v>632</v>
      </c>
      <c r="C10" s="325">
        <f>'HDD and CDD'!B41</f>
        <v>619.9</v>
      </c>
      <c r="D10" s="325">
        <f>'HDD and CDD'!B53</f>
        <v>523.70000000000005</v>
      </c>
      <c r="E10" s="325">
        <f>'HDD and CDD'!B65</f>
        <v>670.4</v>
      </c>
      <c r="F10" s="325">
        <f>'HDD and CDD'!B77</f>
        <v>619.1</v>
      </c>
      <c r="G10" s="325">
        <f>'HDD and CDD'!B89</f>
        <v>505.1</v>
      </c>
      <c r="H10" s="325">
        <f>'HDD and CDD'!B101</f>
        <v>592.5</v>
      </c>
      <c r="I10" s="325">
        <f>'HDD and CDD'!B113</f>
        <v>446.9</v>
      </c>
      <c r="J10" s="325">
        <f>'HDD and CDD'!B125</f>
        <v>618.70000000000005</v>
      </c>
      <c r="K10" s="325">
        <f>'HDD and CDD'!B137</f>
        <v>581.20000000000005</v>
      </c>
      <c r="L10" s="325">
        <f>'HDD and CDD'!B149</f>
        <v>638.70000000000005</v>
      </c>
      <c r="M10" s="325">
        <f>'HDD and CDD'!B161</f>
        <v>540.9</v>
      </c>
      <c r="N10" s="325">
        <f>'HDD and CDD'!B173</f>
        <v>680.5</v>
      </c>
      <c r="O10" s="325">
        <f>'HDD and CDD'!B185</f>
        <v>562.4</v>
      </c>
      <c r="P10" s="325">
        <f>'HDD and CDD'!B197</f>
        <v>582</v>
      </c>
      <c r="Q10" s="325">
        <f>'HDD and CDD'!B209</f>
        <v>686.1</v>
      </c>
      <c r="R10" s="325">
        <f>'HDD and CDD'!B221</f>
        <v>562.6</v>
      </c>
      <c r="S10" s="325">
        <f>'HDD and CDD'!B233</f>
        <v>470.90000000000003</v>
      </c>
      <c r="T10" s="325">
        <f>'HDD and CDD'!B245</f>
        <v>605.29999999999995</v>
      </c>
      <c r="U10" s="325">
        <f>'HDD and CDD'!B257</f>
        <v>370.1</v>
      </c>
      <c r="V10" s="326">
        <f t="shared" si="2"/>
        <v>569.95000000000005</v>
      </c>
      <c r="W10" s="327">
        <f t="shared" si="3"/>
        <v>530.42533834586538</v>
      </c>
      <c r="X10" s="326">
        <f t="shared" si="4"/>
        <v>575.44999999999993</v>
      </c>
      <c r="Y10" s="327">
        <f t="shared" si="5"/>
        <v>572.55294117647043</v>
      </c>
    </row>
    <row r="11" spans="1:25" x14ac:dyDescent="0.2">
      <c r="A11" s="324" t="s">
        <v>252</v>
      </c>
      <c r="B11" s="325">
        <f>'HDD and CDD'!B30</f>
        <v>343.4</v>
      </c>
      <c r="C11" s="325">
        <f>'HDD and CDD'!B42</f>
        <v>343.8</v>
      </c>
      <c r="D11" s="325">
        <f>'HDD and CDD'!B54</f>
        <v>434.4</v>
      </c>
      <c r="E11" s="325">
        <f>'HDD and CDD'!B66</f>
        <v>421.9</v>
      </c>
      <c r="F11" s="325">
        <f>'HDD and CDD'!B78</f>
        <v>391.9</v>
      </c>
      <c r="G11" s="325">
        <f>'HDD and CDD'!B90</f>
        <v>312</v>
      </c>
      <c r="H11" s="325">
        <f>'HDD and CDD'!B102</f>
        <v>332.6</v>
      </c>
      <c r="I11" s="325">
        <f>'HDD and CDD'!B114</f>
        <v>358.3</v>
      </c>
      <c r="J11" s="325">
        <f>'HDD and CDD'!B126</f>
        <v>324.60000000000002</v>
      </c>
      <c r="K11" s="325">
        <f>'HDD and CDD'!B138</f>
        <v>356.2</v>
      </c>
      <c r="L11" s="325">
        <f>'HDD and CDD'!B150</f>
        <v>397.4</v>
      </c>
      <c r="M11" s="325">
        <f>'HDD and CDD'!B162</f>
        <v>354.1</v>
      </c>
      <c r="N11" s="325">
        <f>'HDD and CDD'!B174</f>
        <v>354.6</v>
      </c>
      <c r="O11" s="325">
        <f>'HDD and CDD'!B186</f>
        <v>322.5</v>
      </c>
      <c r="P11" s="325">
        <f>'HDD and CDD'!B198</f>
        <v>403</v>
      </c>
      <c r="Q11" s="325">
        <f>'HDD and CDD'!B210</f>
        <v>297.89999999999998</v>
      </c>
      <c r="R11" s="325">
        <f>'HDD and CDD'!B222</f>
        <v>341.5</v>
      </c>
      <c r="S11" s="325">
        <f>'HDD and CDD'!B234</f>
        <v>255.70000000000002</v>
      </c>
      <c r="T11" s="325">
        <f>'HDD and CDD'!B246</f>
        <v>298.69999999999993</v>
      </c>
      <c r="U11" s="325">
        <f>'HDD and CDD'!B258</f>
        <v>365.3</v>
      </c>
      <c r="V11" s="326">
        <f t="shared" si="2"/>
        <v>339.07</v>
      </c>
      <c r="W11" s="327">
        <f t="shared" si="3"/>
        <v>313.73496240601435</v>
      </c>
      <c r="X11" s="326">
        <f t="shared" si="4"/>
        <v>350.49</v>
      </c>
      <c r="Y11" s="327">
        <f t="shared" si="5"/>
        <v>346.36470588235295</v>
      </c>
    </row>
    <row r="12" spans="1:25" x14ac:dyDescent="0.2">
      <c r="A12" s="324" t="s">
        <v>122</v>
      </c>
      <c r="B12" s="325">
        <f>'HDD and CDD'!B31</f>
        <v>176.6</v>
      </c>
      <c r="C12" s="325">
        <f>'HDD and CDD'!B43</f>
        <v>226.7</v>
      </c>
      <c r="D12" s="325">
        <f>'HDD and CDD'!B55</f>
        <v>171.9</v>
      </c>
      <c r="E12" s="325">
        <f>'HDD and CDD'!B67</f>
        <v>216.1</v>
      </c>
      <c r="F12" s="325">
        <f>'HDD and CDD'!B79</f>
        <v>289</v>
      </c>
      <c r="G12" s="325">
        <f>'HDD and CDD'!B91</f>
        <v>77.099999999999994</v>
      </c>
      <c r="H12" s="325">
        <f>'HDD and CDD'!B103</f>
        <v>126.7</v>
      </c>
      <c r="I12" s="325">
        <f>'HDD and CDD'!B115</f>
        <v>152.4</v>
      </c>
      <c r="J12" s="325">
        <f>'HDD and CDD'!B127</f>
        <v>140.30000000000001</v>
      </c>
      <c r="K12" s="325">
        <f>'HDD and CDD'!B139</f>
        <v>266.8</v>
      </c>
      <c r="L12" s="325">
        <f>'HDD and CDD'!B151</f>
        <v>217</v>
      </c>
      <c r="M12" s="325">
        <f>'HDD and CDD'!B163</f>
        <v>196.2</v>
      </c>
      <c r="N12" s="325">
        <f>'HDD and CDD'!B175</f>
        <v>244.9</v>
      </c>
      <c r="O12" s="325">
        <f>'HDD and CDD'!B187</f>
        <v>177.8</v>
      </c>
      <c r="P12" s="325">
        <f>'HDD and CDD'!B199</f>
        <v>166.4</v>
      </c>
      <c r="Q12" s="325">
        <f>'HDD and CDD'!B211</f>
        <v>243.1</v>
      </c>
      <c r="R12" s="325">
        <f>'HDD and CDD'!B223</f>
        <v>192.8</v>
      </c>
      <c r="S12" s="325">
        <f>'HDD and CDD'!B235</f>
        <v>144.69999999999999</v>
      </c>
      <c r="T12" s="325">
        <f>'HDD and CDD'!B247</f>
        <v>148.69999999999996</v>
      </c>
      <c r="U12" s="325">
        <f>'HDD and CDD'!B259</f>
        <v>103.8</v>
      </c>
      <c r="V12" s="326">
        <f t="shared" si="2"/>
        <v>183.54000000000002</v>
      </c>
      <c r="W12" s="327">
        <f t="shared" si="3"/>
        <v>165.07270676691678</v>
      </c>
      <c r="X12" s="326">
        <f t="shared" si="4"/>
        <v>183.95</v>
      </c>
      <c r="Y12" s="327">
        <f t="shared" si="5"/>
        <v>182.57647058823531</v>
      </c>
    </row>
    <row r="13" spans="1:25" x14ac:dyDescent="0.2">
      <c r="A13" s="324" t="s">
        <v>253</v>
      </c>
      <c r="B13" s="325">
        <f>'HDD and CDD'!B32</f>
        <v>47.3</v>
      </c>
      <c r="C13" s="325">
        <f>'HDD and CDD'!B44</f>
        <v>38.4</v>
      </c>
      <c r="D13" s="325">
        <f>'HDD and CDD'!B56</f>
        <v>25.9</v>
      </c>
      <c r="E13" s="325">
        <f>'HDD and CDD'!B68</f>
        <v>29.4</v>
      </c>
      <c r="F13" s="325">
        <f>'HDD and CDD'!B80</f>
        <v>30.4</v>
      </c>
      <c r="G13" s="325">
        <f>'HDD and CDD'!B92</f>
        <v>66.7</v>
      </c>
      <c r="H13" s="325">
        <f>'HDD and CDD'!B104</f>
        <v>44.4</v>
      </c>
      <c r="I13" s="325">
        <f>'HDD and CDD'!B116</f>
        <v>41.1</v>
      </c>
      <c r="J13" s="325">
        <f>'HDD and CDD'!B128</f>
        <v>47</v>
      </c>
      <c r="K13" s="325">
        <f>'HDD and CDD'!B140</f>
        <v>53.1</v>
      </c>
      <c r="L13" s="325">
        <f>'HDD and CDD'!B152</f>
        <v>65.3</v>
      </c>
      <c r="M13" s="325">
        <f>'HDD and CDD'!B164</f>
        <v>92.5</v>
      </c>
      <c r="N13" s="325">
        <f>'HDD and CDD'!B176</f>
        <v>27.3</v>
      </c>
      <c r="O13" s="325">
        <f>'HDD and CDD'!B188</f>
        <v>44.1</v>
      </c>
      <c r="P13" s="325">
        <f>'HDD and CDD'!B200</f>
        <v>35.5</v>
      </c>
      <c r="Q13" s="325">
        <f>'HDD and CDD'!B212</f>
        <v>40.6</v>
      </c>
      <c r="R13" s="325">
        <f>'HDD and CDD'!B224</f>
        <v>75.7</v>
      </c>
      <c r="S13" s="325">
        <f>'HDD and CDD'!B236</f>
        <v>37.699999999999996</v>
      </c>
      <c r="T13" s="325">
        <f>'HDD and CDD'!B248</f>
        <v>48.500000000000007</v>
      </c>
      <c r="U13" s="325">
        <f>'HDD and CDD'!B260</f>
        <v>42.100000000000009</v>
      </c>
      <c r="V13" s="326">
        <f t="shared" si="2"/>
        <v>50.930000000000007</v>
      </c>
      <c r="W13" s="327">
        <f t="shared" si="3"/>
        <v>53.228345864661833</v>
      </c>
      <c r="X13" s="326">
        <f t="shared" si="4"/>
        <v>46.650000000000006</v>
      </c>
      <c r="Y13" s="327">
        <f t="shared" si="5"/>
        <v>48.317647058823539</v>
      </c>
    </row>
    <row r="14" spans="1:25" x14ac:dyDescent="0.2">
      <c r="A14" s="324" t="s">
        <v>254</v>
      </c>
      <c r="B14" s="325">
        <f>'HDD and CDD'!B33</f>
        <v>2.9</v>
      </c>
      <c r="C14" s="325">
        <f>'HDD and CDD'!B45</f>
        <v>6.3</v>
      </c>
      <c r="D14" s="325">
        <f>'HDD and CDD'!B57</f>
        <v>17.3</v>
      </c>
      <c r="E14" s="325">
        <f>'HDD and CDD'!B69</f>
        <v>18.899999999999999</v>
      </c>
      <c r="F14" s="325">
        <f>'HDD and CDD'!B81</f>
        <v>22.1</v>
      </c>
      <c r="G14" s="325">
        <f>'HDD and CDD'!B93</f>
        <v>6.9</v>
      </c>
      <c r="H14" s="325">
        <f>'HDD and CDD'!B105</f>
        <v>3.2</v>
      </c>
      <c r="I14" s="325">
        <f>'HDD and CDD'!B117</f>
        <v>18.600000000000001</v>
      </c>
      <c r="J14" s="325">
        <f>'HDD and CDD'!B129</f>
        <v>22.3</v>
      </c>
      <c r="K14" s="325">
        <f>'HDD and CDD'!B141</f>
        <v>4.7</v>
      </c>
      <c r="L14" s="325">
        <f>'HDD and CDD'!B153</f>
        <v>12.5</v>
      </c>
      <c r="M14" s="325">
        <f>'HDD and CDD'!B165</f>
        <v>21.3</v>
      </c>
      <c r="N14" s="325">
        <f>'HDD and CDD'!B177</f>
        <v>6.8</v>
      </c>
      <c r="O14" s="325">
        <f>'HDD and CDD'!B189</f>
        <v>6.5</v>
      </c>
      <c r="P14" s="325">
        <f>'HDD and CDD'!B201</f>
        <v>28</v>
      </c>
      <c r="Q14" s="325">
        <f>'HDD and CDD'!B213</f>
        <v>7.6</v>
      </c>
      <c r="R14" s="325">
        <f>'HDD and CDD'!B225</f>
        <v>37.6</v>
      </c>
      <c r="S14" s="325">
        <f>'HDD and CDD'!B237</f>
        <v>6.7</v>
      </c>
      <c r="T14" s="325">
        <f>'HDD and CDD'!B249</f>
        <v>0.8</v>
      </c>
      <c r="U14" s="325">
        <f>'HDD and CDD'!B261</f>
        <v>0</v>
      </c>
      <c r="V14" s="326">
        <f t="shared" si="2"/>
        <v>12.779999999999998</v>
      </c>
      <c r="W14" s="327">
        <f t="shared" si="3"/>
        <v>11.986240601503766</v>
      </c>
      <c r="X14" s="326">
        <f t="shared" si="4"/>
        <v>12.55</v>
      </c>
      <c r="Y14" s="327">
        <f t="shared" si="5"/>
        <v>13.205882352941176</v>
      </c>
    </row>
    <row r="15" spans="1:25" x14ac:dyDescent="0.2">
      <c r="A15" s="324" t="s">
        <v>255</v>
      </c>
      <c r="B15" s="325">
        <f>'HDD and CDD'!B34</f>
        <v>7.5</v>
      </c>
      <c r="C15" s="325">
        <f>'HDD and CDD'!B46</f>
        <v>39.200000000000003</v>
      </c>
      <c r="D15" s="325">
        <f>'HDD and CDD'!B58</f>
        <v>4.3</v>
      </c>
      <c r="E15" s="325">
        <f>'HDD and CDD'!B70</f>
        <v>6.2</v>
      </c>
      <c r="F15" s="325">
        <f>'HDD and CDD'!B82</f>
        <v>49.4</v>
      </c>
      <c r="G15" s="325">
        <f>'HDD and CDD'!B94</f>
        <v>12.1</v>
      </c>
      <c r="H15" s="325">
        <f>'HDD and CDD'!B106</f>
        <v>28.8</v>
      </c>
      <c r="I15" s="325">
        <f>'HDD and CDD'!B118</f>
        <v>29.7</v>
      </c>
      <c r="J15" s="325">
        <f>'HDD and CDD'!B130</f>
        <v>2.2999999999999998</v>
      </c>
      <c r="K15" s="325">
        <f>'HDD and CDD'!B142</f>
        <v>11</v>
      </c>
      <c r="L15" s="325">
        <f>'HDD and CDD'!B154</f>
        <v>18.899999999999999</v>
      </c>
      <c r="M15" s="325">
        <f>'HDD and CDD'!B166</f>
        <v>55</v>
      </c>
      <c r="N15" s="325">
        <f>'HDD and CDD'!B178</f>
        <v>11.9</v>
      </c>
      <c r="O15" s="325">
        <f>'HDD and CDD'!B190</f>
        <v>27.5</v>
      </c>
      <c r="P15" s="325">
        <f>'HDD and CDD'!B202</f>
        <v>19.7</v>
      </c>
      <c r="Q15" s="325">
        <f>'HDD and CDD'!B214</f>
        <v>36.200000000000003</v>
      </c>
      <c r="R15" s="325">
        <f>'HDD and CDD'!B226</f>
        <v>34.4</v>
      </c>
      <c r="S15" s="325">
        <f>'HDD and CDD'!B238</f>
        <v>9.6999999999999993</v>
      </c>
      <c r="T15" s="325">
        <f>'HDD and CDD'!B250</f>
        <v>6.8999999999999995</v>
      </c>
      <c r="U15" s="325">
        <f>'HDD and CDD'!B262</f>
        <v>19.400000000000002</v>
      </c>
      <c r="V15" s="326">
        <f t="shared" si="2"/>
        <v>23.96</v>
      </c>
      <c r="W15" s="327">
        <f t="shared" si="3"/>
        <v>22.50541353383457</v>
      </c>
      <c r="X15" s="326">
        <f t="shared" si="4"/>
        <v>21.504999999999992</v>
      </c>
      <c r="Y15" s="327">
        <f t="shared" si="5"/>
        <v>22.299999999999994</v>
      </c>
    </row>
    <row r="16" spans="1:25" x14ac:dyDescent="0.2">
      <c r="A16" s="324" t="s">
        <v>256</v>
      </c>
      <c r="B16" s="325">
        <f>'HDD and CDD'!B35</f>
        <v>156.4</v>
      </c>
      <c r="C16" s="325">
        <f>'HDD and CDD'!B47</f>
        <v>105.4</v>
      </c>
      <c r="D16" s="325">
        <f>'HDD and CDD'!B59</f>
        <v>143.6</v>
      </c>
      <c r="E16" s="325">
        <f>'HDD and CDD'!B71</f>
        <v>102.2</v>
      </c>
      <c r="F16" s="325">
        <f>'HDD and CDD'!B83</f>
        <v>115.2</v>
      </c>
      <c r="G16" s="325">
        <f>'HDD and CDD'!B95</f>
        <v>63</v>
      </c>
      <c r="H16" s="325">
        <f>'HDD and CDD'!B107</f>
        <v>88.9</v>
      </c>
      <c r="I16" s="325">
        <f>'HDD and CDD'!B119</f>
        <v>134</v>
      </c>
      <c r="J16" s="325">
        <f>'HDD and CDD'!B131</f>
        <v>118.8</v>
      </c>
      <c r="K16" s="325">
        <f>'HDD and CDD'!B143</f>
        <v>50.2</v>
      </c>
      <c r="L16" s="325">
        <f>'HDD and CDD'!B155</f>
        <v>104.1</v>
      </c>
      <c r="M16" s="325">
        <f>'HDD and CDD'!B167</f>
        <v>71.3</v>
      </c>
      <c r="N16" s="325">
        <f>'HDD and CDD'!B179</f>
        <v>63.4</v>
      </c>
      <c r="O16" s="325">
        <f>'HDD and CDD'!B191</f>
        <v>130.30000000000001</v>
      </c>
      <c r="P16" s="325">
        <f>'HDD and CDD'!B203</f>
        <v>74.7</v>
      </c>
      <c r="Q16" s="325">
        <f>'HDD and CDD'!B215</f>
        <v>93.2</v>
      </c>
      <c r="R16" s="325">
        <f>'HDD and CDD'!B227</f>
        <v>88.8</v>
      </c>
      <c r="S16" s="325">
        <f>'HDD and CDD'!B239</f>
        <v>122.70000000000002</v>
      </c>
      <c r="T16" s="325">
        <f>'HDD and CDD'!B251</f>
        <v>88.9</v>
      </c>
      <c r="U16" s="325">
        <f>'HDD and CDD'!B263</f>
        <v>125.40000000000002</v>
      </c>
      <c r="V16" s="326">
        <f t="shared" si="2"/>
        <v>96.28</v>
      </c>
      <c r="W16" s="327">
        <f t="shared" si="3"/>
        <v>87.795263157894624</v>
      </c>
      <c r="X16" s="326">
        <f t="shared" si="4"/>
        <v>102.02500000000001</v>
      </c>
      <c r="Y16" s="327">
        <f t="shared" si="5"/>
        <v>96.182352941176475</v>
      </c>
    </row>
    <row r="17" spans="1:25" x14ac:dyDescent="0.2">
      <c r="A17" s="324" t="s">
        <v>257</v>
      </c>
      <c r="B17" s="325">
        <f>'HDD and CDD'!B36</f>
        <v>335.9</v>
      </c>
      <c r="C17" s="325">
        <f>'HDD and CDD'!B48</f>
        <v>263.7</v>
      </c>
      <c r="D17" s="325">
        <f>'HDD and CDD'!B60</f>
        <v>245.5</v>
      </c>
      <c r="E17" s="325">
        <f>'HDD and CDD'!B72</f>
        <v>301.39999999999998</v>
      </c>
      <c r="F17" s="325">
        <f>'HDD and CDD'!B84</f>
        <v>288.89999999999998</v>
      </c>
      <c r="G17" s="325">
        <f>'HDD and CDD'!B96</f>
        <v>257.60000000000002</v>
      </c>
      <c r="H17" s="325">
        <f>'HDD and CDD'!B108</f>
        <v>319</v>
      </c>
      <c r="I17" s="325">
        <f>'HDD and CDD'!B120</f>
        <v>251.6</v>
      </c>
      <c r="J17" s="325">
        <f>'HDD and CDD'!B132</f>
        <v>276.7</v>
      </c>
      <c r="K17" s="325">
        <f>'HDD and CDD'!B144</f>
        <v>345.6</v>
      </c>
      <c r="L17" s="325">
        <f>'HDD and CDD'!B156</f>
        <v>331.9</v>
      </c>
      <c r="M17" s="325">
        <f>'HDD and CDD'!B168</f>
        <v>287.5</v>
      </c>
      <c r="N17" s="325">
        <f>'HDD and CDD'!B180</f>
        <v>259.89999999999998</v>
      </c>
      <c r="O17" s="325">
        <f>'HDD and CDD'!B192</f>
        <v>335.1</v>
      </c>
      <c r="P17" s="325">
        <f>'HDD and CDD'!B204</f>
        <v>184.7</v>
      </c>
      <c r="Q17" s="325">
        <f>'HDD and CDD'!B216</f>
        <v>325.7</v>
      </c>
      <c r="R17" s="325">
        <f>'HDD and CDD'!B228</f>
        <v>329.1</v>
      </c>
      <c r="S17" s="325">
        <f>'HDD and CDD'!B240</f>
        <v>279.59999999999997</v>
      </c>
      <c r="T17" s="325">
        <f>'HDD and CDD'!B252</f>
        <v>279.89999999999998</v>
      </c>
      <c r="U17" s="325">
        <f>'HDD and CDD'!B264</f>
        <v>279.2</v>
      </c>
      <c r="V17" s="326">
        <f t="shared" si="2"/>
        <v>289.26</v>
      </c>
      <c r="W17" s="327">
        <f t="shared" si="3"/>
        <v>288.84977443609023</v>
      </c>
      <c r="X17" s="326">
        <f t="shared" si="4"/>
        <v>288.92500000000001</v>
      </c>
      <c r="Y17" s="327">
        <f t="shared" si="5"/>
        <v>290.2</v>
      </c>
    </row>
    <row r="18" spans="1:25" x14ac:dyDescent="0.2">
      <c r="A18" s="324" t="s">
        <v>258</v>
      </c>
      <c r="B18" s="325">
        <f>'HDD and CDD'!B37</f>
        <v>463.5</v>
      </c>
      <c r="C18" s="325">
        <f>'HDD and CDD'!B49</f>
        <v>405.3</v>
      </c>
      <c r="D18" s="325">
        <f>'HDD and CDD'!B61</f>
        <v>539.20000000000005</v>
      </c>
      <c r="E18" s="325">
        <f>'HDD and CDD'!B73</f>
        <v>548.1</v>
      </c>
      <c r="F18" s="325">
        <f>'HDD and CDD'!B85</f>
        <v>471.4</v>
      </c>
      <c r="G18" s="325">
        <f>'HDD and CDD'!B97</f>
        <v>440.1</v>
      </c>
      <c r="H18" s="325">
        <f>'HDD and CDD'!B109</f>
        <v>405.1</v>
      </c>
      <c r="I18" s="325">
        <f>'HDD and CDD'!B121</f>
        <v>470.9</v>
      </c>
      <c r="J18" s="325">
        <f>'HDD and CDD'!B133</f>
        <v>370.8</v>
      </c>
      <c r="K18" s="325">
        <f>'HDD and CDD'!B145</f>
        <v>486.4</v>
      </c>
      <c r="L18" s="325">
        <f>'HDD and CDD'!B157</f>
        <v>434.4</v>
      </c>
      <c r="M18" s="325">
        <f>'HDD and CDD'!B169</f>
        <v>432.9</v>
      </c>
      <c r="N18" s="325">
        <f>'HDD and CDD'!B181</f>
        <v>433.1</v>
      </c>
      <c r="O18" s="325">
        <f>'HDD and CDD'!B193</f>
        <v>415.9</v>
      </c>
      <c r="P18" s="325">
        <f>'HDD and CDD'!B205</f>
        <v>511.8</v>
      </c>
      <c r="Q18" s="325">
        <f>'HDD and CDD'!B217</f>
        <v>499.7</v>
      </c>
      <c r="R18" s="325">
        <f>'HDD and CDD'!B229</f>
        <v>396.5</v>
      </c>
      <c r="S18" s="325">
        <f>'HDD and CDD'!B241</f>
        <v>337.9</v>
      </c>
      <c r="T18" s="325">
        <f>'HDD and CDD'!B253</f>
        <v>382.4</v>
      </c>
      <c r="U18" s="325">
        <f>'HDD and CDD'!B265</f>
        <v>483.60000000000014</v>
      </c>
      <c r="V18" s="326">
        <f t="shared" si="2"/>
        <v>432.82000000000005</v>
      </c>
      <c r="W18" s="327">
        <f t="shared" si="3"/>
        <v>411.68887218045074</v>
      </c>
      <c r="X18" s="326">
        <f t="shared" si="4"/>
        <v>446.44999999999993</v>
      </c>
      <c r="Y18" s="327">
        <f t="shared" si="5"/>
        <v>442.41176470588238</v>
      </c>
    </row>
    <row r="19" spans="1:25" x14ac:dyDescent="0.2">
      <c r="A19" s="324" t="s">
        <v>259</v>
      </c>
      <c r="B19" s="325">
        <f>'HDD and CDD'!B38</f>
        <v>649.6</v>
      </c>
      <c r="C19" s="325">
        <f>'HDD and CDD'!B50</f>
        <v>591.1</v>
      </c>
      <c r="D19" s="325">
        <f>'HDD and CDD'!B62</f>
        <v>741.3</v>
      </c>
      <c r="E19" s="325">
        <f>'HDD and CDD'!B74</f>
        <v>596.5</v>
      </c>
      <c r="F19" s="325">
        <f>'HDD and CDD'!B86</f>
        <v>630.70000000000005</v>
      </c>
      <c r="G19" s="325">
        <f>'HDD and CDD'!B98</f>
        <v>572.1</v>
      </c>
      <c r="H19" s="325">
        <f>'HDD and CDD'!B110</f>
        <v>623.70000000000005</v>
      </c>
      <c r="I19" s="325">
        <f>'HDD and CDD'!B122</f>
        <v>826.5</v>
      </c>
      <c r="J19" s="325">
        <f>'HDD and CDD'!B134</f>
        <v>563.29999999999995</v>
      </c>
      <c r="K19" s="325">
        <f>'HDD and CDD'!B146</f>
        <v>675.6</v>
      </c>
      <c r="L19" s="325">
        <f>'HDD and CDD'!B158</f>
        <v>610</v>
      </c>
      <c r="M19" s="325">
        <f>'HDD and CDD'!B170</f>
        <v>700.1</v>
      </c>
      <c r="N19" s="325">
        <f>'HDD and CDD'!B182</f>
        <v>721.6</v>
      </c>
      <c r="O19" s="325">
        <f>'HDD and CDD'!B194</f>
        <v>545.20000000000005</v>
      </c>
      <c r="P19" s="325">
        <f>'HDD and CDD'!B206</f>
        <v>686.6</v>
      </c>
      <c r="Q19" s="325">
        <f>'HDD and CDD'!B218</f>
        <v>694</v>
      </c>
      <c r="R19" s="325">
        <f>'HDD and CDD'!B230</f>
        <v>669.5</v>
      </c>
      <c r="S19" s="325">
        <f>'HDD and CDD'!B242</f>
        <v>719.39999999999986</v>
      </c>
      <c r="T19" s="325">
        <f>'HDD and CDD'!B254</f>
        <v>574.79999999999995</v>
      </c>
      <c r="U19" s="325">
        <f>'HDD and CDD'!B266</f>
        <v>565.50000000000011</v>
      </c>
      <c r="V19" s="326">
        <f t="shared" si="2"/>
        <v>648.66999999999996</v>
      </c>
      <c r="W19" s="327">
        <f t="shared" si="3"/>
        <v>645.63368421052633</v>
      </c>
      <c r="X19" s="326">
        <f t="shared" si="4"/>
        <v>647.85500000000002</v>
      </c>
      <c r="Y19" s="327">
        <f t="shared" si="5"/>
        <v>645.59411764705885</v>
      </c>
    </row>
    <row r="20" spans="1:25" x14ac:dyDescent="0.2">
      <c r="A20" s="324"/>
      <c r="B20" s="324"/>
      <c r="C20" s="324"/>
      <c r="D20" s="324"/>
      <c r="E20" s="324"/>
      <c r="F20" s="324"/>
      <c r="Q20" s="324"/>
      <c r="R20" s="324"/>
      <c r="S20" s="324"/>
      <c r="T20" s="324"/>
      <c r="U20" s="324"/>
    </row>
    <row r="21" spans="1:25" x14ac:dyDescent="0.2">
      <c r="A21" s="324" t="s">
        <v>12</v>
      </c>
      <c r="B21" s="325">
        <f t="shared" ref="B21:U21" si="6">SUM(B8:B19)</f>
        <v>4240.4000000000005</v>
      </c>
      <c r="C21" s="325">
        <f t="shared" si="6"/>
        <v>4382.6000000000004</v>
      </c>
      <c r="D21" s="325">
        <f t="shared" si="6"/>
        <v>4249.9000000000005</v>
      </c>
      <c r="E21" s="325">
        <f t="shared" si="6"/>
        <v>4413.1000000000004</v>
      </c>
      <c r="F21" s="325">
        <f t="shared" si="6"/>
        <v>4301</v>
      </c>
      <c r="G21" s="325">
        <f t="shared" si="6"/>
        <v>3512.5999999999995</v>
      </c>
      <c r="H21" s="325">
        <f t="shared" si="6"/>
        <v>3932.8999999999996</v>
      </c>
      <c r="I21" s="325">
        <f t="shared" si="6"/>
        <v>4146.7999999999993</v>
      </c>
      <c r="J21" s="325">
        <f t="shared" si="6"/>
        <v>3820.0000000000009</v>
      </c>
      <c r="K21" s="325">
        <f t="shared" si="6"/>
        <v>4048.4999999999995</v>
      </c>
      <c r="L21" s="325">
        <f t="shared" si="6"/>
        <v>4454.5</v>
      </c>
      <c r="M21" s="325">
        <f t="shared" si="6"/>
        <v>4330.2000000000007</v>
      </c>
      <c r="N21" s="325">
        <f t="shared" si="6"/>
        <v>4302.2000000000007</v>
      </c>
      <c r="O21" s="325">
        <f t="shared" si="6"/>
        <v>3809.1000000000004</v>
      </c>
      <c r="P21" s="325">
        <f t="shared" si="6"/>
        <v>4175.8</v>
      </c>
      <c r="Q21" s="325">
        <f t="shared" si="6"/>
        <v>4252.0999999999985</v>
      </c>
      <c r="R21" s="325">
        <f t="shared" si="6"/>
        <v>4269.8999999999996</v>
      </c>
      <c r="S21" s="325">
        <f t="shared" si="6"/>
        <v>3756.7999999999984</v>
      </c>
      <c r="T21" s="325">
        <f t="shared" si="6"/>
        <v>3845.7000000000007</v>
      </c>
      <c r="U21" s="325">
        <f t="shared" si="6"/>
        <v>3584.7</v>
      </c>
    </row>
    <row r="22" spans="1:25" x14ac:dyDescent="0.2">
      <c r="A22" s="318"/>
      <c r="B22" s="318"/>
      <c r="C22" s="318"/>
      <c r="D22" s="318"/>
      <c r="E22" s="319"/>
      <c r="F22" s="319"/>
      <c r="U22" s="329">
        <f>SUM(B21:U21)</f>
        <v>81828.799999999988</v>
      </c>
    </row>
    <row r="23" spans="1:25" x14ac:dyDescent="0.2">
      <c r="A23" s="318" t="s">
        <v>260</v>
      </c>
      <c r="B23" s="318"/>
      <c r="C23" s="318"/>
      <c r="D23" s="318"/>
      <c r="E23" s="319"/>
      <c r="F23" s="319"/>
    </row>
    <row r="24" spans="1:25" x14ac:dyDescent="0.2">
      <c r="A24" s="320"/>
      <c r="B24" s="320"/>
      <c r="C24" s="320"/>
      <c r="D24" s="320"/>
      <c r="E24" s="321"/>
      <c r="F24" s="321"/>
    </row>
    <row r="25" spans="1:25" x14ac:dyDescent="0.2">
      <c r="A25" s="322" t="s">
        <v>246</v>
      </c>
      <c r="B25" s="322">
        <v>1993</v>
      </c>
      <c r="C25" s="322">
        <v>1994</v>
      </c>
      <c r="D25" s="322">
        <v>1995</v>
      </c>
      <c r="E25" s="322">
        <v>1996</v>
      </c>
      <c r="F25" s="322">
        <v>1997</v>
      </c>
      <c r="G25" s="322">
        <v>1998</v>
      </c>
      <c r="H25" s="322">
        <v>1999</v>
      </c>
      <c r="I25" s="322">
        <v>2000</v>
      </c>
      <c r="J25" s="322">
        <v>2001</v>
      </c>
      <c r="K25" s="322">
        <v>2002</v>
      </c>
      <c r="L25" s="322">
        <v>2003</v>
      </c>
      <c r="M25" s="322">
        <v>2004</v>
      </c>
      <c r="N25" s="322">
        <v>2005</v>
      </c>
      <c r="O25" s="322">
        <v>2006</v>
      </c>
      <c r="P25" s="322">
        <v>2007</v>
      </c>
      <c r="Q25" s="322">
        <v>2008</v>
      </c>
      <c r="R25" s="322">
        <v>2009</v>
      </c>
      <c r="S25" s="322">
        <v>2010</v>
      </c>
      <c r="T25" s="322">
        <v>2011</v>
      </c>
      <c r="U25" s="322">
        <v>2012</v>
      </c>
      <c r="V25" s="323" t="s">
        <v>247</v>
      </c>
      <c r="W25" s="323" t="s">
        <v>248</v>
      </c>
      <c r="X25" s="323" t="s">
        <v>262</v>
      </c>
      <c r="Y25" s="323" t="s">
        <v>263</v>
      </c>
    </row>
    <row r="26" spans="1:25" x14ac:dyDescent="0.2">
      <c r="A26" s="320"/>
      <c r="B26" s="320"/>
      <c r="C26" s="320"/>
      <c r="D26" s="320"/>
      <c r="E26" s="319"/>
      <c r="F26" s="319"/>
      <c r="V26" s="330"/>
      <c r="W26" s="330"/>
    </row>
    <row r="27" spans="1:25" x14ac:dyDescent="0.2">
      <c r="E27" s="319"/>
      <c r="F27" s="319"/>
      <c r="V27" s="330"/>
      <c r="W27" s="330"/>
    </row>
    <row r="28" spans="1:25" x14ac:dyDescent="0.2">
      <c r="A28" s="324" t="s">
        <v>249</v>
      </c>
      <c r="B28" s="325">
        <f>'HDD and CDD'!C27</f>
        <v>0</v>
      </c>
      <c r="C28" s="325">
        <f>'HDD and CDD'!C39</f>
        <v>0</v>
      </c>
      <c r="D28" s="325">
        <f>'HDD and CDD'!C51</f>
        <v>0</v>
      </c>
      <c r="E28" s="325">
        <f>'HDD and CDD'!C63</f>
        <v>0</v>
      </c>
      <c r="F28" s="325">
        <f>'HDD and CDD'!C75</f>
        <v>0</v>
      </c>
      <c r="G28" s="325">
        <f>'HDD and CDD'!C87</f>
        <v>0</v>
      </c>
      <c r="H28" s="325">
        <f>'HDD and CDD'!C99</f>
        <v>0</v>
      </c>
      <c r="I28" s="325">
        <f>'HDD and CDD'!C111</f>
        <v>0</v>
      </c>
      <c r="J28" s="325">
        <f>'HDD and CDD'!C123</f>
        <v>0</v>
      </c>
      <c r="K28" s="325">
        <f>'HDD and CDD'!C135</f>
        <v>0</v>
      </c>
      <c r="L28" s="325">
        <f>'HDD and CDD'!C147</f>
        <v>0</v>
      </c>
      <c r="M28" s="325">
        <f>'HDD and CDD'!C159</f>
        <v>0</v>
      </c>
      <c r="N28" s="325">
        <f>'HDD and CDD'!C171</f>
        <v>0</v>
      </c>
      <c r="O28" s="325">
        <f>'HDD and CDD'!C183</f>
        <v>0</v>
      </c>
      <c r="P28" s="325">
        <f>'HDD and CDD'!C195</f>
        <v>0</v>
      </c>
      <c r="Q28" s="325">
        <f>'HDD and CDD'!C207</f>
        <v>0</v>
      </c>
      <c r="R28" s="325">
        <f>'HDD and CDD'!C219</f>
        <v>0</v>
      </c>
      <c r="S28" s="325">
        <f>'HDD and CDD'!C231</f>
        <v>0</v>
      </c>
      <c r="T28" s="325">
        <f>'HDD and CDD'!C243</f>
        <v>0</v>
      </c>
      <c r="U28" s="325">
        <f>'HDD and CDD'!C255</f>
        <v>0</v>
      </c>
      <c r="V28" s="326">
        <f>AVERAGE(L28:U28)</f>
        <v>0</v>
      </c>
      <c r="W28" s="327">
        <f>TREND(B28:U28,$B$25:$U$25,2014)</f>
        <v>0</v>
      </c>
      <c r="X28" s="326">
        <f>AVERAGE(B28:U28)</f>
        <v>0</v>
      </c>
      <c r="Y28" s="327">
        <f>AVERAGE(E28:U28)</f>
        <v>0</v>
      </c>
    </row>
    <row r="29" spans="1:25" x14ac:dyDescent="0.2">
      <c r="A29" s="324" t="s">
        <v>250</v>
      </c>
      <c r="B29" s="325">
        <f>'HDD and CDD'!C28</f>
        <v>0</v>
      </c>
      <c r="C29" s="325">
        <f>'HDD and CDD'!C40</f>
        <v>0</v>
      </c>
      <c r="D29" s="325">
        <f>'HDD and CDD'!C52</f>
        <v>0</v>
      </c>
      <c r="E29" s="325">
        <f>'HDD and CDD'!C64</f>
        <v>0</v>
      </c>
      <c r="F29" s="325">
        <f>'HDD and CDD'!C76</f>
        <v>0</v>
      </c>
      <c r="G29" s="325">
        <f>'HDD and CDD'!C88</f>
        <v>0</v>
      </c>
      <c r="H29" s="325">
        <f>'HDD and CDD'!C100</f>
        <v>0</v>
      </c>
      <c r="I29" s="325">
        <f>'HDD and CDD'!C112</f>
        <v>0</v>
      </c>
      <c r="J29" s="325">
        <f>'HDD and CDD'!C124</f>
        <v>0</v>
      </c>
      <c r="K29" s="325">
        <f>'HDD and CDD'!C136</f>
        <v>0</v>
      </c>
      <c r="L29" s="325">
        <f>'HDD and CDD'!C148</f>
        <v>0</v>
      </c>
      <c r="M29" s="325">
        <f>'HDD and CDD'!C160</f>
        <v>0</v>
      </c>
      <c r="N29" s="325">
        <f>'HDD and CDD'!C172</f>
        <v>0</v>
      </c>
      <c r="O29" s="325">
        <f>'HDD and CDD'!C184</f>
        <v>0</v>
      </c>
      <c r="P29" s="325">
        <f>'HDD and CDD'!C196</f>
        <v>0</v>
      </c>
      <c r="Q29" s="325">
        <f>'HDD and CDD'!C208</f>
        <v>0</v>
      </c>
      <c r="R29" s="325">
        <f>'HDD and CDD'!C220</f>
        <v>0</v>
      </c>
      <c r="S29" s="325">
        <f>'HDD and CDD'!C232</f>
        <v>0</v>
      </c>
      <c r="T29" s="325">
        <f>'HDD and CDD'!C244</f>
        <v>0</v>
      </c>
      <c r="U29" s="325">
        <f>'HDD and CDD'!C256</f>
        <v>0</v>
      </c>
      <c r="V29" s="326">
        <f t="shared" ref="V29:V39" si="7">AVERAGE(L29:U29)</f>
        <v>0</v>
      </c>
      <c r="W29" s="327">
        <f t="shared" ref="W29:W38" si="8">TREND(B29:U29,$B$25:$U$25,2014)</f>
        <v>0</v>
      </c>
      <c r="X29" s="326">
        <f t="shared" ref="X29:X39" si="9">AVERAGE(B29:U29)</f>
        <v>0</v>
      </c>
      <c r="Y29" s="327">
        <f t="shared" ref="Y29:Y39" si="10">AVERAGE(E29:U29)</f>
        <v>0</v>
      </c>
    </row>
    <row r="30" spans="1:25" x14ac:dyDescent="0.2">
      <c r="A30" s="324" t="s">
        <v>251</v>
      </c>
      <c r="B30" s="325">
        <f>'HDD and CDD'!C29</f>
        <v>0</v>
      </c>
      <c r="C30" s="325">
        <f>'HDD and CDD'!C41</f>
        <v>0</v>
      </c>
      <c r="D30" s="325">
        <f>'HDD and CDD'!C53</f>
        <v>0</v>
      </c>
      <c r="E30" s="325">
        <f>'HDD and CDD'!C65</f>
        <v>0</v>
      </c>
      <c r="F30" s="325">
        <f>'HDD and CDD'!C77</f>
        <v>0</v>
      </c>
      <c r="G30" s="325">
        <f>'HDD and CDD'!C89</f>
        <v>0</v>
      </c>
      <c r="H30" s="325">
        <f>'HDD and CDD'!C101</f>
        <v>0</v>
      </c>
      <c r="I30" s="325">
        <f>'HDD and CDD'!C113</f>
        <v>0</v>
      </c>
      <c r="J30" s="325">
        <f>'HDD and CDD'!C125</f>
        <v>0</v>
      </c>
      <c r="K30" s="325">
        <f>'HDD and CDD'!C137</f>
        <v>0</v>
      </c>
      <c r="L30" s="325">
        <f>'HDD and CDD'!C149</f>
        <v>0</v>
      </c>
      <c r="M30" s="325">
        <f>'HDD and CDD'!C161</f>
        <v>0</v>
      </c>
      <c r="N30" s="325">
        <f>'HDD and CDD'!C173</f>
        <v>0</v>
      </c>
      <c r="O30" s="325">
        <f>'HDD and CDD'!C185</f>
        <v>0</v>
      </c>
      <c r="P30" s="325">
        <f>'HDD and CDD'!C197</f>
        <v>0</v>
      </c>
      <c r="Q30" s="325">
        <f>'HDD and CDD'!C209</f>
        <v>0</v>
      </c>
      <c r="R30" s="325">
        <f>'HDD and CDD'!C221</f>
        <v>0</v>
      </c>
      <c r="S30" s="325">
        <f>'HDD and CDD'!C233</f>
        <v>0</v>
      </c>
      <c r="T30" s="325">
        <f>'HDD and CDD'!C245</f>
        <v>0</v>
      </c>
      <c r="U30" s="325">
        <f>'HDD and CDD'!C257</f>
        <v>0</v>
      </c>
      <c r="V30" s="326">
        <f t="shared" si="7"/>
        <v>0</v>
      </c>
      <c r="W30" s="327">
        <f t="shared" si="8"/>
        <v>0</v>
      </c>
      <c r="X30" s="326">
        <f t="shared" si="9"/>
        <v>0</v>
      </c>
      <c r="Y30" s="327">
        <f t="shared" si="10"/>
        <v>0</v>
      </c>
    </row>
    <row r="31" spans="1:25" x14ac:dyDescent="0.2">
      <c r="A31" s="324" t="s">
        <v>252</v>
      </c>
      <c r="B31" s="325">
        <f>'HDD and CDD'!C30</f>
        <v>0</v>
      </c>
      <c r="C31" s="325">
        <f>'HDD and CDD'!C42</f>
        <v>0</v>
      </c>
      <c r="D31" s="325">
        <f>'HDD and CDD'!C54</f>
        <v>0</v>
      </c>
      <c r="E31" s="325">
        <f>'HDD and CDD'!C66</f>
        <v>0</v>
      </c>
      <c r="F31" s="325">
        <f>'HDD and CDD'!C78</f>
        <v>0</v>
      </c>
      <c r="G31" s="325">
        <f>'HDD and CDD'!C90</f>
        <v>0</v>
      </c>
      <c r="H31" s="325">
        <f>'HDD and CDD'!C102</f>
        <v>0</v>
      </c>
      <c r="I31" s="325">
        <f>'HDD and CDD'!C114</f>
        <v>0</v>
      </c>
      <c r="J31" s="325">
        <f>'HDD and CDD'!C126</f>
        <v>0</v>
      </c>
      <c r="K31" s="325">
        <f>'HDD and CDD'!C138</f>
        <v>6.6</v>
      </c>
      <c r="L31" s="325">
        <f>'HDD and CDD'!C150</f>
        <v>0.7</v>
      </c>
      <c r="M31" s="325">
        <f>'HDD and CDD'!C162</f>
        <v>0</v>
      </c>
      <c r="N31" s="325">
        <f>'HDD and CDD'!C174</f>
        <v>0</v>
      </c>
      <c r="O31" s="325">
        <f>'HDD and CDD'!C186</f>
        <v>0</v>
      </c>
      <c r="P31" s="325">
        <f>'HDD and CDD'!C198</f>
        <v>0</v>
      </c>
      <c r="Q31" s="325">
        <f>'HDD and CDD'!C210</f>
        <v>0</v>
      </c>
      <c r="R31" s="325">
        <f>'HDD and CDD'!C222</f>
        <v>3.2</v>
      </c>
      <c r="S31" s="325">
        <f>'HDD and CDD'!C234</f>
        <v>0</v>
      </c>
      <c r="T31" s="325">
        <f>'HDD and CDD'!C246</f>
        <v>0</v>
      </c>
      <c r="U31" s="325">
        <f>'HDD and CDD'!C258</f>
        <v>0</v>
      </c>
      <c r="V31" s="326">
        <f t="shared" si="7"/>
        <v>0.39</v>
      </c>
      <c r="W31" s="327">
        <f t="shared" si="8"/>
        <v>0.83368421052631447</v>
      </c>
      <c r="X31" s="326">
        <f t="shared" si="9"/>
        <v>0.52500000000000002</v>
      </c>
      <c r="Y31" s="327">
        <f t="shared" si="10"/>
        <v>0.61764705882352944</v>
      </c>
    </row>
    <row r="32" spans="1:25" x14ac:dyDescent="0.2">
      <c r="A32" s="324" t="s">
        <v>122</v>
      </c>
      <c r="B32" s="325">
        <f>'HDD and CDD'!C31</f>
        <v>1.5</v>
      </c>
      <c r="C32" s="325">
        <f>'HDD and CDD'!C43</f>
        <v>6.9</v>
      </c>
      <c r="D32" s="325">
        <f>'HDD and CDD'!C55</f>
        <v>1.7</v>
      </c>
      <c r="E32" s="325">
        <f>'HDD and CDD'!C67</f>
        <v>10</v>
      </c>
      <c r="F32" s="325">
        <f>'HDD and CDD'!C79</f>
        <v>0</v>
      </c>
      <c r="G32" s="325">
        <f>'HDD and CDD'!C91</f>
        <v>16.8</v>
      </c>
      <c r="H32" s="325">
        <f>'HDD and CDD'!C103</f>
        <v>10.5</v>
      </c>
      <c r="I32" s="325">
        <f>'HDD and CDD'!C115</f>
        <v>18.7</v>
      </c>
      <c r="J32" s="325">
        <f>'HDD and CDD'!C127</f>
        <v>7.7</v>
      </c>
      <c r="K32" s="325">
        <f>'HDD and CDD'!C139</f>
        <v>5.3</v>
      </c>
      <c r="L32" s="325">
        <f>'HDD and CDD'!C151</f>
        <v>0</v>
      </c>
      <c r="M32" s="325">
        <f>'HDD and CDD'!C163</f>
        <v>6.7</v>
      </c>
      <c r="N32" s="325">
        <f>'HDD and CDD'!C175</f>
        <v>0</v>
      </c>
      <c r="O32" s="325">
        <f>'HDD and CDD'!C187</f>
        <v>17.7</v>
      </c>
      <c r="P32" s="325">
        <f>'HDD and CDD'!C199</f>
        <v>11.2</v>
      </c>
      <c r="Q32" s="325">
        <f>'HDD and CDD'!C211</f>
        <v>0.7</v>
      </c>
      <c r="R32" s="325">
        <f>'HDD and CDD'!C223</f>
        <v>2.2999999999999998</v>
      </c>
      <c r="S32" s="325">
        <f>'HDD and CDD'!C235</f>
        <v>21</v>
      </c>
      <c r="T32" s="325">
        <f>'HDD and CDD'!C247</f>
        <v>13.2</v>
      </c>
      <c r="U32" s="325">
        <f>'HDD and CDD'!C259</f>
        <v>18.2</v>
      </c>
      <c r="V32" s="326">
        <f t="shared" si="7"/>
        <v>9.1</v>
      </c>
      <c r="W32" s="327">
        <f t="shared" si="8"/>
        <v>12.99864661654135</v>
      </c>
      <c r="X32" s="326">
        <f t="shared" si="9"/>
        <v>8.504999999999999</v>
      </c>
      <c r="Y32" s="327">
        <f t="shared" si="10"/>
        <v>9.4117647058823533</v>
      </c>
    </row>
    <row r="33" spans="1:25" x14ac:dyDescent="0.2">
      <c r="A33" s="324" t="s">
        <v>253</v>
      </c>
      <c r="B33" s="325">
        <f>'HDD and CDD'!C32</f>
        <v>26.2</v>
      </c>
      <c r="C33" s="325">
        <f>'HDD and CDD'!C44</f>
        <v>61.6</v>
      </c>
      <c r="D33" s="325">
        <f>'HDD and CDD'!C56</f>
        <v>70.8</v>
      </c>
      <c r="E33" s="325">
        <f>'HDD and CDD'!C68</f>
        <v>38.6</v>
      </c>
      <c r="F33" s="325">
        <f>'HDD and CDD'!C80</f>
        <v>50.4</v>
      </c>
      <c r="G33" s="325">
        <f>'HDD and CDD'!C92</f>
        <v>63.7</v>
      </c>
      <c r="H33" s="325">
        <f>'HDD and CDD'!C104</f>
        <v>76.5</v>
      </c>
      <c r="I33" s="325">
        <f>'HDD and CDD'!C116</f>
        <v>35.4</v>
      </c>
      <c r="J33" s="325">
        <f>'HDD and CDD'!C128</f>
        <v>62.4</v>
      </c>
      <c r="K33" s="325">
        <f>'HDD and CDD'!C140</f>
        <v>54.5</v>
      </c>
      <c r="L33" s="325">
        <f>'HDD and CDD'!C152</f>
        <v>25.5</v>
      </c>
      <c r="M33" s="325">
        <f>'HDD and CDD'!C164</f>
        <v>16.3</v>
      </c>
      <c r="N33" s="325">
        <f>'HDD and CDD'!C176</f>
        <v>104.8</v>
      </c>
      <c r="O33" s="325">
        <f>'HDD and CDD'!C188</f>
        <v>32.200000000000003</v>
      </c>
      <c r="P33" s="325">
        <f>'HDD and CDD'!C200</f>
        <v>51.2</v>
      </c>
      <c r="Q33" s="325">
        <f>'HDD and CDD'!C212</f>
        <v>53</v>
      </c>
      <c r="R33" s="325">
        <f>'HDD and CDD'!C224</f>
        <v>26.2</v>
      </c>
      <c r="S33" s="325">
        <f>'HDD and CDD'!C236</f>
        <v>26.800000000000004</v>
      </c>
      <c r="T33" s="325">
        <f>'HDD and CDD'!C248</f>
        <v>21.599999999999998</v>
      </c>
      <c r="U33" s="325">
        <f>'HDD and CDD'!C260</f>
        <v>61.199999999999996</v>
      </c>
      <c r="V33" s="326">
        <f t="shared" si="7"/>
        <v>41.88</v>
      </c>
      <c r="W33" s="327">
        <f t="shared" si="8"/>
        <v>38.861729323308282</v>
      </c>
      <c r="X33" s="326">
        <f t="shared" si="9"/>
        <v>47.945</v>
      </c>
      <c r="Y33" s="327">
        <f t="shared" si="10"/>
        <v>47.076470588235296</v>
      </c>
    </row>
    <row r="34" spans="1:25" x14ac:dyDescent="0.2">
      <c r="A34" s="324" t="s">
        <v>254</v>
      </c>
      <c r="B34" s="325">
        <f>'HDD and CDD'!C33</f>
        <v>97.1</v>
      </c>
      <c r="C34" s="325">
        <f>'HDD and CDD'!C45</f>
        <v>77.7</v>
      </c>
      <c r="D34" s="325">
        <f>'HDD and CDD'!C57</f>
        <v>105.9</v>
      </c>
      <c r="E34" s="325">
        <f>'HDD and CDD'!C69</f>
        <v>41.9</v>
      </c>
      <c r="F34" s="325">
        <f>'HDD and CDD'!C81</f>
        <v>59.8</v>
      </c>
      <c r="G34" s="325">
        <f>'HDD and CDD'!C93</f>
        <v>64.8</v>
      </c>
      <c r="H34" s="325">
        <f>'HDD and CDD'!C105</f>
        <v>138.9</v>
      </c>
      <c r="I34" s="325">
        <f>'HDD and CDD'!C117</f>
        <v>44.8</v>
      </c>
      <c r="J34" s="325">
        <f>'HDD and CDD'!C129</f>
        <v>65.7</v>
      </c>
      <c r="K34" s="325">
        <f>'HDD and CDD'!C141</f>
        <v>129</v>
      </c>
      <c r="L34" s="325">
        <f>'HDD and CDD'!C153</f>
        <v>50.1</v>
      </c>
      <c r="M34" s="325">
        <f>'HDD and CDD'!C165</f>
        <v>49.3</v>
      </c>
      <c r="N34" s="325">
        <f>'HDD and CDD'!C177</f>
        <v>105.4</v>
      </c>
      <c r="O34" s="325">
        <f>'HDD and CDD'!C189</f>
        <v>117.2</v>
      </c>
      <c r="P34" s="325">
        <f>'HDD and CDD'!C201</f>
        <v>53.8</v>
      </c>
      <c r="Q34" s="325">
        <f>'HDD and CDD'!C213</f>
        <v>75.8</v>
      </c>
      <c r="R34" s="325">
        <f>'HDD and CDD'!C225</f>
        <v>14.5</v>
      </c>
      <c r="S34" s="325">
        <f>'HDD and CDD'!C237</f>
        <v>100.59999999999998</v>
      </c>
      <c r="T34" s="325">
        <f>'HDD and CDD'!C249</f>
        <v>128.19999999999999</v>
      </c>
      <c r="U34" s="325">
        <f>'HDD and CDD'!C261</f>
        <v>116.40000000000002</v>
      </c>
      <c r="V34" s="326">
        <f t="shared" si="7"/>
        <v>81.13000000000001</v>
      </c>
      <c r="W34" s="327">
        <f t="shared" si="8"/>
        <v>89.536165413534036</v>
      </c>
      <c r="X34" s="326">
        <f t="shared" si="9"/>
        <v>81.844999999999999</v>
      </c>
      <c r="Y34" s="327">
        <f t="shared" si="10"/>
        <v>79.776470588235298</v>
      </c>
    </row>
    <row r="35" spans="1:25" x14ac:dyDescent="0.2">
      <c r="A35" s="324" t="s">
        <v>255</v>
      </c>
      <c r="B35" s="325">
        <f>'HDD and CDD'!C34</f>
        <v>93.8</v>
      </c>
      <c r="C35" s="325">
        <f>'HDD and CDD'!C46</f>
        <v>27.3</v>
      </c>
      <c r="D35" s="325">
        <f>'HDD and CDD'!C58</f>
        <v>101.9</v>
      </c>
      <c r="E35" s="325">
        <f>'HDD and CDD'!C70</f>
        <v>55.2</v>
      </c>
      <c r="F35" s="325">
        <f>'HDD and CDD'!C82</f>
        <v>21.9</v>
      </c>
      <c r="G35" s="325">
        <f>'HDD and CDD'!C94</f>
        <v>83.1</v>
      </c>
      <c r="H35" s="325">
        <f>'HDD and CDD'!C106</f>
        <v>30.9</v>
      </c>
      <c r="I35" s="325">
        <f>'HDD and CDD'!C118</f>
        <v>46.3</v>
      </c>
      <c r="J35" s="325">
        <f>'HDD and CDD'!C130</f>
        <v>94.2</v>
      </c>
      <c r="K35" s="325">
        <f>'HDD and CDD'!C142</f>
        <v>72.3</v>
      </c>
      <c r="L35" s="325">
        <f>'HDD and CDD'!C154</f>
        <v>72.400000000000006</v>
      </c>
      <c r="M35" s="325">
        <f>'HDD and CDD'!C166</f>
        <v>30.6</v>
      </c>
      <c r="N35" s="325">
        <f>'HDD and CDD'!C178</f>
        <v>67.900000000000006</v>
      </c>
      <c r="O35" s="325">
        <f>'HDD and CDD'!C190</f>
        <v>45.5</v>
      </c>
      <c r="P35" s="325">
        <f>'HDD and CDD'!C202</f>
        <v>65.099999999999994</v>
      </c>
      <c r="Q35" s="325">
        <f>'HDD and CDD'!C214</f>
        <v>29.5</v>
      </c>
      <c r="R35" s="325">
        <f>'HDD and CDD'!C226</f>
        <v>57.3</v>
      </c>
      <c r="S35" s="325">
        <f>'HDD and CDD'!C238</f>
        <v>79.200000000000017</v>
      </c>
      <c r="T35" s="325">
        <f>'HDD and CDD'!C250</f>
        <v>54.3</v>
      </c>
      <c r="U35" s="325">
        <f>'HDD and CDD'!C262</f>
        <v>58.100000000000009</v>
      </c>
      <c r="V35" s="326">
        <f t="shared" si="7"/>
        <v>55.989999999999995</v>
      </c>
      <c r="W35" s="327">
        <f t="shared" si="8"/>
        <v>54.226390977443657</v>
      </c>
      <c r="X35" s="326">
        <f t="shared" si="9"/>
        <v>59.339999999999989</v>
      </c>
      <c r="Y35" s="327">
        <f t="shared" si="10"/>
        <v>56.694117647058818</v>
      </c>
    </row>
    <row r="36" spans="1:25" x14ac:dyDescent="0.2">
      <c r="A36" s="324" t="s">
        <v>256</v>
      </c>
      <c r="B36" s="325">
        <f>'HDD and CDD'!C35</f>
        <v>4</v>
      </c>
      <c r="C36" s="325">
        <f>'HDD and CDD'!C47</f>
        <v>7.5</v>
      </c>
      <c r="D36" s="325">
        <f>'HDD and CDD'!C59</f>
        <v>10.8</v>
      </c>
      <c r="E36" s="325">
        <f>'HDD and CDD'!C71</f>
        <v>12.6</v>
      </c>
      <c r="F36" s="325">
        <f>'HDD and CDD'!C83</f>
        <v>5.4</v>
      </c>
      <c r="G36" s="325">
        <f>'HDD and CDD'!C95</f>
        <v>26</v>
      </c>
      <c r="H36" s="325">
        <f>'HDD and CDD'!C107</f>
        <v>27.7</v>
      </c>
      <c r="I36" s="325">
        <f>'HDD and CDD'!C119</f>
        <v>23.8</v>
      </c>
      <c r="J36" s="325">
        <f>'HDD and CDD'!C131</f>
        <v>19.2</v>
      </c>
      <c r="K36" s="325">
        <f>'HDD and CDD'!C143</f>
        <v>47</v>
      </c>
      <c r="L36" s="325">
        <f>'HDD and CDD'!C155</f>
        <v>6</v>
      </c>
      <c r="M36" s="325">
        <f>'HDD and CDD'!C167</f>
        <v>13.7</v>
      </c>
      <c r="N36" s="325">
        <f>'HDD and CDD'!C179</f>
        <v>13.7</v>
      </c>
      <c r="O36" s="325">
        <f>'HDD and CDD'!C191</f>
        <v>2.2999999999999998</v>
      </c>
      <c r="P36" s="325">
        <f>'HDD and CDD'!C203</f>
        <v>28</v>
      </c>
      <c r="Q36" s="325">
        <f>'HDD and CDD'!C215</f>
        <v>12</v>
      </c>
      <c r="R36" s="325">
        <f>'HDD and CDD'!C227</f>
        <v>5.5</v>
      </c>
      <c r="S36" s="325">
        <f>'HDD and CDD'!C239</f>
        <v>16.7</v>
      </c>
      <c r="T36" s="325">
        <f>'HDD and CDD'!C251</f>
        <v>17.2</v>
      </c>
      <c r="U36" s="325">
        <f>'HDD and CDD'!C263</f>
        <v>16.399999999999999</v>
      </c>
      <c r="V36" s="326">
        <f t="shared" si="7"/>
        <v>13.15</v>
      </c>
      <c r="W36" s="327">
        <f t="shared" si="8"/>
        <v>17.517293233082682</v>
      </c>
      <c r="X36" s="326">
        <f t="shared" si="9"/>
        <v>15.774999999999997</v>
      </c>
      <c r="Y36" s="327">
        <f t="shared" si="10"/>
        <v>17.247058823529407</v>
      </c>
    </row>
    <row r="37" spans="1:25" x14ac:dyDescent="0.2">
      <c r="A37" s="324" t="s">
        <v>257</v>
      </c>
      <c r="B37" s="325">
        <f>'HDD and CDD'!C36</f>
        <v>1</v>
      </c>
      <c r="C37" s="325">
        <f>'HDD and CDD'!C48</f>
        <v>0</v>
      </c>
      <c r="D37" s="325">
        <f>'HDD and CDD'!C60</f>
        <v>0</v>
      </c>
      <c r="E37" s="325">
        <f>'HDD and CDD'!C72</f>
        <v>0</v>
      </c>
      <c r="F37" s="325">
        <f>'HDD and CDD'!C84</f>
        <v>1.6</v>
      </c>
      <c r="G37" s="325">
        <f>'HDD and CDD'!C96</f>
        <v>0</v>
      </c>
      <c r="H37" s="325">
        <f>'HDD and CDD'!C108</f>
        <v>0</v>
      </c>
      <c r="I37" s="325">
        <f>'HDD and CDD'!C120</f>
        <v>0</v>
      </c>
      <c r="J37" s="325">
        <f>'HDD and CDD'!C132</f>
        <v>0</v>
      </c>
      <c r="K37" s="325">
        <f>'HDD and CDD'!C144</f>
        <v>6.3</v>
      </c>
      <c r="L37" s="325">
        <f>'HDD and CDD'!C156</f>
        <v>0</v>
      </c>
      <c r="M37" s="325">
        <f>'HDD and CDD'!C168</f>
        <v>0</v>
      </c>
      <c r="N37" s="325">
        <f>'HDD and CDD'!C180</f>
        <v>2.6</v>
      </c>
      <c r="O37" s="325">
        <f>'HDD and CDD'!C192</f>
        <v>0</v>
      </c>
      <c r="P37" s="325">
        <f>'HDD and CDD'!C204</f>
        <v>10.9</v>
      </c>
      <c r="Q37" s="325">
        <f>'HDD and CDD'!C216</f>
        <v>0</v>
      </c>
      <c r="R37" s="325">
        <f>'HDD and CDD'!C228</f>
        <v>0</v>
      </c>
      <c r="S37" s="325">
        <f>'HDD and CDD'!C240</f>
        <v>0</v>
      </c>
      <c r="T37" s="325">
        <f>'HDD and CDD'!C252</f>
        <v>0</v>
      </c>
      <c r="U37" s="325">
        <f>'HDD and CDD'!C264</f>
        <v>0</v>
      </c>
      <c r="V37" s="326">
        <f t="shared" si="7"/>
        <v>1.35</v>
      </c>
      <c r="W37" s="327">
        <f t="shared" si="8"/>
        <v>1.7096992481203017</v>
      </c>
      <c r="X37" s="326">
        <f t="shared" si="9"/>
        <v>1.1199999999999999</v>
      </c>
      <c r="Y37" s="327">
        <f t="shared" si="10"/>
        <v>1.2588235294117647</v>
      </c>
    </row>
    <row r="38" spans="1:25" x14ac:dyDescent="0.2">
      <c r="A38" s="324" t="s">
        <v>258</v>
      </c>
      <c r="B38" s="325">
        <f>'HDD and CDD'!C37</f>
        <v>0</v>
      </c>
      <c r="C38" s="325">
        <f>'HDD and CDD'!C49</f>
        <v>0</v>
      </c>
      <c r="D38" s="325">
        <f>'HDD and CDD'!C61</f>
        <v>0</v>
      </c>
      <c r="E38" s="325">
        <f>'HDD and CDD'!C73</f>
        <v>0</v>
      </c>
      <c r="F38" s="325">
        <f>'HDD and CDD'!C85</f>
        <v>0</v>
      </c>
      <c r="G38" s="325">
        <f>'HDD and CDD'!C97</f>
        <v>0</v>
      </c>
      <c r="H38" s="325">
        <f>'HDD and CDD'!C109</f>
        <v>0</v>
      </c>
      <c r="I38" s="325">
        <f>'HDD and CDD'!C121</f>
        <v>0</v>
      </c>
      <c r="J38" s="325">
        <f>'HDD and CDD'!C133</f>
        <v>0</v>
      </c>
      <c r="K38" s="325">
        <f>'HDD and CDD'!C145</f>
        <v>0</v>
      </c>
      <c r="L38" s="325">
        <f>'HDD and CDD'!C157</f>
        <v>0</v>
      </c>
      <c r="M38" s="325">
        <f>'HDD and CDD'!C169</f>
        <v>0</v>
      </c>
      <c r="N38" s="325">
        <f>'HDD and CDD'!C181</f>
        <v>0</v>
      </c>
      <c r="O38" s="325">
        <f>'HDD and CDD'!C193</f>
        <v>0</v>
      </c>
      <c r="P38" s="325">
        <f>'HDD and CDD'!C205</f>
        <v>0</v>
      </c>
      <c r="Q38" s="325">
        <f>'HDD and CDD'!C217</f>
        <v>0</v>
      </c>
      <c r="R38" s="325">
        <f>'HDD and CDD'!C229</f>
        <v>0</v>
      </c>
      <c r="S38" s="325">
        <f>'HDD and CDD'!C241</f>
        <v>0</v>
      </c>
      <c r="T38" s="325">
        <f>'HDD and CDD'!C253</f>
        <v>0</v>
      </c>
      <c r="U38" s="325">
        <f>'HDD and CDD'!C265</f>
        <v>0</v>
      </c>
      <c r="V38" s="326">
        <f t="shared" si="7"/>
        <v>0</v>
      </c>
      <c r="W38" s="327">
        <f t="shared" si="8"/>
        <v>0</v>
      </c>
      <c r="X38" s="326">
        <f t="shared" si="9"/>
        <v>0</v>
      </c>
      <c r="Y38" s="327">
        <f t="shared" si="10"/>
        <v>0</v>
      </c>
    </row>
    <row r="39" spans="1:25" x14ac:dyDescent="0.2">
      <c r="A39" s="324" t="s">
        <v>259</v>
      </c>
      <c r="B39" s="325">
        <f>'HDD and CDD'!C38</f>
        <v>0</v>
      </c>
      <c r="C39" s="325">
        <f>'HDD and CDD'!C50</f>
        <v>0</v>
      </c>
      <c r="D39" s="325">
        <f>'HDD and CDD'!C62</f>
        <v>0</v>
      </c>
      <c r="E39" s="325">
        <f>'HDD and CDD'!C74</f>
        <v>0</v>
      </c>
      <c r="F39" s="325">
        <f>'HDD and CDD'!C86</f>
        <v>0</v>
      </c>
      <c r="G39" s="325">
        <f>'HDD and CDD'!C98</f>
        <v>0</v>
      </c>
      <c r="H39" s="325">
        <f>'HDD and CDD'!C110</f>
        <v>0</v>
      </c>
      <c r="I39" s="325">
        <f>'HDD and CDD'!C122</f>
        <v>0</v>
      </c>
      <c r="J39" s="325">
        <f>'HDD and CDD'!C134</f>
        <v>0</v>
      </c>
      <c r="K39" s="325">
        <f>'HDD and CDD'!C146</f>
        <v>0</v>
      </c>
      <c r="L39" s="325">
        <f>'HDD and CDD'!C158</f>
        <v>0</v>
      </c>
      <c r="M39" s="325">
        <f>'HDD and CDD'!C170</f>
        <v>0</v>
      </c>
      <c r="N39" s="325">
        <f>'HDD and CDD'!C182</f>
        <v>0</v>
      </c>
      <c r="O39" s="325">
        <f>'HDD and CDD'!C194</f>
        <v>0</v>
      </c>
      <c r="P39" s="325">
        <f>'HDD and CDD'!C206</f>
        <v>0</v>
      </c>
      <c r="Q39" s="325">
        <f>'HDD and CDD'!C218</f>
        <v>0</v>
      </c>
      <c r="R39" s="325">
        <f>'HDD and CDD'!C230</f>
        <v>0</v>
      </c>
      <c r="S39" s="325">
        <f>'HDD and CDD'!C242</f>
        <v>0</v>
      </c>
      <c r="T39" s="325">
        <f>'HDD and CDD'!C254</f>
        <v>0</v>
      </c>
      <c r="U39" s="325">
        <f>'HDD and CDD'!C266</f>
        <v>0</v>
      </c>
      <c r="V39" s="326">
        <f t="shared" si="7"/>
        <v>0</v>
      </c>
      <c r="W39" s="327">
        <f>TREND(B39:U39,$B$25:$U$25,2014)</f>
        <v>0</v>
      </c>
      <c r="X39" s="326">
        <f t="shared" si="9"/>
        <v>0</v>
      </c>
      <c r="Y39" s="327">
        <f t="shared" si="10"/>
        <v>0</v>
      </c>
    </row>
    <row r="40" spans="1:25" x14ac:dyDescent="0.2">
      <c r="A40" s="324"/>
      <c r="B40" s="324"/>
      <c r="C40" s="324"/>
      <c r="D40" s="324"/>
      <c r="E40" s="324"/>
      <c r="F40" s="324"/>
      <c r="G40" s="319"/>
      <c r="H40" s="319"/>
      <c r="Q40" s="324"/>
      <c r="R40" s="324"/>
      <c r="S40" s="324"/>
      <c r="T40" s="324"/>
      <c r="U40" s="324"/>
    </row>
    <row r="41" spans="1:25" x14ac:dyDescent="0.2">
      <c r="A41" s="324" t="s">
        <v>12</v>
      </c>
      <c r="B41" s="325">
        <f t="shared" ref="B41:U41" si="11">SUM(B28:B39)</f>
        <v>223.6</v>
      </c>
      <c r="C41" s="325">
        <f t="shared" si="11"/>
        <v>181</v>
      </c>
      <c r="D41" s="325">
        <f t="shared" si="11"/>
        <v>291.10000000000002</v>
      </c>
      <c r="E41" s="325">
        <f t="shared" si="11"/>
        <v>158.29999999999998</v>
      </c>
      <c r="F41" s="325">
        <f t="shared" si="11"/>
        <v>139.1</v>
      </c>
      <c r="G41" s="325">
        <f t="shared" si="11"/>
        <v>254.4</v>
      </c>
      <c r="H41" s="325">
        <f t="shared" si="11"/>
        <v>284.5</v>
      </c>
      <c r="I41" s="325">
        <f t="shared" si="11"/>
        <v>169</v>
      </c>
      <c r="J41" s="325">
        <f t="shared" si="11"/>
        <v>249.2</v>
      </c>
      <c r="K41" s="325">
        <f t="shared" si="11"/>
        <v>321</v>
      </c>
      <c r="L41" s="325">
        <f t="shared" si="11"/>
        <v>154.69999999999999</v>
      </c>
      <c r="M41" s="325">
        <f t="shared" si="11"/>
        <v>116.60000000000001</v>
      </c>
      <c r="N41" s="325">
        <f t="shared" si="11"/>
        <v>294.40000000000003</v>
      </c>
      <c r="O41" s="325">
        <f t="shared" si="11"/>
        <v>214.90000000000003</v>
      </c>
      <c r="P41" s="325">
        <f t="shared" si="11"/>
        <v>220.20000000000002</v>
      </c>
      <c r="Q41" s="325">
        <f t="shared" si="11"/>
        <v>171</v>
      </c>
      <c r="R41" s="325">
        <f t="shared" si="11"/>
        <v>109</v>
      </c>
      <c r="S41" s="325">
        <f t="shared" si="11"/>
        <v>244.29999999999998</v>
      </c>
      <c r="T41" s="325">
        <f t="shared" si="11"/>
        <v>234.5</v>
      </c>
      <c r="U41" s="325">
        <f t="shared" si="11"/>
        <v>270.3</v>
      </c>
      <c r="V41" s="328"/>
      <c r="W41" s="328"/>
    </row>
    <row r="42" spans="1:25" x14ac:dyDescent="0.2">
      <c r="A42" s="324"/>
      <c r="B42" s="324"/>
      <c r="C42" s="324"/>
      <c r="D42" s="324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U42" s="329">
        <f>SUM(B41:U41)</f>
        <v>4301.0999999999995</v>
      </c>
    </row>
    <row r="43" spans="1:25" x14ac:dyDescent="0.2">
      <c r="A43" s="324"/>
      <c r="B43" s="324"/>
      <c r="C43" s="324"/>
      <c r="D43" s="324"/>
      <c r="E43" s="319"/>
      <c r="F43" s="319"/>
      <c r="G43" s="319"/>
      <c r="H43" s="319"/>
    </row>
    <row r="44" spans="1:25" x14ac:dyDescent="0.2">
      <c r="A44" s="318"/>
      <c r="B44" s="318"/>
      <c r="C44" s="318"/>
      <c r="D44" s="318"/>
      <c r="E44" s="319"/>
      <c r="F44" s="319"/>
    </row>
  </sheetData>
  <mergeCells count="1">
    <mergeCell ref="D1:E1"/>
  </mergeCells>
  <pageMargins left="0.5" right="0.5" top="0.75" bottom="0.75" header="0.5" footer="0.5"/>
  <pageSetup paperSize="5" scale="9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10" workbookViewId="0">
      <selection activeCell="K21" sqref="K2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46" t="s">
        <v>295</v>
      </c>
      <c r="C2" s="447"/>
      <c r="D2" s="447"/>
      <c r="E2" s="448"/>
    </row>
    <row r="3" spans="2:12" x14ac:dyDescent="0.2">
      <c r="B3" s="358" t="s">
        <v>294</v>
      </c>
      <c r="C3" s="88" t="s">
        <v>134</v>
      </c>
      <c r="D3" s="88" t="s">
        <v>135</v>
      </c>
      <c r="E3" s="88" t="s">
        <v>136</v>
      </c>
    </row>
    <row r="4" spans="2:12" x14ac:dyDescent="0.2">
      <c r="B4" s="132" t="str">
        <f>'Rate Class Energy Model'!H2</f>
        <v xml:space="preserve">Residential </v>
      </c>
      <c r="C4" s="133">
        <f>Summary!N17</f>
        <v>396735305.43328667</v>
      </c>
      <c r="D4" s="134"/>
      <c r="E4" s="342">
        <v>0.9224</v>
      </c>
    </row>
    <row r="5" spans="2:12" x14ac:dyDescent="0.2">
      <c r="B5" s="132" t="str">
        <f>'Rate Class Energy Model'!I2</f>
        <v>General Service &lt; 50 kW</v>
      </c>
      <c r="C5" s="133">
        <f>Summary!N21</f>
        <v>155766602.32186913</v>
      </c>
      <c r="D5" s="134"/>
      <c r="E5" s="342">
        <v>0.85560000000000003</v>
      </c>
    </row>
    <row r="6" spans="2:12" x14ac:dyDescent="0.2">
      <c r="B6" s="132" t="str">
        <f>'Rate Class Energy Model'!J2</f>
        <v>General Service &gt; 50 to 999 kW</v>
      </c>
      <c r="C6" s="133">
        <f>Summary!N25</f>
        <v>434024249.60020995</v>
      </c>
      <c r="D6" s="135">
        <f>Summary!N26</f>
        <v>1233395.7067435158</v>
      </c>
      <c r="E6" s="342">
        <v>0.32790000000000002</v>
      </c>
    </row>
    <row r="7" spans="2:12" x14ac:dyDescent="0.2">
      <c r="B7" s="132" t="str">
        <f>'Rate Class Energy Model'!K2</f>
        <v>General Service &gt; 1000 to 4999 kW</v>
      </c>
      <c r="C7" s="133">
        <f>Summary!N30</f>
        <v>223644135.33006588</v>
      </c>
      <c r="D7" s="135">
        <f>Summary!N31</f>
        <v>531983.39869071601</v>
      </c>
      <c r="E7" s="342">
        <v>0</v>
      </c>
      <c r="L7" s="136"/>
    </row>
    <row r="8" spans="2:12" x14ac:dyDescent="0.2">
      <c r="B8" s="132" t="str">
        <f>'Rate Class Customer Model'!F2</f>
        <v>Large User</v>
      </c>
      <c r="C8" s="133">
        <f>Summary!N35</f>
        <v>204689690.02683136</v>
      </c>
      <c r="D8" s="135">
        <f>Summary!N36</f>
        <v>424120.23888764903</v>
      </c>
      <c r="E8" s="342">
        <v>0</v>
      </c>
    </row>
    <row r="9" spans="2:12" x14ac:dyDescent="0.2">
      <c r="B9" s="132" t="str">
        <f>'Rate Class Customer Model'!H2</f>
        <v>Street Lights</v>
      </c>
      <c r="C9" s="133">
        <f>Summary!N45</f>
        <v>9647105.4435774609</v>
      </c>
      <c r="D9" s="135">
        <f>Summary!N46</f>
        <v>25892.100735152428</v>
      </c>
      <c r="E9" s="342">
        <v>0</v>
      </c>
    </row>
    <row r="10" spans="2:12" x14ac:dyDescent="0.2">
      <c r="B10" s="132" t="str">
        <f>'Rate Class Customer Model'!I2</f>
        <v xml:space="preserve">Unmetered Loads </v>
      </c>
      <c r="C10" s="133">
        <f>Summary!N50</f>
        <v>1881677.4198933209</v>
      </c>
      <c r="D10" s="135">
        <f>Summary!N51</f>
        <v>0</v>
      </c>
      <c r="E10" s="342">
        <v>0.998</v>
      </c>
    </row>
    <row r="11" spans="2:12" x14ac:dyDescent="0.2">
      <c r="B11" s="132" t="str">
        <f>'Rate Class Customer Model'!J2</f>
        <v>Embedded Distributors - Hydro One</v>
      </c>
      <c r="C11" s="133">
        <f>Summary!N54-'Rate Class Energy Model'!P89</f>
        <v>12809530.880362734</v>
      </c>
      <c r="D11" s="135">
        <f>Summary!N55</f>
        <v>91971.308330616273</v>
      </c>
      <c r="E11" s="342">
        <v>0</v>
      </c>
    </row>
    <row r="12" spans="2:12" x14ac:dyDescent="0.2">
      <c r="B12" s="137" t="s">
        <v>137</v>
      </c>
      <c r="C12" s="138">
        <f>SUM(C4:C11)</f>
        <v>1439198296.4560966</v>
      </c>
      <c r="D12" s="138">
        <f>SUM(D4:D11)</f>
        <v>2307362.75338765</v>
      </c>
      <c r="E12" s="138"/>
      <c r="I12" s="61"/>
    </row>
    <row r="13" spans="2:12" x14ac:dyDescent="0.2">
      <c r="C13" s="61"/>
      <c r="D13" s="61"/>
    </row>
    <row r="15" spans="2:12" x14ac:dyDescent="0.2">
      <c r="B15" s="343" t="s">
        <v>138</v>
      </c>
      <c r="C15" s="454" t="s">
        <v>139</v>
      </c>
      <c r="D15" s="456" t="s">
        <v>140</v>
      </c>
      <c r="E15" s="458">
        <v>2013</v>
      </c>
      <c r="F15" s="459"/>
      <c r="G15" s="460"/>
    </row>
    <row r="16" spans="2:12" x14ac:dyDescent="0.2">
      <c r="B16" s="344" t="s">
        <v>141</v>
      </c>
      <c r="C16" s="455"/>
      <c r="D16" s="457"/>
      <c r="E16" s="449"/>
      <c r="F16" s="450"/>
      <c r="G16" s="451"/>
    </row>
    <row r="17" spans="2:7" x14ac:dyDescent="0.2">
      <c r="B17" s="75" t="str">
        <f>B4</f>
        <v xml:space="preserve">Residential </v>
      </c>
      <c r="C17" s="133">
        <f>C4*E4</f>
        <v>365948645.73166364</v>
      </c>
      <c r="D17" s="140">
        <v>1.0286</v>
      </c>
      <c r="E17" s="141">
        <f t="shared" ref="E17:E24" si="0">C17*D17</f>
        <v>376414776.9995892</v>
      </c>
      <c r="F17" s="142">
        <v>8.3949999999999997E-2</v>
      </c>
      <c r="G17" s="143">
        <f t="shared" ref="G17:G24" si="1">E17*F17</f>
        <v>31600020.529115513</v>
      </c>
    </row>
    <row r="18" spans="2:7" x14ac:dyDescent="0.2">
      <c r="B18" s="75" t="str">
        <f t="shared" ref="B18:B24" si="2">B5</f>
        <v>General Service &lt; 50 kW</v>
      </c>
      <c r="C18" s="133">
        <f t="shared" ref="C18:C24" si="3">C5*E5</f>
        <v>133273904.94659124</v>
      </c>
      <c r="D18" s="140">
        <v>1.0286</v>
      </c>
      <c r="E18" s="141">
        <f t="shared" si="0"/>
        <v>137085538.62806374</v>
      </c>
      <c r="F18" s="142">
        <v>8.3949999999999997E-2</v>
      </c>
      <c r="G18" s="143">
        <f t="shared" si="1"/>
        <v>11508330.967825951</v>
      </c>
    </row>
    <row r="19" spans="2:7" x14ac:dyDescent="0.2">
      <c r="B19" s="75" t="str">
        <f t="shared" si="2"/>
        <v>General Service &gt; 50 to 999 kW</v>
      </c>
      <c r="C19" s="133">
        <f t="shared" si="3"/>
        <v>142316551.44390884</v>
      </c>
      <c r="D19" s="140">
        <v>1.0286</v>
      </c>
      <c r="E19" s="141">
        <f t="shared" si="0"/>
        <v>146386804.81520462</v>
      </c>
      <c r="F19" s="142">
        <v>8.3949999999999997E-2</v>
      </c>
      <c r="G19" s="143">
        <f t="shared" si="1"/>
        <v>12289172.264236428</v>
      </c>
    </row>
    <row r="20" spans="2:7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7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7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7" x14ac:dyDescent="0.2">
      <c r="B23" s="75" t="str">
        <f t="shared" si="2"/>
        <v xml:space="preserve">Unmetered Loads </v>
      </c>
      <c r="C23" s="133">
        <f t="shared" si="3"/>
        <v>1877914.0650535342</v>
      </c>
      <c r="D23" s="140">
        <v>1.0286</v>
      </c>
      <c r="E23" s="141">
        <f t="shared" si="0"/>
        <v>1931622.4073140651</v>
      </c>
      <c r="F23" s="142">
        <v>8.3949999999999997E-2</v>
      </c>
      <c r="G23" s="143">
        <f t="shared" si="1"/>
        <v>162159.70109401576</v>
      </c>
    </row>
    <row r="24" spans="2:7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7" x14ac:dyDescent="0.2">
      <c r="B25" s="137" t="s">
        <v>137</v>
      </c>
      <c r="C25" s="138">
        <f>SUM(C17:C24)</f>
        <v>643417016.18721735</v>
      </c>
      <c r="D25" s="139"/>
      <c r="E25" s="138">
        <f>SUM(E17:E24)</f>
        <v>661818742.85017157</v>
      </c>
      <c r="F25" s="144"/>
      <c r="G25" s="145">
        <f>SUM(G17:G24)</f>
        <v>55559683.462271906</v>
      </c>
    </row>
    <row r="26" spans="2:7" x14ac:dyDescent="0.2">
      <c r="B26" s="146"/>
      <c r="C26" s="147"/>
      <c r="D26" s="148"/>
      <c r="E26" s="147"/>
      <c r="F26" s="149"/>
      <c r="G26" s="150"/>
    </row>
    <row r="27" spans="2:7" x14ac:dyDescent="0.2">
      <c r="B27" s="343" t="s">
        <v>142</v>
      </c>
      <c r="C27" s="454" t="s">
        <v>139</v>
      </c>
      <c r="D27" s="456" t="s">
        <v>140</v>
      </c>
      <c r="E27" s="458">
        <v>2013</v>
      </c>
      <c r="F27" s="459"/>
      <c r="G27" s="460"/>
    </row>
    <row r="28" spans="2:7" x14ac:dyDescent="0.2">
      <c r="B28" s="344" t="s">
        <v>143</v>
      </c>
      <c r="C28" s="455"/>
      <c r="D28" s="457"/>
      <c r="E28" s="449"/>
      <c r="F28" s="450"/>
      <c r="G28" s="451"/>
    </row>
    <row r="29" spans="2:7" x14ac:dyDescent="0.2">
      <c r="B29" s="75" t="str">
        <f>B17</f>
        <v xml:space="preserve">Residential </v>
      </c>
      <c r="C29" s="133">
        <f>C4-C17</f>
        <v>30786659.701623023</v>
      </c>
      <c r="D29" s="134">
        <f>D17</f>
        <v>1.0286</v>
      </c>
      <c r="E29" s="141">
        <f t="shared" ref="E29:E36" si="4">C29*D29</f>
        <v>31667158.16908944</v>
      </c>
      <c r="F29" s="142">
        <v>8.8169999999999998E-2</v>
      </c>
      <c r="G29" s="143">
        <f t="shared" ref="G29:G36" si="5">E29*F29</f>
        <v>2792093.3357686158</v>
      </c>
    </row>
    <row r="30" spans="2:7" x14ac:dyDescent="0.2">
      <c r="B30" s="75" t="str">
        <f t="shared" ref="B30:B36" si="6">B18</f>
        <v>General Service &lt; 50 kW</v>
      </c>
      <c r="C30" s="133">
        <f t="shared" ref="C30:C36" si="7">C5-C18</f>
        <v>22492697.375277892</v>
      </c>
      <c r="D30" s="134">
        <f t="shared" ref="D30:D36" si="8">D18</f>
        <v>1.0286</v>
      </c>
      <c r="E30" s="141">
        <f t="shared" si="4"/>
        <v>23135988.52021084</v>
      </c>
      <c r="F30" s="142">
        <v>8.8169999999999998E-2</v>
      </c>
      <c r="G30" s="143">
        <f t="shared" si="5"/>
        <v>2039900.1078269896</v>
      </c>
    </row>
    <row r="31" spans="2:7" x14ac:dyDescent="0.2">
      <c r="B31" s="75" t="str">
        <f t="shared" si="6"/>
        <v>General Service &gt; 50 to 999 kW</v>
      </c>
      <c r="C31" s="133">
        <f t="shared" si="7"/>
        <v>291707698.15630114</v>
      </c>
      <c r="D31" s="134">
        <f t="shared" si="8"/>
        <v>1.0286</v>
      </c>
      <c r="E31" s="141">
        <f t="shared" si="4"/>
        <v>300050538.32357132</v>
      </c>
      <c r="F31" s="142">
        <v>8.8169999999999998E-2</v>
      </c>
      <c r="G31" s="143">
        <f t="shared" si="5"/>
        <v>26455455.963989284</v>
      </c>
    </row>
    <row r="32" spans="2:7" x14ac:dyDescent="0.2">
      <c r="B32" s="75" t="str">
        <f t="shared" si="6"/>
        <v>General Service &gt; 1000 to 4999 kW</v>
      </c>
      <c r="C32" s="133">
        <f t="shared" si="7"/>
        <v>223644135.33006588</v>
      </c>
      <c r="D32" s="134">
        <f t="shared" si="8"/>
        <v>1.0286</v>
      </c>
      <c r="E32" s="141">
        <f t="shared" si="4"/>
        <v>230040357.60050574</v>
      </c>
      <c r="F32" s="142">
        <v>8.8169999999999998E-2</v>
      </c>
      <c r="G32" s="143">
        <f t="shared" si="5"/>
        <v>20282658.329636592</v>
      </c>
    </row>
    <row r="33" spans="2:9" x14ac:dyDescent="0.2">
      <c r="B33" s="75" t="str">
        <f t="shared" si="6"/>
        <v>Large User</v>
      </c>
      <c r="C33" s="133">
        <f t="shared" si="7"/>
        <v>204689690.02683136</v>
      </c>
      <c r="D33" s="134">
        <f t="shared" si="8"/>
        <v>1.0003</v>
      </c>
      <c r="E33" s="141">
        <f t="shared" si="4"/>
        <v>204751096.93383941</v>
      </c>
      <c r="F33" s="142">
        <v>8.8169999999999998E-2</v>
      </c>
      <c r="G33" s="143">
        <f t="shared" si="5"/>
        <v>18052904.216656622</v>
      </c>
    </row>
    <row r="34" spans="2:9" x14ac:dyDescent="0.2">
      <c r="B34" s="75" t="str">
        <f t="shared" si="6"/>
        <v>Street Lights</v>
      </c>
      <c r="C34" s="133">
        <f t="shared" si="7"/>
        <v>9647105.4435774609</v>
      </c>
      <c r="D34" s="134">
        <f t="shared" si="8"/>
        <v>1.0286</v>
      </c>
      <c r="E34" s="141">
        <f t="shared" si="4"/>
        <v>9923012.6592637766</v>
      </c>
      <c r="F34" s="142">
        <v>8.8169999999999998E-2</v>
      </c>
      <c r="G34" s="143">
        <f t="shared" si="5"/>
        <v>874912.02616728714</v>
      </c>
    </row>
    <row r="35" spans="2:9" x14ac:dyDescent="0.2">
      <c r="B35" s="75" t="str">
        <f t="shared" si="6"/>
        <v xml:space="preserve">Unmetered Loads </v>
      </c>
      <c r="C35" s="133">
        <f t="shared" si="7"/>
        <v>3763.3548397866543</v>
      </c>
      <c r="D35" s="134">
        <f t="shared" si="8"/>
        <v>1.0286</v>
      </c>
      <c r="E35" s="141">
        <f t="shared" si="4"/>
        <v>3870.9867882045523</v>
      </c>
      <c r="F35" s="142">
        <v>8.8169999999999998E-2</v>
      </c>
      <c r="G35" s="143">
        <f t="shared" si="5"/>
        <v>341.30490511599538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12809530.880362734</v>
      </c>
      <c r="D36" s="134">
        <f t="shared" si="8"/>
        <v>1.0286</v>
      </c>
      <c r="E36" s="141">
        <f t="shared" si="4"/>
        <v>13175883.463541107</v>
      </c>
      <c r="F36" s="142">
        <v>8.8169999999999998E-2</v>
      </c>
      <c r="G36" s="143">
        <f t="shared" si="5"/>
        <v>1161717.6449804194</v>
      </c>
    </row>
    <row r="37" spans="2:9" x14ac:dyDescent="0.2">
      <c r="B37" s="137" t="s">
        <v>137</v>
      </c>
      <c r="C37" s="138">
        <f>SUM(C29:C36)</f>
        <v>795781280.26887929</v>
      </c>
      <c r="D37" s="139"/>
      <c r="E37" s="138">
        <f>SUM(E29:E36)</f>
        <v>812747906.65680981</v>
      </c>
      <c r="F37" s="144"/>
      <c r="G37" s="145">
        <f>SUM(G29:G36)</f>
        <v>71659982.929930925</v>
      </c>
    </row>
    <row r="39" spans="2:9" x14ac:dyDescent="0.2">
      <c r="B39" s="345" t="s">
        <v>144</v>
      </c>
      <c r="C39" s="346"/>
      <c r="D39" s="347" t="s">
        <v>145</v>
      </c>
      <c r="E39" s="348"/>
      <c r="F39" s="349"/>
      <c r="G39" s="346"/>
    </row>
    <row r="40" spans="2:9" x14ac:dyDescent="0.2">
      <c r="B40" s="344" t="s">
        <v>143</v>
      </c>
      <c r="C40" s="350"/>
      <c r="D40" s="351" t="s">
        <v>146</v>
      </c>
      <c r="E40" s="449">
        <v>2013</v>
      </c>
      <c r="F40" s="450"/>
      <c r="G40" s="451"/>
    </row>
    <row r="41" spans="2:9" x14ac:dyDescent="0.2">
      <c r="B41" s="151" t="str">
        <f>B29</f>
        <v xml:space="preserve">Residential </v>
      </c>
      <c r="C41" s="141"/>
      <c r="D41" s="152" t="s">
        <v>134</v>
      </c>
      <c r="E41" s="141">
        <f>E17+E29</f>
        <v>408081935.16867864</v>
      </c>
      <c r="F41" s="153">
        <v>6.1999999999999998E-3</v>
      </c>
      <c r="G41" s="143">
        <f t="shared" ref="G41:G48" si="9">E41*F41</f>
        <v>2530107.9980458077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134</v>
      </c>
      <c r="E42" s="141">
        <f>E18+E30</f>
        <v>160221527.14827457</v>
      </c>
      <c r="F42" s="153">
        <v>5.4000000000000003E-3</v>
      </c>
      <c r="G42" s="143">
        <f t="shared" si="9"/>
        <v>865196.24660068273</v>
      </c>
    </row>
    <row r="43" spans="2:9" x14ac:dyDescent="0.2">
      <c r="B43" s="151" t="str">
        <f t="shared" si="10"/>
        <v>General Service &gt; 50 to 999 kW</v>
      </c>
      <c r="C43" s="141"/>
      <c r="D43" s="152" t="s">
        <v>135</v>
      </c>
      <c r="E43" s="141">
        <f>D6</f>
        <v>1233395.7067435158</v>
      </c>
      <c r="F43" s="153">
        <v>3.5124</v>
      </c>
      <c r="G43" s="143">
        <f t="shared" si="9"/>
        <v>4332179.0803659251</v>
      </c>
    </row>
    <row r="44" spans="2:9" x14ac:dyDescent="0.2">
      <c r="B44" s="151" t="str">
        <f t="shared" si="10"/>
        <v>General Service &gt; 1000 to 4999 kW</v>
      </c>
      <c r="C44" s="141"/>
      <c r="D44" s="152" t="s">
        <v>135</v>
      </c>
      <c r="E44" s="141">
        <f>D7</f>
        <v>531983.39869071601</v>
      </c>
      <c r="F44" s="153">
        <v>2.6676000000000002</v>
      </c>
      <c r="G44" s="143">
        <f t="shared" si="9"/>
        <v>1419118.9143473541</v>
      </c>
      <c r="I44" s="32"/>
    </row>
    <row r="45" spans="2:9" x14ac:dyDescent="0.2">
      <c r="B45" s="151" t="str">
        <f t="shared" si="10"/>
        <v>Large User</v>
      </c>
      <c r="C45" s="141"/>
      <c r="D45" s="152" t="s">
        <v>135</v>
      </c>
      <c r="E45" s="141">
        <f>D8</f>
        <v>424120.23888764903</v>
      </c>
      <c r="F45" s="153">
        <v>2.5278999999999998</v>
      </c>
      <c r="G45" s="143">
        <f t="shared" si="9"/>
        <v>1072133.551884088</v>
      </c>
    </row>
    <row r="46" spans="2:9" x14ac:dyDescent="0.2">
      <c r="B46" s="151" t="str">
        <f t="shared" si="10"/>
        <v>Street Lights</v>
      </c>
      <c r="C46" s="141"/>
      <c r="D46" s="152" t="s">
        <v>135</v>
      </c>
      <c r="E46" s="141">
        <f>D9</f>
        <v>25892.100735152428</v>
      </c>
      <c r="F46" s="153">
        <v>1.7650999999999999</v>
      </c>
      <c r="G46" s="143">
        <f t="shared" si="9"/>
        <v>45702.147007617546</v>
      </c>
    </row>
    <row r="47" spans="2:9" x14ac:dyDescent="0.2">
      <c r="B47" s="151" t="str">
        <f>B35</f>
        <v xml:space="preserve">Unmetered Loads </v>
      </c>
      <c r="C47" s="141"/>
      <c r="D47" s="152" t="s">
        <v>134</v>
      </c>
      <c r="E47" s="141">
        <f>E35</f>
        <v>3870.9867882045523</v>
      </c>
      <c r="F47" s="153">
        <v>5.4000000000000003E-3</v>
      </c>
      <c r="G47" s="143">
        <f t="shared" si="9"/>
        <v>20.903328656304584</v>
      </c>
    </row>
    <row r="48" spans="2:9" x14ac:dyDescent="0.2">
      <c r="B48" s="151" t="str">
        <f t="shared" si="10"/>
        <v>Embedded Distributors - Hydro One</v>
      </c>
      <c r="C48" s="141"/>
      <c r="D48" s="152" t="s">
        <v>135</v>
      </c>
      <c r="E48" s="141">
        <f>D11</f>
        <v>91971.308330616273</v>
      </c>
      <c r="F48" s="153">
        <v>2.5278999999999998</v>
      </c>
      <c r="G48" s="143">
        <f t="shared" si="9"/>
        <v>232494.27032896486</v>
      </c>
    </row>
    <row r="49" spans="2:7" x14ac:dyDescent="0.2">
      <c r="B49" s="137" t="s">
        <v>137</v>
      </c>
      <c r="C49" s="138"/>
      <c r="D49" s="139"/>
      <c r="E49" s="138"/>
      <c r="F49" s="144"/>
      <c r="G49" s="154">
        <f>SUM(G41:G48)</f>
        <v>10496953.111909099</v>
      </c>
    </row>
    <row r="51" spans="2:7" x14ac:dyDescent="0.2">
      <c r="B51" s="345" t="s">
        <v>147</v>
      </c>
      <c r="C51" s="346"/>
      <c r="D51" s="352" t="s">
        <v>145</v>
      </c>
      <c r="E51" s="348"/>
      <c r="F51" s="349"/>
      <c r="G51" s="346"/>
    </row>
    <row r="52" spans="2:7" x14ac:dyDescent="0.2">
      <c r="B52" s="344" t="s">
        <v>143</v>
      </c>
      <c r="C52" s="350"/>
      <c r="D52" s="353" t="s">
        <v>146</v>
      </c>
      <c r="E52" s="449">
        <v>2013</v>
      </c>
      <c r="F52" s="450"/>
      <c r="G52" s="451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408081935.16867864</v>
      </c>
      <c r="F53" s="153">
        <v>3.5999999999999999E-3</v>
      </c>
      <c r="G53" s="143">
        <f t="shared" ref="G53:G60" si="11">E53*F53</f>
        <v>1469094.9666072431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160221527.14827457</v>
      </c>
      <c r="F54" s="153">
        <v>3.3999999999999998E-3</v>
      </c>
      <c r="G54" s="143">
        <f t="shared" si="11"/>
        <v>544753.19230413355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1233395.7067435158</v>
      </c>
      <c r="F55" s="153">
        <v>2.0762999999999998</v>
      </c>
      <c r="G55" s="143">
        <f t="shared" si="11"/>
        <v>2560899.5059115617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531983.39869071601</v>
      </c>
      <c r="F56" s="153">
        <v>1.6294999999999999</v>
      </c>
      <c r="G56" s="143">
        <f t="shared" si="11"/>
        <v>866866.94816652173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424120.23888764903</v>
      </c>
      <c r="F57" s="153">
        <v>1.6586000000000001</v>
      </c>
      <c r="G57" s="143">
        <f t="shared" si="11"/>
        <v>703445.82821905473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25892.100735152428</v>
      </c>
      <c r="F58" s="153">
        <v>1.0434000000000001</v>
      </c>
      <c r="G58" s="143">
        <f t="shared" si="11"/>
        <v>27015.817907058045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3870.9867882045523</v>
      </c>
      <c r="F59" s="153">
        <v>3.3999999999999998E-3</v>
      </c>
      <c r="G59" s="143">
        <f t="shared" si="11"/>
        <v>13.161355079895477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91971.308330616273</v>
      </c>
      <c r="F60" s="153">
        <v>1.6586000000000001</v>
      </c>
      <c r="G60" s="143">
        <f t="shared" si="11"/>
        <v>152543.61199716016</v>
      </c>
    </row>
    <row r="61" spans="2:7" x14ac:dyDescent="0.2">
      <c r="B61" s="137" t="s">
        <v>137</v>
      </c>
      <c r="C61" s="138"/>
      <c r="D61" s="139"/>
      <c r="E61" s="138"/>
      <c r="F61" s="144"/>
      <c r="G61" s="154">
        <f>SUM(G53:G60)</f>
        <v>6324633.0324678114</v>
      </c>
    </row>
    <row r="63" spans="2:7" x14ac:dyDescent="0.2">
      <c r="B63" s="345" t="s">
        <v>148</v>
      </c>
      <c r="C63" s="346"/>
      <c r="D63" s="352"/>
      <c r="E63" s="348"/>
      <c r="F63" s="349"/>
      <c r="G63" s="346"/>
    </row>
    <row r="64" spans="2:7" x14ac:dyDescent="0.2">
      <c r="B64" s="344" t="s">
        <v>143</v>
      </c>
      <c r="C64" s="350"/>
      <c r="D64" s="353"/>
      <c r="E64" s="449">
        <v>2013</v>
      </c>
      <c r="F64" s="450"/>
      <c r="G64" s="452"/>
    </row>
    <row r="65" spans="2:7" x14ac:dyDescent="0.2">
      <c r="B65" s="151" t="str">
        <f>B53</f>
        <v xml:space="preserve">Residential </v>
      </c>
      <c r="C65" s="141"/>
      <c r="D65" s="152" t="s">
        <v>134</v>
      </c>
      <c r="E65" s="141">
        <f>E17+E29</f>
        <v>408081935.16867864</v>
      </c>
      <c r="F65" s="153">
        <v>4.4000000000000003E-3</v>
      </c>
      <c r="G65" s="143">
        <f t="shared" ref="G65:G72" si="14">E65*F65</f>
        <v>1795560.5147421861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134</v>
      </c>
      <c r="E66" s="141">
        <f t="shared" ref="E66:E72" si="16">E18+E30</f>
        <v>160221527.14827457</v>
      </c>
      <c r="F66" s="153">
        <v>4.4000000000000003E-3</v>
      </c>
      <c r="G66" s="143">
        <f t="shared" si="14"/>
        <v>704974.71945240814</v>
      </c>
    </row>
    <row r="67" spans="2:7" x14ac:dyDescent="0.2">
      <c r="B67" s="151" t="str">
        <f t="shared" si="15"/>
        <v>General Service &gt; 50 to 999 kW</v>
      </c>
      <c r="C67" s="141"/>
      <c r="D67" s="152" t="s">
        <v>134</v>
      </c>
      <c r="E67" s="141">
        <f t="shared" si="16"/>
        <v>446437343.13877594</v>
      </c>
      <c r="F67" s="153">
        <v>4.4000000000000003E-3</v>
      </c>
      <c r="G67" s="143">
        <f t="shared" si="14"/>
        <v>1964324.3098106142</v>
      </c>
    </row>
    <row r="68" spans="2:7" x14ac:dyDescent="0.2">
      <c r="B68" s="151" t="str">
        <f t="shared" si="15"/>
        <v>General Service &gt; 1000 to 4999 kW</v>
      </c>
      <c r="C68" s="141"/>
      <c r="D68" s="152" t="s">
        <v>134</v>
      </c>
      <c r="E68" s="141">
        <f t="shared" si="16"/>
        <v>230040357.60050574</v>
      </c>
      <c r="F68" s="153">
        <v>4.4000000000000003E-3</v>
      </c>
      <c r="G68" s="143">
        <f t="shared" si="14"/>
        <v>1012177.5734422253</v>
      </c>
    </row>
    <row r="69" spans="2:7" x14ac:dyDescent="0.2">
      <c r="B69" s="151" t="str">
        <f t="shared" si="15"/>
        <v>Large User</v>
      </c>
      <c r="C69" s="141"/>
      <c r="D69" s="152" t="s">
        <v>134</v>
      </c>
      <c r="E69" s="141">
        <f t="shared" si="16"/>
        <v>204751096.93383941</v>
      </c>
      <c r="F69" s="153">
        <v>4.4000000000000003E-3</v>
      </c>
      <c r="G69" s="143">
        <f t="shared" si="14"/>
        <v>900904.82650889351</v>
      </c>
    </row>
    <row r="70" spans="2:7" x14ac:dyDescent="0.2">
      <c r="B70" s="151" t="str">
        <f t="shared" si="15"/>
        <v>Street Lights</v>
      </c>
      <c r="C70" s="141"/>
      <c r="D70" s="152" t="s">
        <v>134</v>
      </c>
      <c r="E70" s="141">
        <f t="shared" si="16"/>
        <v>9923012.6592637766</v>
      </c>
      <c r="F70" s="153">
        <v>4.4000000000000003E-3</v>
      </c>
      <c r="G70" s="143">
        <f t="shared" si="14"/>
        <v>43661.255700760623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134</v>
      </c>
      <c r="E71" s="141">
        <f t="shared" si="16"/>
        <v>1935493.3941022698</v>
      </c>
      <c r="F71" s="153">
        <v>4.4000000000000003E-3</v>
      </c>
      <c r="G71" s="143">
        <f t="shared" si="14"/>
        <v>8516.1709340499874</v>
      </c>
    </row>
    <row r="72" spans="2:7" x14ac:dyDescent="0.2">
      <c r="B72" s="151" t="str">
        <f t="shared" si="15"/>
        <v>Embedded Distributors - Hydro One</v>
      </c>
      <c r="C72" s="141"/>
      <c r="D72" s="152" t="s">
        <v>134</v>
      </c>
      <c r="E72" s="141">
        <f t="shared" si="16"/>
        <v>13175883.463541107</v>
      </c>
      <c r="F72" s="153">
        <v>0</v>
      </c>
      <c r="G72" s="143">
        <f t="shared" si="14"/>
        <v>0</v>
      </c>
    </row>
    <row r="73" spans="2:7" x14ac:dyDescent="0.2">
      <c r="B73" s="137" t="s">
        <v>137</v>
      </c>
      <c r="C73" s="138"/>
      <c r="D73" s="139"/>
      <c r="E73" s="138">
        <f>SUM(E65:E72)</f>
        <v>1474566649.5069814</v>
      </c>
      <c r="F73" s="144"/>
      <c r="G73" s="154">
        <f>SUM(G65:G72)</f>
        <v>6430119.3705911385</v>
      </c>
    </row>
    <row r="75" spans="2:7" x14ac:dyDescent="0.2">
      <c r="B75" s="345" t="s">
        <v>149</v>
      </c>
      <c r="C75" s="346"/>
      <c r="D75" s="352"/>
      <c r="E75" s="348"/>
      <c r="F75" s="349"/>
      <c r="G75" s="346"/>
    </row>
    <row r="76" spans="2:7" x14ac:dyDescent="0.2">
      <c r="B76" s="344" t="s">
        <v>143</v>
      </c>
      <c r="C76" s="350"/>
      <c r="D76" s="353"/>
      <c r="E76" s="453">
        <v>2013</v>
      </c>
      <c r="F76" s="450"/>
      <c r="G76" s="451"/>
    </row>
    <row r="77" spans="2:7" x14ac:dyDescent="0.2">
      <c r="B77" s="151" t="str">
        <f>B65</f>
        <v xml:space="preserve">Residential </v>
      </c>
      <c r="C77" s="141"/>
      <c r="D77" s="152" t="s">
        <v>134</v>
      </c>
      <c r="E77" s="141">
        <f>E65</f>
        <v>408081935.16867864</v>
      </c>
      <c r="F77" s="153">
        <v>1.1999999999999999E-3</v>
      </c>
      <c r="G77" s="143">
        <f t="shared" ref="G77:G84" si="17">E77*F77</f>
        <v>489698.32220241433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134</v>
      </c>
      <c r="E78" s="141">
        <f t="shared" ref="E78:E84" si="19">E66</f>
        <v>160221527.14827457</v>
      </c>
      <c r="F78" s="153">
        <v>1.1999999999999999E-3</v>
      </c>
      <c r="G78" s="143">
        <f t="shared" si="17"/>
        <v>192265.83257792945</v>
      </c>
    </row>
    <row r="79" spans="2:7" x14ac:dyDescent="0.2">
      <c r="B79" s="151" t="str">
        <f t="shared" si="18"/>
        <v>General Service &gt; 50 to 999 kW</v>
      </c>
      <c r="C79" s="141"/>
      <c r="D79" s="152" t="s">
        <v>134</v>
      </c>
      <c r="E79" s="141">
        <f t="shared" si="19"/>
        <v>446437343.13877594</v>
      </c>
      <c r="F79" s="153">
        <v>1.1999999999999999E-3</v>
      </c>
      <c r="G79" s="143">
        <f t="shared" si="17"/>
        <v>535724.81176653109</v>
      </c>
    </row>
    <row r="80" spans="2:7" x14ac:dyDescent="0.2">
      <c r="B80" s="151" t="str">
        <f t="shared" si="18"/>
        <v>General Service &gt; 1000 to 4999 kW</v>
      </c>
      <c r="C80" s="141"/>
      <c r="D80" s="152" t="s">
        <v>134</v>
      </c>
      <c r="E80" s="141">
        <f t="shared" si="19"/>
        <v>230040357.60050574</v>
      </c>
      <c r="F80" s="153">
        <v>1.1999999999999999E-3</v>
      </c>
      <c r="G80" s="143">
        <f t="shared" si="17"/>
        <v>276048.42912060686</v>
      </c>
    </row>
    <row r="81" spans="2:7" x14ac:dyDescent="0.2">
      <c r="B81" s="151" t="str">
        <f t="shared" si="18"/>
        <v>Large User</v>
      </c>
      <c r="C81" s="141"/>
      <c r="D81" s="152" t="s">
        <v>134</v>
      </c>
      <c r="E81" s="141">
        <f t="shared" si="19"/>
        <v>204751096.93383941</v>
      </c>
      <c r="F81" s="153">
        <v>1.1999999999999999E-3</v>
      </c>
      <c r="G81" s="143">
        <f t="shared" si="17"/>
        <v>245701.31632060726</v>
      </c>
    </row>
    <row r="82" spans="2:7" x14ac:dyDescent="0.2">
      <c r="B82" s="151" t="str">
        <f t="shared" si="18"/>
        <v>Street Lights</v>
      </c>
      <c r="C82" s="141"/>
      <c r="D82" s="152" t="s">
        <v>134</v>
      </c>
      <c r="E82" s="141">
        <f t="shared" si="19"/>
        <v>9923012.6592637766</v>
      </c>
      <c r="F82" s="153">
        <v>1.1999999999999999E-3</v>
      </c>
      <c r="G82" s="143">
        <f t="shared" si="17"/>
        <v>11907.615191116531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134</v>
      </c>
      <c r="E83" s="141">
        <f t="shared" si="19"/>
        <v>1935493.3941022698</v>
      </c>
      <c r="F83" s="153">
        <v>1.1999999999999999E-3</v>
      </c>
      <c r="G83" s="143">
        <f t="shared" si="17"/>
        <v>2322.5920729227237</v>
      </c>
    </row>
    <row r="84" spans="2:7" x14ac:dyDescent="0.2">
      <c r="B84" s="151" t="str">
        <f t="shared" si="18"/>
        <v>Embedded Distributors - Hydro One</v>
      </c>
      <c r="C84" s="141"/>
      <c r="D84" s="152" t="s">
        <v>134</v>
      </c>
      <c r="E84" s="141">
        <f t="shared" si="19"/>
        <v>13175883.463541107</v>
      </c>
      <c r="F84" s="153">
        <v>0</v>
      </c>
      <c r="G84" s="143">
        <f t="shared" si="17"/>
        <v>0</v>
      </c>
    </row>
    <row r="85" spans="2:7" x14ac:dyDescent="0.2">
      <c r="B85" s="137" t="s">
        <v>137</v>
      </c>
      <c r="C85" s="138"/>
      <c r="D85" s="139"/>
      <c r="E85" s="138">
        <f>SUM(E77:E84)</f>
        <v>1474566649.5069814</v>
      </c>
      <c r="F85" s="144"/>
      <c r="G85" s="154">
        <f>SUM(G77:G84)</f>
        <v>1753668.9192521281</v>
      </c>
    </row>
    <row r="87" spans="2:7" x14ac:dyDescent="0.2">
      <c r="B87" s="354"/>
      <c r="C87" s="355">
        <v>2013</v>
      </c>
    </row>
    <row r="88" spans="2:7" x14ac:dyDescent="0.2">
      <c r="B88" s="69"/>
      <c r="C88" s="155"/>
    </row>
    <row r="89" spans="2:7" x14ac:dyDescent="0.2">
      <c r="B89" s="62" t="s">
        <v>150</v>
      </c>
      <c r="C89" s="156">
        <f>G25+G37</f>
        <v>127219666.39220282</v>
      </c>
    </row>
    <row r="90" spans="2:7" x14ac:dyDescent="0.2">
      <c r="B90" s="62" t="s">
        <v>151</v>
      </c>
      <c r="C90" s="157">
        <f>G73</f>
        <v>6430119.3705911385</v>
      </c>
    </row>
    <row r="91" spans="2:7" x14ac:dyDescent="0.2">
      <c r="B91" s="62" t="s">
        <v>152</v>
      </c>
      <c r="C91" s="157">
        <f>G49</f>
        <v>10496953.111909099</v>
      </c>
    </row>
    <row r="92" spans="2:7" x14ac:dyDescent="0.2">
      <c r="B92" s="62" t="s">
        <v>153</v>
      </c>
      <c r="C92" s="157">
        <f>G61</f>
        <v>6324633.0324678114</v>
      </c>
    </row>
    <row r="93" spans="2:7" x14ac:dyDescent="0.2">
      <c r="B93" s="62" t="s">
        <v>154</v>
      </c>
      <c r="C93" s="157">
        <f>G85</f>
        <v>1753668.9192521281</v>
      </c>
    </row>
    <row r="94" spans="2:7" x14ac:dyDescent="0.2">
      <c r="B94" s="62" t="s">
        <v>155</v>
      </c>
      <c r="C94" s="357">
        <f>-'[14]Trial Balance'!$J$226</f>
        <v>101361.12</v>
      </c>
    </row>
    <row r="95" spans="2:7" x14ac:dyDescent="0.2">
      <c r="B95" s="62" t="s">
        <v>293</v>
      </c>
      <c r="C95" s="357">
        <v>360365</v>
      </c>
    </row>
    <row r="96" spans="2:7" x14ac:dyDescent="0.2">
      <c r="B96" s="78" t="s">
        <v>137</v>
      </c>
      <c r="C96" s="138">
        <f>SUM(C89:C95)</f>
        <v>152686766.94642299</v>
      </c>
    </row>
  </sheetData>
  <mergeCells count="11">
    <mergeCell ref="B2:E2"/>
    <mergeCell ref="E40:G40"/>
    <mergeCell ref="E52:G52"/>
    <mergeCell ref="E64:G64"/>
    <mergeCell ref="E76:G76"/>
    <mergeCell ref="C15:C16"/>
    <mergeCell ref="D15:D16"/>
    <mergeCell ref="C27:C28"/>
    <mergeCell ref="D27:D28"/>
    <mergeCell ref="E15:G16"/>
    <mergeCell ref="E27:G28"/>
  </mergeCells>
  <pageMargins left="0.7" right="0.7" top="0.75" bottom="0.75" header="0.3" footer="0.3"/>
  <pageSetup scale="57" orientation="portrait" r:id="rId1"/>
  <headerFooter>
    <oddFooter>&amp;L&amp;Z&amp;F</oddFooter>
  </headerFooter>
  <ignoredErrors>
    <ignoredError sqref="C29:C36 E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6"/>
  <sheetViews>
    <sheetView workbookViewId="0">
      <selection activeCell="I27" sqref="I27"/>
    </sheetView>
  </sheetViews>
  <sheetFormatPr defaultRowHeight="12.75" x14ac:dyDescent="0.2"/>
  <cols>
    <col min="1" max="1" width="1.42578125" customWidth="1"/>
    <col min="2" max="2" width="31.42578125" bestFit="1" customWidth="1"/>
    <col min="3" max="3" width="13.85546875" customWidth="1"/>
    <col min="4" max="4" width="11.7109375" customWidth="1"/>
    <col min="5" max="5" width="13.5703125" customWidth="1"/>
    <col min="6" max="6" width="10" customWidth="1"/>
    <col min="7" max="7" width="12.7109375" customWidth="1"/>
    <col min="12" max="12" width="12.7109375" bestFit="1" customWidth="1"/>
  </cols>
  <sheetData>
    <row r="1" spans="2:13" ht="13.5" thickBot="1" x14ac:dyDescent="0.25"/>
    <row r="2" spans="2:13" ht="13.5" thickBot="1" x14ac:dyDescent="0.25">
      <c r="B2" s="446" t="s">
        <v>298</v>
      </c>
      <c r="C2" s="447"/>
      <c r="D2" s="447"/>
      <c r="E2" s="448"/>
    </row>
    <row r="3" spans="2:13" x14ac:dyDescent="0.2">
      <c r="B3" s="358" t="s">
        <v>297</v>
      </c>
      <c r="C3" s="88" t="s">
        <v>134</v>
      </c>
      <c r="D3" s="88" t="s">
        <v>135</v>
      </c>
      <c r="E3" s="88" t="s">
        <v>292</v>
      </c>
      <c r="I3" t="s">
        <v>291</v>
      </c>
      <c r="J3" t="s">
        <v>287</v>
      </c>
      <c r="K3" t="s">
        <v>288</v>
      </c>
      <c r="L3" t="s">
        <v>289</v>
      </c>
      <c r="M3" t="s">
        <v>290</v>
      </c>
    </row>
    <row r="4" spans="2:13" x14ac:dyDescent="0.2">
      <c r="B4" s="132" t="str">
        <f>'Rate Class Energy Model'!H2</f>
        <v xml:space="preserve">Residential </v>
      </c>
      <c r="C4" s="133">
        <f>Summary!O17</f>
        <v>395264057.09320611</v>
      </c>
      <c r="D4" s="134"/>
      <c r="E4" s="342">
        <v>0.9224</v>
      </c>
      <c r="I4" s="341">
        <f>AVERAGE(J4:M4)</f>
        <v>0.92242792013552544</v>
      </c>
      <c r="J4" s="68">
        <f>'[15]CONTROL TOTAL'!$F$8/'[15]CONTROL TOTAL'!$B$8</f>
        <v>0.91247867073598299</v>
      </c>
      <c r="K4" s="68">
        <f>'[16]CONTROL TOTAL'!$F$8/'[16]CONTROL TOTAL'!$B$8</f>
        <v>0.91803750693418373</v>
      </c>
      <c r="L4" s="68">
        <f>'[17]CONTROL TOTAL'!$F$8/'[17]CONTROL TOTAL'!$B$8</f>
        <v>0.92496208615700115</v>
      </c>
      <c r="M4" s="68">
        <f>'[18]CONTROL TOTAL'!$F$8/'[18]CONTROL TOTAL'!$B$8</f>
        <v>0.93423341671493332</v>
      </c>
    </row>
    <row r="5" spans="2:13" x14ac:dyDescent="0.2">
      <c r="B5" s="132" t="str">
        <f>'Rate Class Energy Model'!I2</f>
        <v>General Service &lt; 50 kW</v>
      </c>
      <c r="C5" s="133">
        <f>Summary!O21</f>
        <v>153517083.59468055</v>
      </c>
      <c r="D5" s="134"/>
      <c r="E5" s="342">
        <v>0.85560000000000003</v>
      </c>
      <c r="I5" s="341">
        <f t="shared" ref="I5:I10" si="0">AVERAGE(J5:M5)</f>
        <v>0.85562734865800139</v>
      </c>
      <c r="J5" s="68">
        <f>('[15]CONTROL TOTAL'!$F$11-'[15]kwh Usage'!$D$53-'[15]kwh Usage'!$D$54)/('[15]CONTROL TOTAL'!$B$11-'[15]kwh Usage'!$D$53-'[15]kwh Usage'!$D$54-'[15]kwh Usage'!$D$55-'[15]kwh Usage'!$D$56)</f>
        <v>0.8629234783831532</v>
      </c>
      <c r="K5" s="68">
        <f>('[16]CONTROL TOTAL'!$F$11-'[16]kwh Usage'!$D$53-'[16]kwh Usage'!$D$54)/('[16]CONTROL TOTAL'!$B$11-'[16]kwh Usage'!$D$53-'[16]kwh Usage'!$D$54-'[16]kwh Usage'!$D$55-'[16]kwh Usage'!$D$56)</f>
        <v>0.84953567141639408</v>
      </c>
      <c r="L5" s="68">
        <f>('[17]CONTROL TOTAL'!$F$11-'[17]kwh Usage'!$D$53-'[17]kwh Usage'!$D$54)/('[17]CONTROL TOTAL'!$B$11-'[17]kwh Usage'!$D$53-'[17]kwh Usage'!$D$54-'[17]kwh Usage'!$D$55-'[17]kwh Usage'!$D$56)</f>
        <v>0.85456987175059818</v>
      </c>
      <c r="M5" s="68">
        <f>('[18]CONTROL TOTAL'!$F$11-'[18]kwh Usage'!$D$53-'[18]kwh Usage'!$D$54)/('[18]CONTROL TOTAL'!$B$11-'[18]kwh Usage'!$D$53-'[18]kwh Usage'!$D$54-'[18]kwh Usage'!$D$55-'[18]kwh Usage'!$D$56)</f>
        <v>0.8554803730818602</v>
      </c>
    </row>
    <row r="6" spans="2:13" x14ac:dyDescent="0.2">
      <c r="B6" s="132" t="str">
        <f>'Rate Class Energy Model'!J2</f>
        <v>General Service &gt; 50 to 999 kW</v>
      </c>
      <c r="C6" s="133">
        <f>Summary!O25</f>
        <v>431657534.28491879</v>
      </c>
      <c r="D6" s="135">
        <f>Summary!O26</f>
        <v>1226670.0537145592</v>
      </c>
      <c r="E6" s="342">
        <v>0.32790000000000002</v>
      </c>
      <c r="I6" s="341">
        <f t="shared" si="0"/>
        <v>0.32794141020139755</v>
      </c>
      <c r="J6" s="68">
        <f>'[15]CONTROL TOTAL'!$F$12/'[15]CONTROL TOTAL'!$B$12</f>
        <v>0.33615327709591158</v>
      </c>
      <c r="K6" s="68">
        <f>'[16]CONTROL TOTAL'!$F$12/'[16]CONTROL TOTAL'!$B$12</f>
        <v>0.32707732410457252</v>
      </c>
      <c r="L6" s="68">
        <f>'[17]CONTROL TOTAL'!$F$12/'[17]CONTROL TOTAL'!$B$12</f>
        <v>0.33109222779540898</v>
      </c>
      <c r="M6" s="68">
        <f>'[18]CONTROL TOTAL'!$F$12/'[18]CONTROL TOTAL'!$B$12</f>
        <v>0.31744281180969736</v>
      </c>
    </row>
    <row r="7" spans="2:13" x14ac:dyDescent="0.2">
      <c r="B7" s="132" t="str">
        <f>'Rate Class Energy Model'!K2</f>
        <v>General Service &gt; 1000 to 4999 kW</v>
      </c>
      <c r="C7" s="133">
        <f>Summary!O30</f>
        <v>221335610.80707443</v>
      </c>
      <c r="D7" s="135">
        <f>Summary!O31</f>
        <v>526492.10011546221</v>
      </c>
      <c r="E7" s="342">
        <v>0</v>
      </c>
      <c r="I7" s="341">
        <f t="shared" si="0"/>
        <v>0</v>
      </c>
      <c r="J7" s="68">
        <f>'[15]CONTROL TOTAL'!$F$15/'[15]CONTROL TOTAL'!$B$15</f>
        <v>0</v>
      </c>
      <c r="K7" s="68">
        <f>'[16]CONTROL TOTAL'!$F$15/'[16]CONTROL TOTAL'!$B$15</f>
        <v>0</v>
      </c>
      <c r="L7" s="68">
        <f>'[17]CONTROL TOTAL'!$F$15/'[17]CONTROL TOTAL'!$B$15</f>
        <v>0</v>
      </c>
      <c r="M7" s="68">
        <f>'[18]CONTROL TOTAL'!$F$15/'[18]CONTROL TOTAL'!$B$15</f>
        <v>0</v>
      </c>
    </row>
    <row r="8" spans="2:13" x14ac:dyDescent="0.2">
      <c r="B8" s="132" t="str">
        <f>'Rate Class Customer Model'!F2</f>
        <v>Large User</v>
      </c>
      <c r="C8" s="133">
        <f>Summary!O35</f>
        <v>208256974.32055795</v>
      </c>
      <c r="D8" s="135">
        <f>Summary!O36</f>
        <v>431511.70773318375</v>
      </c>
      <c r="E8" s="342">
        <v>0</v>
      </c>
      <c r="I8" s="341">
        <f t="shared" si="0"/>
        <v>0</v>
      </c>
      <c r="J8" s="68">
        <f>'[15]CONTROL TOTAL'!$F$18/'[15]CONTROL TOTAL'!$B$18</f>
        <v>0</v>
      </c>
      <c r="K8" s="68">
        <f>'[16]CONTROL TOTAL'!$F$18/'[16]CONTROL TOTAL'!$B$18</f>
        <v>0</v>
      </c>
      <c r="L8" s="68">
        <f>'[17]CONTROL TOTAL'!$F$18/'[17]CONTROL TOTAL'!$B$18</f>
        <v>0</v>
      </c>
      <c r="M8" s="68">
        <f>'[18]CONTROL TOTAL'!$F$18/'[18]CONTROL TOTAL'!$B$18</f>
        <v>0</v>
      </c>
    </row>
    <row r="9" spans="2:13" x14ac:dyDescent="0.2">
      <c r="B9" s="132" t="str">
        <f>'Rate Class Customer Model'!H2</f>
        <v>Street Lights</v>
      </c>
      <c r="C9" s="133">
        <f>Summary!O45</f>
        <v>9649327.5931708179</v>
      </c>
      <c r="D9" s="135">
        <f>Summary!O46</f>
        <v>25898.064816446684</v>
      </c>
      <c r="E9" s="342">
        <v>0</v>
      </c>
      <c r="I9" s="341">
        <f t="shared" si="0"/>
        <v>0</v>
      </c>
      <c r="J9" s="68">
        <f>'[15]CONTROL TOTAL'!$F$21/'[15]CONTROL TOTAL'!$B$21</f>
        <v>0</v>
      </c>
      <c r="K9" s="68">
        <f>'[16]CONTROL TOTAL'!$F$21/'[16]CONTROL TOTAL'!$B$21</f>
        <v>0</v>
      </c>
      <c r="L9" s="68">
        <f>'[17]CONTROL TOTAL'!$F$21/'[17]CONTROL TOTAL'!$B$21</f>
        <v>0</v>
      </c>
      <c r="M9" s="68">
        <f>'[18]CONTROL TOTAL'!$F$21/'[18]CONTROL TOTAL'!$B$21</f>
        <v>0</v>
      </c>
    </row>
    <row r="10" spans="2:13" x14ac:dyDescent="0.2">
      <c r="B10" s="132" t="str">
        <f>'Rate Class Customer Model'!I2</f>
        <v xml:space="preserve">Unmetered Loads </v>
      </c>
      <c r="C10" s="133">
        <f>Summary!O50</f>
        <v>1756888.8018717372</v>
      </c>
      <c r="D10" s="135"/>
      <c r="E10" s="342">
        <v>0.998</v>
      </c>
      <c r="I10" s="341">
        <f t="shared" si="0"/>
        <v>0.9979996347706932</v>
      </c>
      <c r="J10" s="68">
        <f>('[15]kwh Usage'!$D$53+'[15]kwh Usage'!$D$54)/('[15]kwh Usage'!$D$53+'[15]kwh Usage'!$D$54+'[15]kwh Usage'!$D$55+'[15]kwh Usage'!$D$56)</f>
        <v>0.99800657532788417</v>
      </c>
      <c r="K10" s="68">
        <f>('[16]kwh Usage'!$D$53+'[16]kwh Usage'!$D$54)/('[16]kwh Usage'!$D$53+'[16]kwh Usage'!$D$54+'[16]kwh Usage'!$D$55+'[16]kwh Usage'!$D$56)</f>
        <v>0.99799922499823346</v>
      </c>
      <c r="L10" s="68">
        <f>('[17]kwh Usage'!$D$53+'[17]kwh Usage'!$D$54)/('[17]kwh Usage'!$D$53+'[17]kwh Usage'!$D$54+'[17]kwh Usage'!$D$55+'[17]kwh Usage'!$D$56)</f>
        <v>0.99799684871946681</v>
      </c>
      <c r="M10" s="68">
        <f>('[18]kwh Usage'!$D$53+'[18]kwh Usage'!$D$54)/('[18]kwh Usage'!$D$53+'[18]kwh Usage'!$D$54+'[18]kwh Usage'!$D$55+'[18]kwh Usage'!$D$56)</f>
        <v>0.99799589003718847</v>
      </c>
    </row>
    <row r="11" spans="2:13" x14ac:dyDescent="0.2">
      <c r="B11" s="132" t="str">
        <f>'Rate Class Customer Model'!J2</f>
        <v>Embedded Distributors - Hydro One</v>
      </c>
      <c r="C11" s="133">
        <f>Summary!O54-'Rate Class Energy Model'!P90</f>
        <v>12613577.074962635</v>
      </c>
      <c r="D11" s="135">
        <f>Summary!O55</f>
        <v>90564.377192908592</v>
      </c>
      <c r="E11" s="342">
        <v>0</v>
      </c>
    </row>
    <row r="12" spans="2:13" x14ac:dyDescent="0.2">
      <c r="B12" s="137" t="s">
        <v>137</v>
      </c>
      <c r="C12" s="138">
        <f>SUM(C4:C11)</f>
        <v>1434051053.5704434</v>
      </c>
      <c r="D12" s="138">
        <f>SUM(D4:D11)</f>
        <v>2301136.3035725602</v>
      </c>
      <c r="E12" s="138"/>
    </row>
    <row r="13" spans="2:13" x14ac:dyDescent="0.2">
      <c r="C13" s="61"/>
      <c r="D13" s="61"/>
    </row>
    <row r="15" spans="2:13" x14ac:dyDescent="0.2">
      <c r="B15" s="343" t="s">
        <v>138</v>
      </c>
      <c r="C15" s="454" t="s">
        <v>156</v>
      </c>
      <c r="D15" s="456" t="s">
        <v>157</v>
      </c>
      <c r="E15" s="458">
        <v>2014</v>
      </c>
      <c r="F15" s="459"/>
      <c r="G15" s="460"/>
    </row>
    <row r="16" spans="2:13" x14ac:dyDescent="0.2">
      <c r="B16" s="344" t="s">
        <v>141</v>
      </c>
      <c r="C16" s="455"/>
      <c r="D16" s="457"/>
      <c r="E16" s="449"/>
      <c r="F16" s="450"/>
      <c r="G16" s="451"/>
    </row>
    <row r="17" spans="2:7" x14ac:dyDescent="0.2">
      <c r="B17" s="75" t="str">
        <f>B4</f>
        <v xml:space="preserve">Residential </v>
      </c>
      <c r="C17" s="133">
        <f>C4*E4</f>
        <v>364591566.26277333</v>
      </c>
      <c r="D17" s="140">
        <v>1.0286</v>
      </c>
      <c r="E17" s="141">
        <f t="shared" ref="E17:E24" si="1">C17*D17</f>
        <v>375018885.05788863</v>
      </c>
      <c r="F17" s="142">
        <v>8.3949999999999997E-2</v>
      </c>
      <c r="G17" s="143">
        <f t="shared" ref="G17:G24" si="2">E17*F17</f>
        <v>31482835.40060975</v>
      </c>
    </row>
    <row r="18" spans="2:7" x14ac:dyDescent="0.2">
      <c r="B18" s="75" t="str">
        <f t="shared" ref="B18:B24" si="3">B5</f>
        <v>General Service &lt; 50 kW</v>
      </c>
      <c r="C18" s="133">
        <f t="shared" ref="C18:C24" si="4">C5*E5</f>
        <v>131349216.72360869</v>
      </c>
      <c r="D18" s="140">
        <v>1.0286</v>
      </c>
      <c r="E18" s="141">
        <f t="shared" si="1"/>
        <v>135105804.32190388</v>
      </c>
      <c r="F18" s="142">
        <v>8.3949999999999997E-2</v>
      </c>
      <c r="G18" s="143">
        <f t="shared" si="2"/>
        <v>11342132.272823831</v>
      </c>
    </row>
    <row r="19" spans="2:7" x14ac:dyDescent="0.2">
      <c r="B19" s="75" t="str">
        <f t="shared" si="3"/>
        <v>General Service &gt; 50 to 999 kW</v>
      </c>
      <c r="C19" s="133">
        <f t="shared" si="4"/>
        <v>141540505.49202487</v>
      </c>
      <c r="D19" s="140">
        <v>1.0286</v>
      </c>
      <c r="E19" s="141">
        <f t="shared" si="1"/>
        <v>145588563.94909677</v>
      </c>
      <c r="F19" s="142">
        <v>8.3949999999999997E-2</v>
      </c>
      <c r="G19" s="143">
        <f t="shared" si="2"/>
        <v>12222159.943526674</v>
      </c>
    </row>
    <row r="20" spans="2:7" x14ac:dyDescent="0.2">
      <c r="B20" s="75" t="str">
        <f t="shared" si="3"/>
        <v>General Service &gt; 1000 to 4999 kW</v>
      </c>
      <c r="C20" s="133">
        <f t="shared" si="4"/>
        <v>0</v>
      </c>
      <c r="D20" s="140">
        <v>1.0286</v>
      </c>
      <c r="E20" s="141">
        <f t="shared" si="1"/>
        <v>0</v>
      </c>
      <c r="F20" s="142">
        <v>8.3949999999999997E-2</v>
      </c>
      <c r="G20" s="143">
        <f t="shared" si="2"/>
        <v>0</v>
      </c>
    </row>
    <row r="21" spans="2:7" x14ac:dyDescent="0.2">
      <c r="B21" s="75" t="str">
        <f t="shared" si="3"/>
        <v>Large User</v>
      </c>
      <c r="C21" s="133">
        <f t="shared" si="4"/>
        <v>0</v>
      </c>
      <c r="D21" s="140">
        <v>1.0003</v>
      </c>
      <c r="E21" s="141">
        <f t="shared" si="1"/>
        <v>0</v>
      </c>
      <c r="F21" s="142">
        <v>8.3949999999999997E-2</v>
      </c>
      <c r="G21" s="143">
        <f t="shared" si="2"/>
        <v>0</v>
      </c>
    </row>
    <row r="22" spans="2:7" x14ac:dyDescent="0.2">
      <c r="B22" s="75" t="str">
        <f t="shared" si="3"/>
        <v>Street Lights</v>
      </c>
      <c r="C22" s="133">
        <f t="shared" si="4"/>
        <v>0</v>
      </c>
      <c r="D22" s="140">
        <v>1.0286</v>
      </c>
      <c r="E22" s="141">
        <f t="shared" si="1"/>
        <v>0</v>
      </c>
      <c r="F22" s="142">
        <v>8.3949999999999997E-2</v>
      </c>
      <c r="G22" s="143">
        <f t="shared" si="2"/>
        <v>0</v>
      </c>
    </row>
    <row r="23" spans="2:7" x14ac:dyDescent="0.2">
      <c r="B23" s="75" t="str">
        <f t="shared" si="3"/>
        <v xml:space="preserve">Unmetered Loads </v>
      </c>
      <c r="C23" s="133">
        <f t="shared" si="4"/>
        <v>1753375.0242679939</v>
      </c>
      <c r="D23" s="140">
        <v>1.0286</v>
      </c>
      <c r="E23" s="141">
        <f t="shared" si="1"/>
        <v>1803521.5499620584</v>
      </c>
      <c r="F23" s="142">
        <v>8.3949999999999997E-2</v>
      </c>
      <c r="G23" s="143">
        <f t="shared" si="2"/>
        <v>151405.63411931481</v>
      </c>
    </row>
    <row r="24" spans="2:7" x14ac:dyDescent="0.2">
      <c r="B24" s="75" t="str">
        <f t="shared" si="3"/>
        <v>Embedded Distributors - Hydro One</v>
      </c>
      <c r="C24" s="133">
        <f t="shared" si="4"/>
        <v>0</v>
      </c>
      <c r="D24" s="140">
        <v>1.0286</v>
      </c>
      <c r="E24" s="141">
        <f t="shared" si="1"/>
        <v>0</v>
      </c>
      <c r="F24" s="142">
        <v>8.3949999999999997E-2</v>
      </c>
      <c r="G24" s="143">
        <f t="shared" si="2"/>
        <v>0</v>
      </c>
    </row>
    <row r="25" spans="2:7" x14ac:dyDescent="0.2">
      <c r="B25" s="137" t="s">
        <v>137</v>
      </c>
      <c r="C25" s="138">
        <f>SUM(C17:C24)</f>
        <v>639234663.50267494</v>
      </c>
      <c r="D25" s="139"/>
      <c r="E25" s="138">
        <f>SUM(E17:E24)</f>
        <v>657516774.87885129</v>
      </c>
      <c r="F25" s="144"/>
      <c r="G25" s="145">
        <f>SUM(G17:G24)</f>
        <v>55198533.251079574</v>
      </c>
    </row>
    <row r="26" spans="2:7" x14ac:dyDescent="0.2">
      <c r="B26" s="146"/>
      <c r="C26" s="147"/>
      <c r="D26" s="148"/>
      <c r="E26" s="147"/>
      <c r="F26" s="149"/>
      <c r="G26" s="150"/>
    </row>
    <row r="27" spans="2:7" x14ac:dyDescent="0.2">
      <c r="B27" s="343" t="s">
        <v>142</v>
      </c>
      <c r="C27" s="454" t="s">
        <v>156</v>
      </c>
      <c r="D27" s="456" t="s">
        <v>157</v>
      </c>
      <c r="E27" s="458">
        <v>2014</v>
      </c>
      <c r="F27" s="459"/>
      <c r="G27" s="460"/>
    </row>
    <row r="28" spans="2:7" x14ac:dyDescent="0.2">
      <c r="B28" s="344" t="s">
        <v>143</v>
      </c>
      <c r="C28" s="455"/>
      <c r="D28" s="457"/>
      <c r="E28" s="449"/>
      <c r="F28" s="450"/>
      <c r="G28" s="451"/>
    </row>
    <row r="29" spans="2:7" x14ac:dyDescent="0.2">
      <c r="B29" s="75" t="str">
        <f>B17</f>
        <v xml:space="preserve">Residential </v>
      </c>
      <c r="C29" s="133">
        <f>C4-C17</f>
        <v>30672490.830432773</v>
      </c>
      <c r="D29" s="134">
        <f>D17</f>
        <v>1.0286</v>
      </c>
      <c r="E29" s="141">
        <f t="shared" ref="E29:E36" si="5">C29*D29</f>
        <v>31549724.06818315</v>
      </c>
      <c r="F29" s="142">
        <f>0.08817</f>
        <v>8.8169999999999998E-2</v>
      </c>
      <c r="G29" s="143">
        <f t="shared" ref="G29:G36" si="6">E29*F29</f>
        <v>2781739.1710917084</v>
      </c>
    </row>
    <row r="30" spans="2:7" x14ac:dyDescent="0.2">
      <c r="B30" s="75" t="str">
        <f t="shared" ref="B30:B36" si="7">B18</f>
        <v>General Service &lt; 50 kW</v>
      </c>
      <c r="C30" s="133">
        <f t="shared" ref="C30:C36" si="8">C5-C18</f>
        <v>22167866.87107186</v>
      </c>
      <c r="D30" s="134">
        <f t="shared" ref="D30:D36" si="9">D18</f>
        <v>1.0286</v>
      </c>
      <c r="E30" s="141">
        <f t="shared" si="5"/>
        <v>22801867.863584515</v>
      </c>
      <c r="F30" s="142">
        <f t="shared" ref="F30:F36" si="10">0.08817</f>
        <v>8.8169999999999998E-2</v>
      </c>
      <c r="G30" s="143">
        <f t="shared" si="6"/>
        <v>2010440.6895322467</v>
      </c>
    </row>
    <row r="31" spans="2:7" x14ac:dyDescent="0.2">
      <c r="B31" s="75" t="str">
        <f t="shared" si="7"/>
        <v>General Service &gt; 50 to 999 kW</v>
      </c>
      <c r="C31" s="133">
        <f t="shared" si="8"/>
        <v>290117028.79289389</v>
      </c>
      <c r="D31" s="134">
        <f t="shared" si="9"/>
        <v>1.0286</v>
      </c>
      <c r="E31" s="141">
        <f t="shared" si="5"/>
        <v>298414375.81637067</v>
      </c>
      <c r="F31" s="142">
        <f t="shared" si="10"/>
        <v>8.8169999999999998E-2</v>
      </c>
      <c r="G31" s="143">
        <f t="shared" si="6"/>
        <v>26311195.515729401</v>
      </c>
    </row>
    <row r="32" spans="2:7" x14ac:dyDescent="0.2">
      <c r="B32" s="75" t="str">
        <f t="shared" si="7"/>
        <v>General Service &gt; 1000 to 4999 kW</v>
      </c>
      <c r="C32" s="133">
        <f t="shared" si="8"/>
        <v>221335610.80707443</v>
      </c>
      <c r="D32" s="134">
        <f t="shared" si="9"/>
        <v>1.0286</v>
      </c>
      <c r="E32" s="141">
        <f t="shared" si="5"/>
        <v>227665809.27615675</v>
      </c>
      <c r="F32" s="142">
        <f t="shared" si="10"/>
        <v>8.8169999999999998E-2</v>
      </c>
      <c r="G32" s="143">
        <f t="shared" si="6"/>
        <v>20073294.403878741</v>
      </c>
    </row>
    <row r="33" spans="2:9" x14ac:dyDescent="0.2">
      <c r="B33" s="75" t="str">
        <f t="shared" si="7"/>
        <v>Large User</v>
      </c>
      <c r="C33" s="133">
        <f t="shared" si="8"/>
        <v>208256974.32055795</v>
      </c>
      <c r="D33" s="134">
        <f t="shared" si="9"/>
        <v>1.0003</v>
      </c>
      <c r="E33" s="141">
        <f t="shared" si="5"/>
        <v>208319451.41285411</v>
      </c>
      <c r="F33" s="142">
        <f t="shared" si="10"/>
        <v>8.8169999999999998E-2</v>
      </c>
      <c r="G33" s="143">
        <f t="shared" si="6"/>
        <v>18367526.031071346</v>
      </c>
    </row>
    <row r="34" spans="2:9" x14ac:dyDescent="0.2">
      <c r="B34" s="75" t="str">
        <f t="shared" si="7"/>
        <v>Street Lights</v>
      </c>
      <c r="C34" s="133">
        <f t="shared" si="8"/>
        <v>9649327.5931708179</v>
      </c>
      <c r="D34" s="134">
        <f t="shared" si="9"/>
        <v>1.0286</v>
      </c>
      <c r="E34" s="141">
        <f t="shared" si="5"/>
        <v>9925298.3623355031</v>
      </c>
      <c r="F34" s="142">
        <f t="shared" si="10"/>
        <v>8.8169999999999998E-2</v>
      </c>
      <c r="G34" s="143">
        <f t="shared" si="6"/>
        <v>875113.55660712125</v>
      </c>
    </row>
    <row r="35" spans="2:9" x14ac:dyDescent="0.2">
      <c r="B35" s="75" t="str">
        <f t="shared" si="7"/>
        <v xml:space="preserve">Unmetered Loads </v>
      </c>
      <c r="C35" s="133">
        <f t="shared" si="8"/>
        <v>3513.777603743365</v>
      </c>
      <c r="D35" s="134">
        <f t="shared" si="9"/>
        <v>1.0286</v>
      </c>
      <c r="E35" s="141">
        <f t="shared" si="5"/>
        <v>3614.2716432104253</v>
      </c>
      <c r="F35" s="142">
        <f t="shared" si="10"/>
        <v>8.8169999999999998E-2</v>
      </c>
      <c r="G35" s="143">
        <f t="shared" si="6"/>
        <v>318.67033078186319</v>
      </c>
    </row>
    <row r="36" spans="2:9" x14ac:dyDescent="0.2">
      <c r="B36" s="75" t="str">
        <f t="shared" si="7"/>
        <v>Embedded Distributors - Hydro One</v>
      </c>
      <c r="C36" s="133">
        <f t="shared" si="8"/>
        <v>12613577.074962635</v>
      </c>
      <c r="D36" s="134">
        <f t="shared" si="9"/>
        <v>1.0286</v>
      </c>
      <c r="E36" s="141">
        <f t="shared" si="5"/>
        <v>12974325.379306566</v>
      </c>
      <c r="F36" s="142">
        <f t="shared" si="10"/>
        <v>8.8169999999999998E-2</v>
      </c>
      <c r="G36" s="143">
        <f t="shared" si="6"/>
        <v>1143946.2686934599</v>
      </c>
    </row>
    <row r="37" spans="2:9" x14ac:dyDescent="0.2">
      <c r="B37" s="137" t="s">
        <v>137</v>
      </c>
      <c r="C37" s="138">
        <f>SUM(C29:C36)</f>
        <v>794816390.06776798</v>
      </c>
      <c r="D37" s="139"/>
      <c r="E37" s="138">
        <f>SUM(E29:E36)</f>
        <v>811654466.45043445</v>
      </c>
      <c r="F37" s="144"/>
      <c r="G37" s="145">
        <f>SUM(G29:G36)</f>
        <v>71563574.306934819</v>
      </c>
    </row>
    <row r="39" spans="2:9" x14ac:dyDescent="0.2">
      <c r="B39" s="345" t="s">
        <v>144</v>
      </c>
      <c r="C39" s="346"/>
      <c r="D39" s="347" t="s">
        <v>145</v>
      </c>
      <c r="E39" s="348"/>
      <c r="F39" s="349"/>
      <c r="G39" s="346"/>
    </row>
    <row r="40" spans="2:9" x14ac:dyDescent="0.2">
      <c r="B40" s="344" t="s">
        <v>143</v>
      </c>
      <c r="C40" s="350"/>
      <c r="D40" s="351" t="s">
        <v>146</v>
      </c>
      <c r="E40" s="449">
        <v>2014</v>
      </c>
      <c r="F40" s="450"/>
      <c r="G40" s="451"/>
    </row>
    <row r="41" spans="2:9" x14ac:dyDescent="0.2">
      <c r="B41" s="151" t="str">
        <f>B29</f>
        <v xml:space="preserve">Residential </v>
      </c>
      <c r="C41" s="141"/>
      <c r="D41" s="152" t="s">
        <v>134</v>
      </c>
      <c r="E41" s="141">
        <f>E17+E29</f>
        <v>406568609.12607175</v>
      </c>
      <c r="F41" s="153">
        <f>'[19]Tables for Exh 8'!$F$5</f>
        <v>6.3398244195292672E-3</v>
      </c>
      <c r="G41" s="143">
        <f t="shared" ref="G41:G48" si="11">E41*F41</f>
        <v>2577573.5963515192</v>
      </c>
    </row>
    <row r="42" spans="2:9" x14ac:dyDescent="0.2">
      <c r="B42" s="151" t="str">
        <f t="shared" ref="B42:B48" si="12">B30</f>
        <v>General Service &lt; 50 kW</v>
      </c>
      <c r="C42" s="141"/>
      <c r="D42" s="152" t="s">
        <v>134</v>
      </c>
      <c r="E42" s="141">
        <f>E18+E30</f>
        <v>157907672.1854884</v>
      </c>
      <c r="F42" s="153">
        <f>'[19]Tables for Exh 8'!$F$6</f>
        <v>5.5217825589448464E-3</v>
      </c>
      <c r="G42" s="143">
        <f t="shared" si="11"/>
        <v>871931.83019741008</v>
      </c>
    </row>
    <row r="43" spans="2:9" x14ac:dyDescent="0.2">
      <c r="B43" s="151" t="str">
        <f t="shared" si="12"/>
        <v>General Service &gt; 50 to 999 kW</v>
      </c>
      <c r="C43" s="141"/>
      <c r="D43" s="152" t="s">
        <v>135</v>
      </c>
      <c r="E43" s="141">
        <f>D6</f>
        <v>1226670.0537145592</v>
      </c>
      <c r="F43" s="153">
        <f>'[19]Tables for Exh 8'!$F$7</f>
        <v>3.5916127888959029</v>
      </c>
      <c r="G43" s="143">
        <f t="shared" si="11"/>
        <v>4405723.8526768349</v>
      </c>
    </row>
    <row r="44" spans="2:9" x14ac:dyDescent="0.2">
      <c r="B44" s="151" t="str">
        <f t="shared" si="12"/>
        <v>General Service &gt; 1000 to 4999 kW</v>
      </c>
      <c r="C44" s="141"/>
      <c r="D44" s="152" t="s">
        <v>135</v>
      </c>
      <c r="E44" s="141">
        <f>D7</f>
        <v>526492.10011546221</v>
      </c>
      <c r="F44" s="153">
        <f>'[19]Tables for Exh 8'!$F$8</f>
        <v>2.7277605841187542</v>
      </c>
      <c r="G44" s="143">
        <f t="shared" si="11"/>
        <v>1436144.3985448629</v>
      </c>
      <c r="I44" s="32"/>
    </row>
    <row r="45" spans="2:9" x14ac:dyDescent="0.2">
      <c r="B45" s="151" t="str">
        <f t="shared" si="12"/>
        <v>Large User</v>
      </c>
      <c r="C45" s="141"/>
      <c r="D45" s="152" t="s">
        <v>135</v>
      </c>
      <c r="E45" s="141">
        <f>D8</f>
        <v>431511.70773318375</v>
      </c>
      <c r="F45" s="153">
        <f>'[19]Tables for Exh 8'!$F$9</f>
        <v>2.5849100242141994</v>
      </c>
      <c r="G45" s="143">
        <f t="shared" si="11"/>
        <v>1115418.9388852946</v>
      </c>
    </row>
    <row r="46" spans="2:9" x14ac:dyDescent="0.2">
      <c r="B46" s="151" t="str">
        <f t="shared" si="12"/>
        <v>Street Lights</v>
      </c>
      <c r="C46" s="141"/>
      <c r="D46" s="152" t="s">
        <v>135</v>
      </c>
      <c r="E46" s="141">
        <f>D9</f>
        <v>25898.064816446684</v>
      </c>
      <c r="F46" s="153">
        <f>'[19]Tables for Exh 8'!$F$21</f>
        <v>1.1159003152398188</v>
      </c>
      <c r="G46" s="143">
        <f t="shared" si="11"/>
        <v>28899.658692774115</v>
      </c>
    </row>
    <row r="47" spans="2:9" x14ac:dyDescent="0.2">
      <c r="B47" s="151" t="str">
        <f>B35</f>
        <v xml:space="preserve">Unmetered Loads </v>
      </c>
      <c r="C47" s="141"/>
      <c r="D47" s="152" t="s">
        <v>134</v>
      </c>
      <c r="E47" s="141">
        <f>E35</f>
        <v>3614.2716432104253</v>
      </c>
      <c r="F47" s="153">
        <f>'[19]Tables for Exh 8'!$F$10</f>
        <v>5.5217825589448464E-3</v>
      </c>
      <c r="G47" s="143">
        <f t="shared" si="11"/>
        <v>19.957222122768258</v>
      </c>
    </row>
    <row r="48" spans="2:9" x14ac:dyDescent="0.2">
      <c r="B48" s="151" t="str">
        <f t="shared" si="12"/>
        <v>Embedded Distributors - Hydro One</v>
      </c>
      <c r="C48" s="141"/>
      <c r="D48" s="152" t="s">
        <v>135</v>
      </c>
      <c r="E48" s="141">
        <f>D11</f>
        <v>90564.377192908592</v>
      </c>
      <c r="F48" s="153">
        <f>'[19]Tables for Exh 8'!$F$12</f>
        <v>2.5849100242141994</v>
      </c>
      <c r="G48" s="143">
        <f t="shared" si="11"/>
        <v>234100.76644266522</v>
      </c>
    </row>
    <row r="49" spans="2:7" x14ac:dyDescent="0.2">
      <c r="B49" s="137" t="s">
        <v>137</v>
      </c>
      <c r="C49" s="138"/>
      <c r="D49" s="139"/>
      <c r="E49" s="138"/>
      <c r="F49" s="144"/>
      <c r="G49" s="154">
        <f>SUM(G41:G48)</f>
        <v>10669812.999013484</v>
      </c>
    </row>
    <row r="51" spans="2:7" x14ac:dyDescent="0.2">
      <c r="B51" s="345" t="s">
        <v>147</v>
      </c>
      <c r="C51" s="346"/>
      <c r="D51" s="352" t="s">
        <v>145</v>
      </c>
      <c r="E51" s="348"/>
      <c r="F51" s="349"/>
      <c r="G51" s="346"/>
    </row>
    <row r="52" spans="2:7" x14ac:dyDescent="0.2">
      <c r="B52" s="344" t="s">
        <v>143</v>
      </c>
      <c r="C52" s="350"/>
      <c r="D52" s="353" t="s">
        <v>146</v>
      </c>
      <c r="E52" s="449">
        <v>2014</v>
      </c>
      <c r="F52" s="450"/>
      <c r="G52" s="451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406568609.12607175</v>
      </c>
      <c r="F53" s="153">
        <f>'[19]Tables for Exh 8'!$F$15</f>
        <v>3.8501448484410065E-3</v>
      </c>
      <c r="G53" s="143">
        <f t="shared" ref="G53:G60" si="13">E53*F53</f>
        <v>1565348.0359645702</v>
      </c>
    </row>
    <row r="54" spans="2:7" x14ac:dyDescent="0.2">
      <c r="B54" s="151" t="str">
        <f t="shared" ref="B54:B60" si="14">B42</f>
        <v>General Service &lt; 50 kW</v>
      </c>
      <c r="C54" s="141"/>
      <c r="D54" s="152" t="str">
        <f t="shared" ref="D54:E60" si="15">D42</f>
        <v>kWh</v>
      </c>
      <c r="E54" s="141">
        <f t="shared" si="15"/>
        <v>157907672.1854884</v>
      </c>
      <c r="F54" s="153">
        <f>'[19]Tables for Exh 8'!$F$16</f>
        <v>3.6362479124165056E-3</v>
      </c>
      <c r="G54" s="143">
        <f t="shared" si="13"/>
        <v>574191.44333903212</v>
      </c>
    </row>
    <row r="55" spans="2:7" x14ac:dyDescent="0.2">
      <c r="B55" s="151" t="str">
        <f t="shared" si="14"/>
        <v>General Service &gt; 50 to 999 kW</v>
      </c>
      <c r="C55" s="141"/>
      <c r="D55" s="152" t="str">
        <f t="shared" si="15"/>
        <v>kW</v>
      </c>
      <c r="E55" s="141">
        <f t="shared" si="15"/>
        <v>1226670.0537145592</v>
      </c>
      <c r="F55" s="153">
        <f>'[19]Tables for Exh 8'!$F$17</f>
        <v>2.2205710413383506</v>
      </c>
      <c r="G55" s="143">
        <f t="shared" si="13"/>
        <v>2723907.9985555089</v>
      </c>
    </row>
    <row r="56" spans="2:7" x14ac:dyDescent="0.2">
      <c r="B56" s="151" t="str">
        <f t="shared" si="14"/>
        <v>General Service &gt; 1000 to 4999 kW</v>
      </c>
      <c r="C56" s="141"/>
      <c r="D56" s="152" t="str">
        <f t="shared" si="15"/>
        <v>kW</v>
      </c>
      <c r="E56" s="141">
        <f t="shared" si="15"/>
        <v>526492.10011546221</v>
      </c>
      <c r="F56" s="153">
        <f>'[19]Tables for Exh 8'!$F$18</f>
        <v>1.7427252862596165</v>
      </c>
      <c r="G56" s="143">
        <f t="shared" si="13"/>
        <v>917531.09588714561</v>
      </c>
    </row>
    <row r="57" spans="2:7" x14ac:dyDescent="0.2">
      <c r="B57" s="151" t="str">
        <f t="shared" si="14"/>
        <v>Large User</v>
      </c>
      <c r="C57" s="141"/>
      <c r="D57" s="152" t="str">
        <f t="shared" si="15"/>
        <v>kW</v>
      </c>
      <c r="E57" s="141">
        <f t="shared" si="15"/>
        <v>431511.70773318375</v>
      </c>
      <c r="F57" s="153">
        <f>'[19]Tables for Exh 8'!$F$19</f>
        <v>1.7738472904511819</v>
      </c>
      <c r="G57" s="143">
        <f t="shared" si="13"/>
        <v>765435.8735604703</v>
      </c>
    </row>
    <row r="58" spans="2:7" x14ac:dyDescent="0.2">
      <c r="B58" s="151" t="str">
        <f t="shared" si="14"/>
        <v>Street Lights</v>
      </c>
      <c r="C58" s="141"/>
      <c r="D58" s="152" t="str">
        <f t="shared" si="15"/>
        <v>kW</v>
      </c>
      <c r="E58" s="141">
        <f t="shared" si="15"/>
        <v>25898.064816446684</v>
      </c>
      <c r="F58" s="153">
        <f>'[19]Tables for Exh 8'!$F$21</f>
        <v>1.1159003152398188</v>
      </c>
      <c r="G58" s="143">
        <f t="shared" si="13"/>
        <v>28899.658692774115</v>
      </c>
    </row>
    <row r="59" spans="2:7" x14ac:dyDescent="0.2">
      <c r="B59" s="151" t="str">
        <f t="shared" si="14"/>
        <v xml:space="preserve">Unmetered Loads </v>
      </c>
      <c r="C59" s="141"/>
      <c r="D59" s="152" t="str">
        <f t="shared" si="15"/>
        <v>kWh</v>
      </c>
      <c r="E59" s="141">
        <f t="shared" si="15"/>
        <v>3614.2716432104253</v>
      </c>
      <c r="F59" s="153">
        <f>'[19]Tables for Exh 8'!$F$20</f>
        <v>3.6362479124165061E-3</v>
      </c>
      <c r="G59" s="143">
        <f t="shared" si="13"/>
        <v>13.142387717530085</v>
      </c>
    </row>
    <row r="60" spans="2:7" x14ac:dyDescent="0.2">
      <c r="B60" s="151" t="str">
        <f t="shared" si="14"/>
        <v>Embedded Distributors - Hydro One</v>
      </c>
      <c r="C60" s="141"/>
      <c r="D60" s="152" t="str">
        <f t="shared" si="15"/>
        <v>kW</v>
      </c>
      <c r="E60" s="141">
        <f t="shared" si="15"/>
        <v>90564.377192908592</v>
      </c>
      <c r="F60" s="153">
        <f>'[19]Tables for Exh 8'!$F$22</f>
        <v>1.7738472904511815</v>
      </c>
      <c r="G60" s="143">
        <f t="shared" si="13"/>
        <v>160647.37509503969</v>
      </c>
    </row>
    <row r="61" spans="2:7" x14ac:dyDescent="0.2">
      <c r="B61" s="137" t="s">
        <v>137</v>
      </c>
      <c r="C61" s="138"/>
      <c r="D61" s="139"/>
      <c r="E61" s="138"/>
      <c r="F61" s="144"/>
      <c r="G61" s="154">
        <f>SUM(G53:G60)</f>
        <v>6735974.6234822599</v>
      </c>
    </row>
    <row r="63" spans="2:7" x14ac:dyDescent="0.2">
      <c r="B63" s="345" t="s">
        <v>148</v>
      </c>
      <c r="C63" s="346"/>
      <c r="D63" s="352"/>
      <c r="E63" s="348"/>
      <c r="F63" s="349"/>
      <c r="G63" s="346"/>
    </row>
    <row r="64" spans="2:7" x14ac:dyDescent="0.2">
      <c r="B64" s="344" t="s">
        <v>143</v>
      </c>
      <c r="C64" s="350"/>
      <c r="D64" s="353"/>
      <c r="E64" s="449">
        <v>2014</v>
      </c>
      <c r="F64" s="450"/>
      <c r="G64" s="452"/>
    </row>
    <row r="65" spans="2:7" x14ac:dyDescent="0.2">
      <c r="B65" s="151" t="str">
        <f>B53</f>
        <v xml:space="preserve">Residential </v>
      </c>
      <c r="C65" s="141"/>
      <c r="D65" s="152" t="s">
        <v>134</v>
      </c>
      <c r="E65" s="141">
        <f>E17+E29</f>
        <v>406568609.12607175</v>
      </c>
      <c r="F65" s="153">
        <v>4.4000000000000003E-3</v>
      </c>
      <c r="G65" s="143">
        <f t="shared" ref="G65:G72" si="16">E65*F65</f>
        <v>1788901.8801547159</v>
      </c>
    </row>
    <row r="66" spans="2:7" x14ac:dyDescent="0.2">
      <c r="B66" s="151" t="str">
        <f t="shared" ref="B66:B72" si="17">B54</f>
        <v>General Service &lt; 50 kW</v>
      </c>
      <c r="C66" s="141"/>
      <c r="D66" s="152" t="s">
        <v>134</v>
      </c>
      <c r="E66" s="141">
        <f t="shared" ref="E66:E72" si="18">E18+E30</f>
        <v>157907672.1854884</v>
      </c>
      <c r="F66" s="153">
        <v>4.4000000000000003E-3</v>
      </c>
      <c r="G66" s="143">
        <f t="shared" si="16"/>
        <v>694793.75761614903</v>
      </c>
    </row>
    <row r="67" spans="2:7" x14ac:dyDescent="0.2">
      <c r="B67" s="151" t="str">
        <f t="shared" si="17"/>
        <v>General Service &gt; 50 to 999 kW</v>
      </c>
      <c r="C67" s="141"/>
      <c r="D67" s="152" t="s">
        <v>134</v>
      </c>
      <c r="E67" s="141">
        <f t="shared" si="18"/>
        <v>444002939.76546741</v>
      </c>
      <c r="F67" s="153">
        <v>4.4000000000000003E-3</v>
      </c>
      <c r="G67" s="143">
        <f t="shared" si="16"/>
        <v>1953612.9349680566</v>
      </c>
    </row>
    <row r="68" spans="2:7" x14ac:dyDescent="0.2">
      <c r="B68" s="151" t="str">
        <f t="shared" si="17"/>
        <v>General Service &gt; 1000 to 4999 kW</v>
      </c>
      <c r="C68" s="141"/>
      <c r="D68" s="152" t="s">
        <v>134</v>
      </c>
      <c r="E68" s="141">
        <f t="shared" si="18"/>
        <v>227665809.27615675</v>
      </c>
      <c r="F68" s="153">
        <v>4.4000000000000003E-3</v>
      </c>
      <c r="G68" s="143">
        <f t="shared" si="16"/>
        <v>1001729.5608150897</v>
      </c>
    </row>
    <row r="69" spans="2:7" x14ac:dyDescent="0.2">
      <c r="B69" s="151" t="str">
        <f t="shared" si="17"/>
        <v>Large User</v>
      </c>
      <c r="C69" s="141"/>
      <c r="D69" s="152" t="s">
        <v>134</v>
      </c>
      <c r="E69" s="141">
        <f t="shared" si="18"/>
        <v>208319451.41285411</v>
      </c>
      <c r="F69" s="153">
        <v>4.4000000000000003E-3</v>
      </c>
      <c r="G69" s="143">
        <f t="shared" si="16"/>
        <v>916605.58621655812</v>
      </c>
    </row>
    <row r="70" spans="2:7" x14ac:dyDescent="0.2">
      <c r="B70" s="151" t="str">
        <f t="shared" si="17"/>
        <v>Street Lights</v>
      </c>
      <c r="C70" s="141"/>
      <c r="D70" s="152" t="s">
        <v>134</v>
      </c>
      <c r="E70" s="141">
        <f t="shared" si="18"/>
        <v>9925298.3623355031</v>
      </c>
      <c r="F70" s="153">
        <v>4.4000000000000003E-3</v>
      </c>
      <c r="G70" s="143">
        <f t="shared" si="16"/>
        <v>43671.312794276215</v>
      </c>
    </row>
    <row r="71" spans="2:7" x14ac:dyDescent="0.2">
      <c r="B71" s="151" t="str">
        <f t="shared" si="17"/>
        <v xml:space="preserve">Unmetered Loads </v>
      </c>
      <c r="C71" s="141"/>
      <c r="D71" s="152" t="s">
        <v>134</v>
      </c>
      <c r="E71" s="141">
        <f t="shared" si="18"/>
        <v>1807135.8216052689</v>
      </c>
      <c r="F71" s="153">
        <v>4.4000000000000003E-3</v>
      </c>
      <c r="G71" s="143">
        <f t="shared" si="16"/>
        <v>7951.3976150631834</v>
      </c>
    </row>
    <row r="72" spans="2:7" x14ac:dyDescent="0.2">
      <c r="B72" s="151" t="str">
        <f t="shared" si="17"/>
        <v>Embedded Distributors - Hydro One</v>
      </c>
      <c r="C72" s="141"/>
      <c r="D72" s="152" t="s">
        <v>134</v>
      </c>
      <c r="E72" s="141">
        <f t="shared" si="18"/>
        <v>12974325.379306566</v>
      </c>
      <c r="F72" s="153">
        <v>4.4000000000000003E-3</v>
      </c>
      <c r="G72" s="143">
        <f t="shared" si="16"/>
        <v>57087.031668948897</v>
      </c>
    </row>
    <row r="73" spans="2:7" x14ac:dyDescent="0.2">
      <c r="B73" s="137" t="s">
        <v>137</v>
      </c>
      <c r="C73" s="138"/>
      <c r="D73" s="139"/>
      <c r="E73" s="138">
        <f>SUM(E65:E72)</f>
        <v>1469171241.3292856</v>
      </c>
      <c r="F73" s="144"/>
      <c r="G73" s="154">
        <f>SUM(G65:G72)</f>
        <v>6464353.4618488569</v>
      </c>
    </row>
    <row r="75" spans="2:7" x14ac:dyDescent="0.2">
      <c r="B75" s="345" t="s">
        <v>149</v>
      </c>
      <c r="C75" s="346"/>
      <c r="D75" s="352"/>
      <c r="E75" s="348"/>
      <c r="F75" s="349"/>
      <c r="G75" s="346"/>
    </row>
    <row r="76" spans="2:7" x14ac:dyDescent="0.2">
      <c r="B76" s="344" t="s">
        <v>143</v>
      </c>
      <c r="C76" s="350"/>
      <c r="D76" s="353"/>
      <c r="E76" s="453">
        <v>2014</v>
      </c>
      <c r="F76" s="450"/>
      <c r="G76" s="451"/>
    </row>
    <row r="77" spans="2:7" x14ac:dyDescent="0.2">
      <c r="B77" s="151" t="str">
        <f>B65</f>
        <v xml:space="preserve">Residential </v>
      </c>
      <c r="C77" s="141"/>
      <c r="D77" s="152" t="str">
        <f t="shared" ref="D77:D84" si="19">D65</f>
        <v>kWh</v>
      </c>
      <c r="E77" s="141">
        <f>E65</f>
        <v>406568609.12607175</v>
      </c>
      <c r="F77" s="153">
        <v>1.1999999999999999E-3</v>
      </c>
      <c r="G77" s="143">
        <f t="shared" ref="G77:G84" si="20">E77*F77</f>
        <v>487882.33095128607</v>
      </c>
    </row>
    <row r="78" spans="2:7" x14ac:dyDescent="0.2">
      <c r="B78" s="151" t="str">
        <f t="shared" ref="B78:B84" si="21">B66</f>
        <v>General Service &lt; 50 kW</v>
      </c>
      <c r="C78" s="141"/>
      <c r="D78" s="152" t="str">
        <f t="shared" si="19"/>
        <v>kWh</v>
      </c>
      <c r="E78" s="141">
        <f t="shared" ref="E78:E84" si="22">E66</f>
        <v>157907672.1854884</v>
      </c>
      <c r="F78" s="153">
        <v>1.1999999999999999E-3</v>
      </c>
      <c r="G78" s="143">
        <f t="shared" si="20"/>
        <v>189489.20662258606</v>
      </c>
    </row>
    <row r="79" spans="2:7" x14ac:dyDescent="0.2">
      <c r="B79" s="151" t="str">
        <f t="shared" si="21"/>
        <v>General Service &gt; 50 to 999 kW</v>
      </c>
      <c r="C79" s="141"/>
      <c r="D79" s="152" t="str">
        <f t="shared" si="19"/>
        <v>kWh</v>
      </c>
      <c r="E79" s="141">
        <f t="shared" si="22"/>
        <v>444002939.76546741</v>
      </c>
      <c r="F79" s="153">
        <v>1.1999999999999999E-3</v>
      </c>
      <c r="G79" s="143">
        <f t="shared" si="20"/>
        <v>532803.52771856089</v>
      </c>
    </row>
    <row r="80" spans="2:7" x14ac:dyDescent="0.2">
      <c r="B80" s="151" t="str">
        <f t="shared" si="21"/>
        <v>General Service &gt; 1000 to 4999 kW</v>
      </c>
      <c r="C80" s="141"/>
      <c r="D80" s="152" t="str">
        <f t="shared" si="19"/>
        <v>kWh</v>
      </c>
      <c r="E80" s="141">
        <f t="shared" si="22"/>
        <v>227665809.27615675</v>
      </c>
      <c r="F80" s="153">
        <v>1.1999999999999999E-3</v>
      </c>
      <c r="G80" s="143">
        <f t="shared" si="20"/>
        <v>273198.9711313881</v>
      </c>
    </row>
    <row r="81" spans="2:7" x14ac:dyDescent="0.2">
      <c r="B81" s="151" t="str">
        <f t="shared" si="21"/>
        <v>Large User</v>
      </c>
      <c r="C81" s="141"/>
      <c r="D81" s="152" t="str">
        <f t="shared" si="19"/>
        <v>kWh</v>
      </c>
      <c r="E81" s="141">
        <f t="shared" si="22"/>
        <v>208319451.41285411</v>
      </c>
      <c r="F81" s="153">
        <v>1.1999999999999999E-3</v>
      </c>
      <c r="G81" s="143">
        <f t="shared" si="20"/>
        <v>249983.3416954249</v>
      </c>
    </row>
    <row r="82" spans="2:7" x14ac:dyDescent="0.2">
      <c r="B82" s="151" t="str">
        <f t="shared" si="21"/>
        <v>Street Lights</v>
      </c>
      <c r="C82" s="141"/>
      <c r="D82" s="152" t="str">
        <f t="shared" si="19"/>
        <v>kWh</v>
      </c>
      <c r="E82" s="141">
        <f t="shared" si="22"/>
        <v>9925298.3623355031</v>
      </c>
      <c r="F82" s="153">
        <v>1.1999999999999999E-3</v>
      </c>
      <c r="G82" s="143">
        <f t="shared" si="20"/>
        <v>11910.358034802603</v>
      </c>
    </row>
    <row r="83" spans="2:7" x14ac:dyDescent="0.2">
      <c r="B83" s="151" t="str">
        <f t="shared" si="21"/>
        <v xml:space="preserve">Unmetered Loads </v>
      </c>
      <c r="C83" s="141"/>
      <c r="D83" s="152" t="str">
        <f t="shared" si="19"/>
        <v>kWh</v>
      </c>
      <c r="E83" s="141">
        <f t="shared" si="22"/>
        <v>1807135.8216052689</v>
      </c>
      <c r="F83" s="153">
        <v>1.1999999999999999E-3</v>
      </c>
      <c r="G83" s="143">
        <f t="shared" si="20"/>
        <v>2168.5629859263227</v>
      </c>
    </row>
    <row r="84" spans="2:7" x14ac:dyDescent="0.2">
      <c r="B84" s="151" t="str">
        <f t="shared" si="21"/>
        <v>Embedded Distributors - Hydro One</v>
      </c>
      <c r="C84" s="141"/>
      <c r="D84" s="152" t="str">
        <f t="shared" si="19"/>
        <v>kWh</v>
      </c>
      <c r="E84" s="141">
        <f t="shared" si="22"/>
        <v>12974325.379306566</v>
      </c>
      <c r="F84" s="153">
        <v>1.1999999999999999E-3</v>
      </c>
      <c r="G84" s="143">
        <f t="shared" si="20"/>
        <v>15569.190455167878</v>
      </c>
    </row>
    <row r="85" spans="2:7" x14ac:dyDescent="0.2">
      <c r="B85" s="137" t="s">
        <v>137</v>
      </c>
      <c r="C85" s="138"/>
      <c r="D85" s="139"/>
      <c r="E85" s="138">
        <f>SUM(E77:E84)</f>
        <v>1469171241.3292856</v>
      </c>
      <c r="F85" s="144"/>
      <c r="G85" s="154">
        <f>SUM(G77:G84)</f>
        <v>1763005.4895951427</v>
      </c>
    </row>
    <row r="87" spans="2:7" x14ac:dyDescent="0.2">
      <c r="B87" s="354"/>
      <c r="C87" s="355">
        <v>2014</v>
      </c>
    </row>
    <row r="88" spans="2:7" x14ac:dyDescent="0.2">
      <c r="B88" s="69"/>
      <c r="C88" s="155"/>
    </row>
    <row r="89" spans="2:7" x14ac:dyDescent="0.2">
      <c r="B89" s="62" t="s">
        <v>150</v>
      </c>
      <c r="C89" s="156">
        <f>G25+G37</f>
        <v>126762107.55801439</v>
      </c>
    </row>
    <row r="90" spans="2:7" x14ac:dyDescent="0.2">
      <c r="B90" s="62" t="s">
        <v>151</v>
      </c>
      <c r="C90" s="157">
        <f>G73</f>
        <v>6464353.4618488569</v>
      </c>
    </row>
    <row r="91" spans="2:7" x14ac:dyDescent="0.2">
      <c r="B91" s="62" t="s">
        <v>152</v>
      </c>
      <c r="C91" s="157">
        <f>G49</f>
        <v>10669812.999013484</v>
      </c>
    </row>
    <row r="92" spans="2:7" x14ac:dyDescent="0.2">
      <c r="B92" s="62" t="s">
        <v>153</v>
      </c>
      <c r="C92" s="157">
        <f>G61</f>
        <v>6735974.6234822599</v>
      </c>
    </row>
    <row r="93" spans="2:7" x14ac:dyDescent="0.2">
      <c r="B93" s="62" t="s">
        <v>154</v>
      </c>
      <c r="C93" s="157">
        <f>G85</f>
        <v>1763005.4895951427</v>
      </c>
    </row>
    <row r="94" spans="2:7" x14ac:dyDescent="0.2">
      <c r="B94" s="62" t="s">
        <v>155</v>
      </c>
      <c r="C94" s="357">
        <v>170662</v>
      </c>
    </row>
    <row r="95" spans="2:7" x14ac:dyDescent="0.2">
      <c r="B95" s="359" t="s">
        <v>296</v>
      </c>
      <c r="C95" s="357">
        <v>480492</v>
      </c>
    </row>
    <row r="96" spans="2:7" x14ac:dyDescent="0.2">
      <c r="B96" s="78" t="s">
        <v>137</v>
      </c>
      <c r="C96" s="138">
        <f>SUM(C89:C95)</f>
        <v>153046408.13195413</v>
      </c>
    </row>
  </sheetData>
  <mergeCells count="11">
    <mergeCell ref="B2:E2"/>
    <mergeCell ref="E40:G40"/>
    <mergeCell ref="E52:G52"/>
    <mergeCell ref="E64:G64"/>
    <mergeCell ref="E76:G76"/>
    <mergeCell ref="C15:C16"/>
    <mergeCell ref="D15:D16"/>
    <mergeCell ref="C27:C28"/>
    <mergeCell ref="D27:D28"/>
    <mergeCell ref="E15:G16"/>
    <mergeCell ref="E27:G28"/>
  </mergeCells>
  <pageMargins left="0.7" right="0.7" top="0.75" bottom="0.75" header="0.3" footer="0.3"/>
  <pageSetup scale="57" orientation="portrait" r:id="rId1"/>
  <headerFooter>
    <oddFooter>&amp;L&amp;Z&amp;F</oddFooter>
  </headerFooter>
  <ignoredErrors>
    <ignoredError sqref="C29:C36 E4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abSelected="1" topLeftCell="A79" workbookViewId="0">
      <selection activeCell="E94" sqref="E94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2.42578125" customWidth="1"/>
    <col min="9" max="9" width="5" bestFit="1" customWidth="1"/>
    <col min="11" max="11" width="8.855468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46" t="s">
        <v>295</v>
      </c>
      <c r="C2" s="447"/>
      <c r="D2" s="447"/>
      <c r="E2" s="448"/>
    </row>
    <row r="3" spans="2:12" x14ac:dyDescent="0.2">
      <c r="B3" s="358" t="s">
        <v>294</v>
      </c>
      <c r="C3" s="88" t="s">
        <v>134</v>
      </c>
      <c r="D3" s="88" t="s">
        <v>135</v>
      </c>
      <c r="E3" s="88" t="s">
        <v>136</v>
      </c>
    </row>
    <row r="4" spans="2:12" x14ac:dyDescent="0.2">
      <c r="B4" s="132" t="str">
        <f>'Rate Class Energy Model'!H2</f>
        <v xml:space="preserve">Residential </v>
      </c>
      <c r="C4" s="133">
        <f>Summary!N17</f>
        <v>396735305.43328667</v>
      </c>
      <c r="D4" s="134"/>
      <c r="E4" s="342">
        <v>0.9224</v>
      </c>
    </row>
    <row r="5" spans="2:12" x14ac:dyDescent="0.2">
      <c r="B5" s="132" t="str">
        <f>'Rate Class Energy Model'!I2</f>
        <v>General Service &lt; 50 kW</v>
      </c>
      <c r="C5" s="133">
        <f>Summary!N21</f>
        <v>155766602.32186913</v>
      </c>
      <c r="D5" s="134"/>
      <c r="E5" s="342">
        <v>0.85560000000000003</v>
      </c>
    </row>
    <row r="6" spans="2:12" x14ac:dyDescent="0.2">
      <c r="B6" s="132" t="str">
        <f>'Rate Class Energy Model'!J2</f>
        <v>General Service &gt; 50 to 999 kW</v>
      </c>
      <c r="C6" s="133">
        <f>Summary!N25</f>
        <v>434024249.60020995</v>
      </c>
      <c r="D6" s="135">
        <f>Summary!N26</f>
        <v>1233395.7067435158</v>
      </c>
      <c r="E6" s="342">
        <v>0.32790000000000002</v>
      </c>
    </row>
    <row r="7" spans="2:12" x14ac:dyDescent="0.2">
      <c r="B7" s="132" t="str">
        <f>'Rate Class Energy Model'!K2</f>
        <v>General Service &gt; 1000 to 4999 kW</v>
      </c>
      <c r="C7" s="133">
        <f>Summary!N30</f>
        <v>223644135.33006588</v>
      </c>
      <c r="D7" s="135">
        <f>Summary!N31</f>
        <v>531983.39869071601</v>
      </c>
      <c r="E7" s="342">
        <v>0</v>
      </c>
      <c r="L7" s="136"/>
    </row>
    <row r="8" spans="2:12" x14ac:dyDescent="0.2">
      <c r="B8" s="132" t="str">
        <f>'Rate Class Customer Model'!F2</f>
        <v>Large User</v>
      </c>
      <c r="C8" s="133">
        <f>Summary!N35</f>
        <v>204689690.02683136</v>
      </c>
      <c r="D8" s="135">
        <f>Summary!N36</f>
        <v>424120.23888764903</v>
      </c>
      <c r="E8" s="342">
        <v>0</v>
      </c>
    </row>
    <row r="9" spans="2:12" x14ac:dyDescent="0.2">
      <c r="B9" s="132" t="str">
        <f>'Rate Class Customer Model'!H2</f>
        <v>Street Lights</v>
      </c>
      <c r="C9" s="133">
        <f>Summary!N45</f>
        <v>9647105.4435774609</v>
      </c>
      <c r="D9" s="135">
        <f>Summary!N46</f>
        <v>25892.100735152428</v>
      </c>
      <c r="E9" s="342">
        <v>0</v>
      </c>
    </row>
    <row r="10" spans="2:12" x14ac:dyDescent="0.2">
      <c r="B10" s="132" t="str">
        <f>'Rate Class Customer Model'!I2</f>
        <v xml:space="preserve">Unmetered Loads </v>
      </c>
      <c r="C10" s="133">
        <f>Summary!N50</f>
        <v>1881677.4198933209</v>
      </c>
      <c r="D10" s="135">
        <f>Summary!N51</f>
        <v>0</v>
      </c>
      <c r="E10" s="342">
        <v>0.998</v>
      </c>
    </row>
    <row r="11" spans="2:12" x14ac:dyDescent="0.2">
      <c r="B11" s="132" t="str">
        <f>'Rate Class Customer Model'!J2</f>
        <v>Embedded Distributors - Hydro One</v>
      </c>
      <c r="C11" s="133">
        <f>Summary!N54-'Rate Class Energy Model'!P89</f>
        <v>12809530.880362734</v>
      </c>
      <c r="D11" s="135">
        <f>Summary!N55</f>
        <v>91971.308330616273</v>
      </c>
      <c r="E11" s="342">
        <v>0</v>
      </c>
    </row>
    <row r="12" spans="2:12" x14ac:dyDescent="0.2">
      <c r="B12" s="137" t="s">
        <v>137</v>
      </c>
      <c r="C12" s="138">
        <f>SUM(C4:C11)</f>
        <v>1439198296.4560966</v>
      </c>
      <c r="D12" s="138">
        <f>SUM(D4:D11)</f>
        <v>2307362.75338765</v>
      </c>
      <c r="E12" s="138"/>
      <c r="I12" s="61"/>
    </row>
    <row r="13" spans="2:12" x14ac:dyDescent="0.2">
      <c r="C13" s="61"/>
      <c r="D13" s="61"/>
    </row>
    <row r="15" spans="2:12" x14ac:dyDescent="0.2">
      <c r="B15" s="343" t="s">
        <v>138</v>
      </c>
      <c r="C15" s="454" t="s">
        <v>139</v>
      </c>
      <c r="D15" s="456" t="s">
        <v>140</v>
      </c>
      <c r="E15" s="458">
        <v>2013</v>
      </c>
      <c r="F15" s="459"/>
      <c r="G15" s="460"/>
    </row>
    <row r="16" spans="2:12" x14ac:dyDescent="0.2">
      <c r="B16" s="344" t="s">
        <v>141</v>
      </c>
      <c r="C16" s="455"/>
      <c r="D16" s="457"/>
      <c r="E16" s="449"/>
      <c r="F16" s="450"/>
      <c r="G16" s="451"/>
    </row>
    <row r="17" spans="2:10" x14ac:dyDescent="0.2">
      <c r="B17" s="75" t="str">
        <f>B4</f>
        <v xml:space="preserve">Residential </v>
      </c>
      <c r="C17" s="133">
        <f>C4*E4</f>
        <v>365948645.73166364</v>
      </c>
      <c r="D17" s="140">
        <v>1.0286</v>
      </c>
      <c r="E17" s="141">
        <f t="shared" ref="E17:E24" si="0">C17*D17</f>
        <v>376414776.9995892</v>
      </c>
      <c r="F17" s="142">
        <v>8.3949999999999997E-2</v>
      </c>
      <c r="G17" s="143">
        <f t="shared" ref="G17:G24" si="1">E17*F17</f>
        <v>31600020.529115513</v>
      </c>
    </row>
    <row r="18" spans="2:10" x14ac:dyDescent="0.2">
      <c r="B18" s="75" t="str">
        <f t="shared" ref="B18:B24" si="2">B5</f>
        <v>General Service &lt; 50 kW</v>
      </c>
      <c r="C18" s="133">
        <f t="shared" ref="C18:C24" si="3">C5*E5</f>
        <v>133273904.94659124</v>
      </c>
      <c r="D18" s="140">
        <v>1.0286</v>
      </c>
      <c r="E18" s="141">
        <f t="shared" si="0"/>
        <v>137085538.62806374</v>
      </c>
      <c r="F18" s="142">
        <v>8.3949999999999997E-2</v>
      </c>
      <c r="G18" s="143">
        <f t="shared" si="1"/>
        <v>11508330.967825951</v>
      </c>
    </row>
    <row r="19" spans="2:10" x14ac:dyDescent="0.2">
      <c r="B19" s="75" t="str">
        <f t="shared" si="2"/>
        <v>General Service &gt; 50 to 999 kW</v>
      </c>
      <c r="C19" s="133">
        <f t="shared" si="3"/>
        <v>142316551.44390884</v>
      </c>
      <c r="D19" s="140">
        <v>1.0286</v>
      </c>
      <c r="E19" s="141">
        <f t="shared" si="0"/>
        <v>146386804.81520462</v>
      </c>
      <c r="F19" s="142">
        <v>8.3949999999999997E-2</v>
      </c>
      <c r="G19" s="143">
        <f t="shared" si="1"/>
        <v>12289172.264236428</v>
      </c>
    </row>
    <row r="20" spans="2:10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10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10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10" x14ac:dyDescent="0.2">
      <c r="B23" s="75" t="str">
        <f t="shared" si="2"/>
        <v xml:space="preserve">Unmetered Loads </v>
      </c>
      <c r="C23" s="133">
        <f t="shared" si="3"/>
        <v>1877914.0650535342</v>
      </c>
      <c r="D23" s="140">
        <v>1.0286</v>
      </c>
      <c r="E23" s="141">
        <f t="shared" si="0"/>
        <v>1931622.4073140651</v>
      </c>
      <c r="F23" s="142">
        <v>8.3949999999999997E-2</v>
      </c>
      <c r="G23" s="143">
        <f t="shared" si="1"/>
        <v>162159.70109401576</v>
      </c>
    </row>
    <row r="24" spans="2:10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10" x14ac:dyDescent="0.2">
      <c r="B25" s="137" t="s">
        <v>137</v>
      </c>
      <c r="C25" s="138">
        <f>SUM(C17:C24)</f>
        <v>643417016.18721735</v>
      </c>
      <c r="D25" s="139"/>
      <c r="E25" s="138">
        <f>SUM(E17:E24)</f>
        <v>661818742.85017157</v>
      </c>
      <c r="F25" s="144"/>
      <c r="G25" s="145">
        <f>SUM(G17:G24)</f>
        <v>55559683.462271906</v>
      </c>
    </row>
    <row r="26" spans="2:10" x14ac:dyDescent="0.2">
      <c r="B26" s="146"/>
      <c r="C26" s="147"/>
      <c r="D26" s="148"/>
      <c r="E26" s="147"/>
      <c r="F26" s="149"/>
      <c r="G26" s="150"/>
    </row>
    <row r="27" spans="2:10" x14ac:dyDescent="0.2">
      <c r="B27" s="343" t="s">
        <v>142</v>
      </c>
      <c r="C27" s="454" t="s">
        <v>139</v>
      </c>
      <c r="D27" s="456" t="s">
        <v>140</v>
      </c>
      <c r="E27" s="458">
        <v>2013</v>
      </c>
      <c r="F27" s="459"/>
      <c r="G27" s="460"/>
    </row>
    <row r="28" spans="2:10" x14ac:dyDescent="0.2">
      <c r="B28" s="344" t="s">
        <v>143</v>
      </c>
      <c r="C28" s="455"/>
      <c r="D28" s="457"/>
      <c r="E28" s="449"/>
      <c r="F28" s="450"/>
      <c r="G28" s="451"/>
    </row>
    <row r="29" spans="2:10" x14ac:dyDescent="0.2">
      <c r="B29" s="75" t="str">
        <f>B17</f>
        <v xml:space="preserve">Residential </v>
      </c>
      <c r="C29" s="133">
        <f>C4-C17</f>
        <v>30786659.701623023</v>
      </c>
      <c r="D29" s="134">
        <f>D17</f>
        <v>1.0286</v>
      </c>
      <c r="E29" s="141">
        <f t="shared" ref="E29:E36" si="4">C29*D29</f>
        <v>31667158.16908944</v>
      </c>
      <c r="F29" s="142">
        <v>8.5449999999999998E-2</v>
      </c>
      <c r="G29" s="143">
        <f t="shared" ref="G29:G36" si="5">E29*F29</f>
        <v>2705958.6655486925</v>
      </c>
    </row>
    <row r="30" spans="2:10" x14ac:dyDescent="0.2">
      <c r="B30" s="75" t="str">
        <f t="shared" ref="B30:B36" si="6">B18</f>
        <v>General Service &lt; 50 kW</v>
      </c>
      <c r="C30" s="133">
        <f t="shared" ref="C30:C36" si="7">C5-C18</f>
        <v>22492697.375277892</v>
      </c>
      <c r="D30" s="134">
        <f t="shared" ref="D30:D36" si="8">D18</f>
        <v>1.0286</v>
      </c>
      <c r="E30" s="141">
        <f t="shared" si="4"/>
        <v>23135988.52021084</v>
      </c>
      <c r="F30" s="142">
        <f>F29</f>
        <v>8.5449999999999998E-2</v>
      </c>
      <c r="G30" s="143">
        <f t="shared" si="5"/>
        <v>1976970.2190520163</v>
      </c>
      <c r="I30">
        <v>2013</v>
      </c>
      <c r="J30">
        <f>19.33+66.12</f>
        <v>85.45</v>
      </c>
    </row>
    <row r="31" spans="2:10" x14ac:dyDescent="0.2">
      <c r="B31" s="75" t="str">
        <f t="shared" si="6"/>
        <v>General Service &gt; 50 to 999 kW</v>
      </c>
      <c r="C31" s="133">
        <f t="shared" si="7"/>
        <v>291707698.15630114</v>
      </c>
      <c r="D31" s="134">
        <f t="shared" si="8"/>
        <v>1.0286</v>
      </c>
      <c r="E31" s="141">
        <f t="shared" si="4"/>
        <v>300050538.32357132</v>
      </c>
      <c r="F31" s="142">
        <f>F29</f>
        <v>8.5449999999999998E-2</v>
      </c>
      <c r="G31" s="143">
        <f t="shared" si="5"/>
        <v>25639318.499749169</v>
      </c>
    </row>
    <row r="32" spans="2:10" x14ac:dyDescent="0.2">
      <c r="B32" s="75" t="str">
        <f t="shared" si="6"/>
        <v>General Service &gt; 1000 to 4999 kW</v>
      </c>
      <c r="C32" s="133">
        <f t="shared" si="7"/>
        <v>223644135.33006588</v>
      </c>
      <c r="D32" s="134">
        <f t="shared" si="8"/>
        <v>1.0286</v>
      </c>
      <c r="E32" s="141">
        <f t="shared" si="4"/>
        <v>230040357.60050574</v>
      </c>
      <c r="F32" s="142">
        <f>F29</f>
        <v>8.5449999999999998E-2</v>
      </c>
      <c r="G32" s="143">
        <f t="shared" si="5"/>
        <v>19656948.556963217</v>
      </c>
    </row>
    <row r="33" spans="2:9" x14ac:dyDescent="0.2">
      <c r="B33" s="75" t="str">
        <f t="shared" si="6"/>
        <v>Large User</v>
      </c>
      <c r="C33" s="133">
        <f t="shared" si="7"/>
        <v>204689690.02683136</v>
      </c>
      <c r="D33" s="134">
        <f t="shared" si="8"/>
        <v>1.0003</v>
      </c>
      <c r="E33" s="141">
        <f t="shared" si="4"/>
        <v>204751096.93383941</v>
      </c>
      <c r="F33" s="142">
        <f>F29</f>
        <v>8.5449999999999998E-2</v>
      </c>
      <c r="G33" s="143">
        <f t="shared" si="5"/>
        <v>17495981.232996576</v>
      </c>
    </row>
    <row r="34" spans="2:9" x14ac:dyDescent="0.2">
      <c r="B34" s="75" t="str">
        <f t="shared" si="6"/>
        <v>Street Lights</v>
      </c>
      <c r="C34" s="133">
        <f t="shared" si="7"/>
        <v>9647105.4435774609</v>
      </c>
      <c r="D34" s="134">
        <f t="shared" si="8"/>
        <v>1.0286</v>
      </c>
      <c r="E34" s="141">
        <f t="shared" si="4"/>
        <v>9923012.6592637766</v>
      </c>
      <c r="F34" s="142">
        <f>F29</f>
        <v>8.5449999999999998E-2</v>
      </c>
      <c r="G34" s="143">
        <f t="shared" si="5"/>
        <v>847921.43173408974</v>
      </c>
    </row>
    <row r="35" spans="2:9" x14ac:dyDescent="0.2">
      <c r="B35" s="75" t="str">
        <f t="shared" si="6"/>
        <v xml:space="preserve">Unmetered Loads </v>
      </c>
      <c r="C35" s="133">
        <f t="shared" si="7"/>
        <v>3763.3548397866543</v>
      </c>
      <c r="D35" s="134">
        <f t="shared" si="8"/>
        <v>1.0286</v>
      </c>
      <c r="E35" s="141">
        <f t="shared" si="4"/>
        <v>3870.9867882045523</v>
      </c>
      <c r="F35" s="142">
        <f>F29</f>
        <v>8.5449999999999998E-2</v>
      </c>
      <c r="G35" s="143">
        <f t="shared" si="5"/>
        <v>330.77582105207898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12809530.880362734</v>
      </c>
      <c r="D36" s="134">
        <f t="shared" si="8"/>
        <v>1.0286</v>
      </c>
      <c r="E36" s="141">
        <f t="shared" si="4"/>
        <v>13175883.463541107</v>
      </c>
      <c r="F36" s="142">
        <f>F29</f>
        <v>8.5449999999999998E-2</v>
      </c>
      <c r="G36" s="143">
        <f t="shared" si="5"/>
        <v>1125879.2419595877</v>
      </c>
    </row>
    <row r="37" spans="2:9" x14ac:dyDescent="0.2">
      <c r="B37" s="137" t="s">
        <v>137</v>
      </c>
      <c r="C37" s="138">
        <f>SUM(C29:C36)</f>
        <v>795781280.26887929</v>
      </c>
      <c r="D37" s="139"/>
      <c r="E37" s="138">
        <f>SUM(E29:E36)</f>
        <v>812747906.65680981</v>
      </c>
      <c r="F37" s="144"/>
      <c r="G37" s="145">
        <f>SUM(G29:G36)</f>
        <v>69449308.623824388</v>
      </c>
    </row>
    <row r="39" spans="2:9" x14ac:dyDescent="0.2">
      <c r="B39" s="345" t="s">
        <v>144</v>
      </c>
      <c r="C39" s="346"/>
      <c r="D39" s="347" t="s">
        <v>145</v>
      </c>
      <c r="E39" s="348"/>
      <c r="F39" s="349"/>
      <c r="G39" s="346"/>
    </row>
    <row r="40" spans="2:9" x14ac:dyDescent="0.2">
      <c r="B40" s="344" t="s">
        <v>143</v>
      </c>
      <c r="C40" s="364"/>
      <c r="D40" s="351" t="s">
        <v>146</v>
      </c>
      <c r="E40" s="449">
        <v>2013</v>
      </c>
      <c r="F40" s="450"/>
      <c r="G40" s="451"/>
    </row>
    <row r="41" spans="2:9" x14ac:dyDescent="0.2">
      <c r="B41" s="151" t="str">
        <f>B29</f>
        <v xml:space="preserve">Residential </v>
      </c>
      <c r="C41" s="141"/>
      <c r="D41" s="152" t="s">
        <v>134</v>
      </c>
      <c r="E41" s="141">
        <f>E17+E29</f>
        <v>408081935.16867864</v>
      </c>
      <c r="F41" s="153">
        <v>6.1999999999999998E-3</v>
      </c>
      <c r="G41" s="143">
        <f t="shared" ref="G41:G48" si="9">E41*F41</f>
        <v>2530107.9980458077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134</v>
      </c>
      <c r="E42" s="141">
        <f>E18+E30</f>
        <v>160221527.14827457</v>
      </c>
      <c r="F42" s="153">
        <v>5.4000000000000003E-3</v>
      </c>
      <c r="G42" s="143">
        <f t="shared" si="9"/>
        <v>865196.24660068273</v>
      </c>
    </row>
    <row r="43" spans="2:9" x14ac:dyDescent="0.2">
      <c r="B43" s="151" t="str">
        <f t="shared" si="10"/>
        <v>General Service &gt; 50 to 999 kW</v>
      </c>
      <c r="C43" s="141"/>
      <c r="D43" s="152" t="s">
        <v>135</v>
      </c>
      <c r="E43" s="141">
        <f>D6</f>
        <v>1233395.7067435158</v>
      </c>
      <c r="F43" s="153">
        <v>3.5124</v>
      </c>
      <c r="G43" s="143">
        <f t="shared" si="9"/>
        <v>4332179.0803659251</v>
      </c>
    </row>
    <row r="44" spans="2:9" x14ac:dyDescent="0.2">
      <c r="B44" s="151" t="str">
        <f t="shared" si="10"/>
        <v>General Service &gt; 1000 to 4999 kW</v>
      </c>
      <c r="C44" s="141"/>
      <c r="D44" s="152" t="s">
        <v>135</v>
      </c>
      <c r="E44" s="141">
        <f>D7</f>
        <v>531983.39869071601</v>
      </c>
      <c r="F44" s="153">
        <v>2.6676000000000002</v>
      </c>
      <c r="G44" s="143">
        <f t="shared" si="9"/>
        <v>1419118.9143473541</v>
      </c>
      <c r="I44" s="32"/>
    </row>
    <row r="45" spans="2:9" x14ac:dyDescent="0.2">
      <c r="B45" s="151" t="str">
        <f t="shared" si="10"/>
        <v>Large User</v>
      </c>
      <c r="C45" s="141"/>
      <c r="D45" s="152" t="s">
        <v>135</v>
      </c>
      <c r="E45" s="141">
        <f>D8</f>
        <v>424120.23888764903</v>
      </c>
      <c r="F45" s="153">
        <v>2.5278999999999998</v>
      </c>
      <c r="G45" s="143">
        <f t="shared" si="9"/>
        <v>1072133.551884088</v>
      </c>
    </row>
    <row r="46" spans="2:9" x14ac:dyDescent="0.2">
      <c r="B46" s="151" t="str">
        <f t="shared" si="10"/>
        <v>Street Lights</v>
      </c>
      <c r="C46" s="141"/>
      <c r="D46" s="152" t="s">
        <v>135</v>
      </c>
      <c r="E46" s="141">
        <f>D9</f>
        <v>25892.100735152428</v>
      </c>
      <c r="F46" s="153">
        <v>1.7650999999999999</v>
      </c>
      <c r="G46" s="143">
        <f t="shared" si="9"/>
        <v>45702.147007617546</v>
      </c>
    </row>
    <row r="47" spans="2:9" x14ac:dyDescent="0.2">
      <c r="B47" s="151" t="str">
        <f>B35</f>
        <v xml:space="preserve">Unmetered Loads </v>
      </c>
      <c r="C47" s="141"/>
      <c r="D47" s="152" t="s">
        <v>134</v>
      </c>
      <c r="E47" s="141">
        <f>E35</f>
        <v>3870.9867882045523</v>
      </c>
      <c r="F47" s="153">
        <v>5.4000000000000003E-3</v>
      </c>
      <c r="G47" s="143">
        <f t="shared" si="9"/>
        <v>20.903328656304584</v>
      </c>
    </row>
    <row r="48" spans="2:9" x14ac:dyDescent="0.2">
      <c r="B48" s="151" t="str">
        <f t="shared" si="10"/>
        <v>Embedded Distributors - Hydro One</v>
      </c>
      <c r="C48" s="141"/>
      <c r="D48" s="152" t="s">
        <v>135</v>
      </c>
      <c r="E48" s="141">
        <f>D11</f>
        <v>91971.308330616273</v>
      </c>
      <c r="F48" s="153">
        <v>2.5278999999999998</v>
      </c>
      <c r="G48" s="143">
        <f t="shared" si="9"/>
        <v>232494.27032896486</v>
      </c>
    </row>
    <row r="49" spans="2:7" x14ac:dyDescent="0.2">
      <c r="B49" s="137" t="s">
        <v>137</v>
      </c>
      <c r="C49" s="138"/>
      <c r="D49" s="139"/>
      <c r="E49" s="138"/>
      <c r="F49" s="144"/>
      <c r="G49" s="154">
        <f>SUM(G41:G48)</f>
        <v>10496953.111909099</v>
      </c>
    </row>
    <row r="51" spans="2:7" x14ac:dyDescent="0.2">
      <c r="B51" s="345" t="s">
        <v>147</v>
      </c>
      <c r="C51" s="346"/>
      <c r="D51" s="352" t="s">
        <v>145</v>
      </c>
      <c r="E51" s="348"/>
      <c r="F51" s="349"/>
      <c r="G51" s="346"/>
    </row>
    <row r="52" spans="2:7" x14ac:dyDescent="0.2">
      <c r="B52" s="344" t="s">
        <v>143</v>
      </c>
      <c r="C52" s="364"/>
      <c r="D52" s="353" t="s">
        <v>146</v>
      </c>
      <c r="E52" s="449">
        <v>2013</v>
      </c>
      <c r="F52" s="450"/>
      <c r="G52" s="451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408081935.16867864</v>
      </c>
      <c r="F53" s="153">
        <v>3.5999999999999999E-3</v>
      </c>
      <c r="G53" s="143">
        <f t="shared" ref="G53:G60" si="11">E53*F53</f>
        <v>1469094.9666072431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160221527.14827457</v>
      </c>
      <c r="F54" s="153">
        <v>3.3999999999999998E-3</v>
      </c>
      <c r="G54" s="143">
        <f t="shared" si="11"/>
        <v>544753.19230413355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1233395.7067435158</v>
      </c>
      <c r="F55" s="153">
        <v>2.0762999999999998</v>
      </c>
      <c r="G55" s="143">
        <f t="shared" si="11"/>
        <v>2560899.5059115617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531983.39869071601</v>
      </c>
      <c r="F56" s="153">
        <v>1.6294999999999999</v>
      </c>
      <c r="G56" s="143">
        <f t="shared" si="11"/>
        <v>866866.94816652173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424120.23888764903</v>
      </c>
      <c r="F57" s="153">
        <v>1.6586000000000001</v>
      </c>
      <c r="G57" s="143">
        <f t="shared" si="11"/>
        <v>703445.82821905473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25892.100735152428</v>
      </c>
      <c r="F58" s="153">
        <v>1.0434000000000001</v>
      </c>
      <c r="G58" s="143">
        <f t="shared" si="11"/>
        <v>27015.817907058045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3870.9867882045523</v>
      </c>
      <c r="F59" s="153">
        <v>3.3999999999999998E-3</v>
      </c>
      <c r="G59" s="143">
        <f t="shared" si="11"/>
        <v>13.161355079895477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91971.308330616273</v>
      </c>
      <c r="F60" s="153">
        <v>1.6586000000000001</v>
      </c>
      <c r="G60" s="143">
        <f t="shared" si="11"/>
        <v>152543.61199716016</v>
      </c>
    </row>
    <row r="61" spans="2:7" x14ac:dyDescent="0.2">
      <c r="B61" s="137" t="s">
        <v>137</v>
      </c>
      <c r="C61" s="138"/>
      <c r="D61" s="139"/>
      <c r="E61" s="138"/>
      <c r="F61" s="144"/>
      <c r="G61" s="154">
        <f>SUM(G53:G60)</f>
        <v>6324633.0324678114</v>
      </c>
    </row>
    <row r="63" spans="2:7" x14ac:dyDescent="0.2">
      <c r="B63" s="345" t="s">
        <v>148</v>
      </c>
      <c r="C63" s="346"/>
      <c r="D63" s="352"/>
      <c r="E63" s="348"/>
      <c r="F63" s="349"/>
      <c r="G63" s="346"/>
    </row>
    <row r="64" spans="2:7" x14ac:dyDescent="0.2">
      <c r="B64" s="344" t="s">
        <v>143</v>
      </c>
      <c r="C64" s="364"/>
      <c r="D64" s="353"/>
      <c r="E64" s="449">
        <v>2013</v>
      </c>
      <c r="F64" s="450"/>
      <c r="G64" s="452"/>
    </row>
    <row r="65" spans="2:7" x14ac:dyDescent="0.2">
      <c r="B65" s="151" t="str">
        <f>B53</f>
        <v xml:space="preserve">Residential </v>
      </c>
      <c r="C65" s="141"/>
      <c r="D65" s="152" t="s">
        <v>134</v>
      </c>
      <c r="E65" s="141">
        <f>E17+E29</f>
        <v>408081935.16867864</v>
      </c>
      <c r="F65" s="153">
        <v>4.4000000000000003E-3</v>
      </c>
      <c r="G65" s="143">
        <f t="shared" ref="G65:G72" si="14">E65*F65</f>
        <v>1795560.5147421861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134</v>
      </c>
      <c r="E66" s="141">
        <f t="shared" ref="E66:E72" si="16">E18+E30</f>
        <v>160221527.14827457</v>
      </c>
      <c r="F66" s="153">
        <v>4.4000000000000003E-3</v>
      </c>
      <c r="G66" s="143">
        <f t="shared" si="14"/>
        <v>704974.71945240814</v>
      </c>
    </row>
    <row r="67" spans="2:7" x14ac:dyDescent="0.2">
      <c r="B67" s="151" t="str">
        <f t="shared" si="15"/>
        <v>General Service &gt; 50 to 999 kW</v>
      </c>
      <c r="C67" s="141"/>
      <c r="D67" s="152" t="s">
        <v>134</v>
      </c>
      <c r="E67" s="141">
        <f t="shared" si="16"/>
        <v>446437343.13877594</v>
      </c>
      <c r="F67" s="153">
        <v>4.4000000000000003E-3</v>
      </c>
      <c r="G67" s="143">
        <f t="shared" si="14"/>
        <v>1964324.3098106142</v>
      </c>
    </row>
    <row r="68" spans="2:7" x14ac:dyDescent="0.2">
      <c r="B68" s="151" t="str">
        <f t="shared" si="15"/>
        <v>General Service &gt; 1000 to 4999 kW</v>
      </c>
      <c r="C68" s="141"/>
      <c r="D68" s="152" t="s">
        <v>134</v>
      </c>
      <c r="E68" s="141">
        <f t="shared" si="16"/>
        <v>230040357.60050574</v>
      </c>
      <c r="F68" s="153">
        <v>4.4000000000000003E-3</v>
      </c>
      <c r="G68" s="143">
        <f t="shared" si="14"/>
        <v>1012177.5734422253</v>
      </c>
    </row>
    <row r="69" spans="2:7" x14ac:dyDescent="0.2">
      <c r="B69" s="151" t="str">
        <f t="shared" si="15"/>
        <v>Large User</v>
      </c>
      <c r="C69" s="141"/>
      <c r="D69" s="152" t="s">
        <v>134</v>
      </c>
      <c r="E69" s="141">
        <f t="shared" si="16"/>
        <v>204751096.93383941</v>
      </c>
      <c r="F69" s="153">
        <v>4.4000000000000003E-3</v>
      </c>
      <c r="G69" s="143">
        <f t="shared" si="14"/>
        <v>900904.82650889351</v>
      </c>
    </row>
    <row r="70" spans="2:7" x14ac:dyDescent="0.2">
      <c r="B70" s="151" t="str">
        <f t="shared" si="15"/>
        <v>Street Lights</v>
      </c>
      <c r="C70" s="141"/>
      <c r="D70" s="152" t="s">
        <v>134</v>
      </c>
      <c r="E70" s="141">
        <f t="shared" si="16"/>
        <v>9923012.6592637766</v>
      </c>
      <c r="F70" s="153">
        <v>4.4000000000000003E-3</v>
      </c>
      <c r="G70" s="143">
        <f t="shared" si="14"/>
        <v>43661.255700760623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134</v>
      </c>
      <c r="E71" s="141">
        <f t="shared" si="16"/>
        <v>1935493.3941022698</v>
      </c>
      <c r="F71" s="153">
        <v>4.4000000000000003E-3</v>
      </c>
      <c r="G71" s="143">
        <f t="shared" si="14"/>
        <v>8516.1709340499874</v>
      </c>
    </row>
    <row r="72" spans="2:7" x14ac:dyDescent="0.2">
      <c r="B72" s="151" t="str">
        <f t="shared" si="15"/>
        <v>Embedded Distributors - Hydro One</v>
      </c>
      <c r="C72" s="141"/>
      <c r="D72" s="152" t="s">
        <v>134</v>
      </c>
      <c r="E72" s="141">
        <f t="shared" si="16"/>
        <v>13175883.463541107</v>
      </c>
      <c r="F72" s="153">
        <v>0</v>
      </c>
      <c r="G72" s="143">
        <f t="shared" si="14"/>
        <v>0</v>
      </c>
    </row>
    <row r="73" spans="2:7" x14ac:dyDescent="0.2">
      <c r="B73" s="137" t="s">
        <v>137</v>
      </c>
      <c r="C73" s="138"/>
      <c r="D73" s="139"/>
      <c r="E73" s="138">
        <f>SUM(E65:E72)</f>
        <v>1474566649.5069814</v>
      </c>
      <c r="F73" s="144"/>
      <c r="G73" s="154">
        <f>SUM(G65:G72)</f>
        <v>6430119.3705911385</v>
      </c>
    </row>
    <row r="75" spans="2:7" x14ac:dyDescent="0.2">
      <c r="B75" s="345" t="s">
        <v>149</v>
      </c>
      <c r="C75" s="346"/>
      <c r="D75" s="352"/>
      <c r="E75" s="348"/>
      <c r="F75" s="349"/>
      <c r="G75" s="346"/>
    </row>
    <row r="76" spans="2:7" x14ac:dyDescent="0.2">
      <c r="B76" s="344" t="s">
        <v>143</v>
      </c>
      <c r="C76" s="364"/>
      <c r="D76" s="353"/>
      <c r="E76" s="453">
        <v>2013</v>
      </c>
      <c r="F76" s="450"/>
      <c r="G76" s="451"/>
    </row>
    <row r="77" spans="2:7" x14ac:dyDescent="0.2">
      <c r="B77" s="151" t="str">
        <f>B65</f>
        <v xml:space="preserve">Residential </v>
      </c>
      <c r="C77" s="141"/>
      <c r="D77" s="152" t="s">
        <v>134</v>
      </c>
      <c r="E77" s="141">
        <f>E65</f>
        <v>408081935.16867864</v>
      </c>
      <c r="F77" s="153">
        <v>1.1999999999999999E-3</v>
      </c>
      <c r="G77" s="143">
        <f t="shared" ref="G77:G84" si="17">E77*F77</f>
        <v>489698.32220241433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134</v>
      </c>
      <c r="E78" s="141">
        <f t="shared" ref="E78:E84" si="19">E66</f>
        <v>160221527.14827457</v>
      </c>
      <c r="F78" s="153">
        <v>1.1999999999999999E-3</v>
      </c>
      <c r="G78" s="143">
        <f t="shared" si="17"/>
        <v>192265.83257792945</v>
      </c>
    </row>
    <row r="79" spans="2:7" x14ac:dyDescent="0.2">
      <c r="B79" s="151" t="str">
        <f t="shared" si="18"/>
        <v>General Service &gt; 50 to 999 kW</v>
      </c>
      <c r="C79" s="141"/>
      <c r="D79" s="152" t="s">
        <v>134</v>
      </c>
      <c r="E79" s="141">
        <f t="shared" si="19"/>
        <v>446437343.13877594</v>
      </c>
      <c r="F79" s="153">
        <v>1.1999999999999999E-3</v>
      </c>
      <c r="G79" s="143">
        <f t="shared" si="17"/>
        <v>535724.81176653109</v>
      </c>
    </row>
    <row r="80" spans="2:7" x14ac:dyDescent="0.2">
      <c r="B80" s="151" t="str">
        <f t="shared" si="18"/>
        <v>General Service &gt; 1000 to 4999 kW</v>
      </c>
      <c r="C80" s="141"/>
      <c r="D80" s="152" t="s">
        <v>134</v>
      </c>
      <c r="E80" s="141">
        <f t="shared" si="19"/>
        <v>230040357.60050574</v>
      </c>
      <c r="F80" s="153">
        <v>1.1999999999999999E-3</v>
      </c>
      <c r="G80" s="143">
        <f t="shared" si="17"/>
        <v>276048.42912060686</v>
      </c>
    </row>
    <row r="81" spans="2:7" x14ac:dyDescent="0.2">
      <c r="B81" s="151" t="str">
        <f t="shared" si="18"/>
        <v>Large User</v>
      </c>
      <c r="C81" s="141"/>
      <c r="D81" s="152" t="s">
        <v>134</v>
      </c>
      <c r="E81" s="141">
        <f t="shared" si="19"/>
        <v>204751096.93383941</v>
      </c>
      <c r="F81" s="153">
        <v>1.1999999999999999E-3</v>
      </c>
      <c r="G81" s="143">
        <f t="shared" si="17"/>
        <v>245701.31632060726</v>
      </c>
    </row>
    <row r="82" spans="2:7" x14ac:dyDescent="0.2">
      <c r="B82" s="151" t="str">
        <f t="shared" si="18"/>
        <v>Street Lights</v>
      </c>
      <c r="C82" s="141"/>
      <c r="D82" s="152" t="s">
        <v>134</v>
      </c>
      <c r="E82" s="141">
        <f t="shared" si="19"/>
        <v>9923012.6592637766</v>
      </c>
      <c r="F82" s="153">
        <v>1.1999999999999999E-3</v>
      </c>
      <c r="G82" s="143">
        <f t="shared" si="17"/>
        <v>11907.615191116531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134</v>
      </c>
      <c r="E83" s="141">
        <f t="shared" si="19"/>
        <v>1935493.3941022698</v>
      </c>
      <c r="F83" s="153">
        <v>1.1999999999999999E-3</v>
      </c>
      <c r="G83" s="143">
        <f t="shared" si="17"/>
        <v>2322.5920729227237</v>
      </c>
    </row>
    <row r="84" spans="2:7" x14ac:dyDescent="0.2">
      <c r="B84" s="151" t="str">
        <f t="shared" si="18"/>
        <v>Embedded Distributors - Hydro One</v>
      </c>
      <c r="C84" s="141"/>
      <c r="D84" s="152" t="s">
        <v>134</v>
      </c>
      <c r="E84" s="141">
        <f t="shared" si="19"/>
        <v>13175883.463541107</v>
      </c>
      <c r="F84" s="153">
        <v>0</v>
      </c>
      <c r="G84" s="143">
        <f t="shared" si="17"/>
        <v>0</v>
      </c>
    </row>
    <row r="85" spans="2:7" x14ac:dyDescent="0.2">
      <c r="B85" s="137" t="s">
        <v>137</v>
      </c>
      <c r="C85" s="138"/>
      <c r="D85" s="139"/>
      <c r="E85" s="138">
        <f>SUM(E77:E84)</f>
        <v>1474566649.5069814</v>
      </c>
      <c r="F85" s="144"/>
      <c r="G85" s="154">
        <f>SUM(G77:G84)</f>
        <v>1753668.9192521281</v>
      </c>
    </row>
    <row r="87" spans="2:7" x14ac:dyDescent="0.2">
      <c r="B87" s="354"/>
      <c r="C87" s="355">
        <v>2013</v>
      </c>
    </row>
    <row r="88" spans="2:7" x14ac:dyDescent="0.2">
      <c r="B88" s="69"/>
      <c r="C88" s="155"/>
    </row>
    <row r="89" spans="2:7" x14ac:dyDescent="0.2">
      <c r="B89" s="62" t="s">
        <v>150</v>
      </c>
      <c r="C89" s="156">
        <f>G25+G37</f>
        <v>125008992.08609629</v>
      </c>
    </row>
    <row r="90" spans="2:7" x14ac:dyDescent="0.2">
      <c r="B90" s="62" t="s">
        <v>151</v>
      </c>
      <c r="C90" s="157">
        <f>G73</f>
        <v>6430119.3705911385</v>
      </c>
    </row>
    <row r="91" spans="2:7" x14ac:dyDescent="0.2">
      <c r="B91" s="62" t="s">
        <v>152</v>
      </c>
      <c r="C91" s="157">
        <f>G49</f>
        <v>10496953.111909099</v>
      </c>
    </row>
    <row r="92" spans="2:7" x14ac:dyDescent="0.2">
      <c r="B92" s="62" t="s">
        <v>153</v>
      </c>
      <c r="C92" s="157">
        <f>G61</f>
        <v>6324633.0324678114</v>
      </c>
    </row>
    <row r="93" spans="2:7" x14ac:dyDescent="0.2">
      <c r="B93" s="62" t="s">
        <v>154</v>
      </c>
      <c r="C93" s="157">
        <f>G85</f>
        <v>1753668.9192521281</v>
      </c>
    </row>
    <row r="94" spans="2:7" x14ac:dyDescent="0.2">
      <c r="B94" s="62" t="s">
        <v>155</v>
      </c>
      <c r="C94" s="157">
        <f>'[20]2013 Actual LV'!$K$18</f>
        <v>173822.49072</v>
      </c>
    </row>
    <row r="95" spans="2:7" x14ac:dyDescent="0.2">
      <c r="B95" s="62" t="s">
        <v>293</v>
      </c>
      <c r="C95" s="357">
        <v>360365</v>
      </c>
    </row>
    <row r="96" spans="2:7" x14ac:dyDescent="0.2">
      <c r="B96" s="78" t="s">
        <v>137</v>
      </c>
      <c r="C96" s="138">
        <f>SUM(C89:C95)</f>
        <v>150548554.01103646</v>
      </c>
    </row>
  </sheetData>
  <mergeCells count="11">
    <mergeCell ref="E40:G40"/>
    <mergeCell ref="E52:G52"/>
    <mergeCell ref="E64:G64"/>
    <mergeCell ref="E76:G76"/>
    <mergeCell ref="B2:E2"/>
    <mergeCell ref="C15:C16"/>
    <mergeCell ref="D15:D16"/>
    <mergeCell ref="E15:G16"/>
    <mergeCell ref="C27:C28"/>
    <mergeCell ref="D27:D28"/>
    <mergeCell ref="E27:G2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7"/>
  <sheetViews>
    <sheetView topLeftCell="A69" workbookViewId="0">
      <selection activeCell="F92" sqref="F92"/>
    </sheetView>
  </sheetViews>
  <sheetFormatPr defaultRowHeight="12.75" x14ac:dyDescent="0.2"/>
  <cols>
    <col min="2" max="2" width="31.7109375" bestFit="1" customWidth="1"/>
    <col min="3" max="3" width="18.85546875" customWidth="1"/>
    <col min="4" max="4" width="10.28515625" bestFit="1" customWidth="1"/>
    <col min="5" max="5" width="13.42578125" bestFit="1" customWidth="1"/>
    <col min="6" max="6" width="9.28515625" bestFit="1" customWidth="1"/>
    <col min="7" max="7" width="11.7109375" bestFit="1" customWidth="1"/>
  </cols>
  <sheetData>
    <row r="2" spans="2:12" ht="13.5" thickBot="1" x14ac:dyDescent="0.25"/>
    <row r="3" spans="2:12" ht="13.5" thickBot="1" x14ac:dyDescent="0.25">
      <c r="B3" s="446" t="s">
        <v>298</v>
      </c>
      <c r="C3" s="447"/>
      <c r="D3" s="447"/>
      <c r="E3" s="448"/>
    </row>
    <row r="4" spans="2:12" x14ac:dyDescent="0.2">
      <c r="B4" s="358" t="s">
        <v>297</v>
      </c>
      <c r="C4" s="88" t="s">
        <v>134</v>
      </c>
      <c r="D4" s="88" t="s">
        <v>135</v>
      </c>
      <c r="E4" s="88" t="s">
        <v>292</v>
      </c>
      <c r="I4" t="s">
        <v>291</v>
      </c>
      <c r="J4" t="s">
        <v>287</v>
      </c>
      <c r="K4" t="s">
        <v>288</v>
      </c>
      <c r="L4" t="s">
        <v>289</v>
      </c>
    </row>
    <row r="5" spans="2:12" x14ac:dyDescent="0.2">
      <c r="B5" s="132" t="str">
        <f>'Rate Class Energy Model'!H2</f>
        <v xml:space="preserve">Residential </v>
      </c>
      <c r="C5" s="133">
        <f>Summary!O17</f>
        <v>395264057.09320611</v>
      </c>
      <c r="D5" s="134"/>
      <c r="E5" s="342">
        <v>0.9224</v>
      </c>
      <c r="I5" s="341">
        <f>AVERAGE(J5:M5)</f>
        <v>0.91849275460905611</v>
      </c>
      <c r="J5" s="68">
        <f>'[15]CONTROL TOTAL'!$F$8/'[15]CONTROL TOTAL'!$B$8</f>
        <v>0.91247867073598299</v>
      </c>
      <c r="K5" s="68">
        <f>'[16]CONTROL TOTAL'!$F$8/'[16]CONTROL TOTAL'!$B$8</f>
        <v>0.91803750693418373</v>
      </c>
      <c r="L5" s="68">
        <f>'[17]CONTROL TOTAL'!$F$8/'[17]CONTROL TOTAL'!$B$8</f>
        <v>0.92496208615700115</v>
      </c>
    </row>
    <row r="6" spans="2:12" x14ac:dyDescent="0.2">
      <c r="B6" s="132" t="str">
        <f>'Rate Class Energy Model'!I2</f>
        <v>General Service &lt; 50 kW</v>
      </c>
      <c r="C6" s="133">
        <f>Summary!O21</f>
        <v>153517083.59468055</v>
      </c>
      <c r="D6" s="134"/>
      <c r="E6" s="342">
        <v>0.85560000000000003</v>
      </c>
      <c r="I6" s="341">
        <f t="shared" ref="I6:I11" si="0">AVERAGE(J6:M6)</f>
        <v>0.85567634051671515</v>
      </c>
      <c r="J6" s="68">
        <f>('[15]CONTROL TOTAL'!$F$11-'[15]kwh Usage'!$D$53-'[15]kwh Usage'!$D$54)/('[15]CONTROL TOTAL'!$B$11-'[15]kwh Usage'!$D$53-'[15]kwh Usage'!$D$54-'[15]kwh Usage'!$D$55-'[15]kwh Usage'!$D$56)</f>
        <v>0.8629234783831532</v>
      </c>
      <c r="K6" s="68">
        <f>('[16]CONTROL TOTAL'!$F$11-'[16]kwh Usage'!$D$53-'[16]kwh Usage'!$D$54)/('[16]CONTROL TOTAL'!$B$11-'[16]kwh Usage'!$D$53-'[16]kwh Usage'!$D$54-'[16]kwh Usage'!$D$55-'[16]kwh Usage'!$D$56)</f>
        <v>0.84953567141639408</v>
      </c>
      <c r="L6" s="68">
        <f>('[17]CONTROL TOTAL'!$F$11-'[17]kwh Usage'!$D$53-'[17]kwh Usage'!$D$54)/('[17]CONTROL TOTAL'!$B$11-'[17]kwh Usage'!$D$53-'[17]kwh Usage'!$D$54-'[17]kwh Usage'!$D$55-'[17]kwh Usage'!$D$56)</f>
        <v>0.85456987175059818</v>
      </c>
    </row>
    <row r="7" spans="2:12" x14ac:dyDescent="0.2">
      <c r="B7" s="132" t="str">
        <f>'Rate Class Energy Model'!J2</f>
        <v>General Service &gt; 50 to 999 kW</v>
      </c>
      <c r="C7" s="133">
        <f>Summary!O25</f>
        <v>431657534.28491879</v>
      </c>
      <c r="D7" s="135">
        <f>Summary!O26</f>
        <v>1226670.0537145592</v>
      </c>
      <c r="E7" s="342">
        <v>0.32790000000000002</v>
      </c>
      <c r="I7" s="341">
        <f t="shared" si="0"/>
        <v>0.33144094299863097</v>
      </c>
      <c r="J7" s="68">
        <f>'[15]CONTROL TOTAL'!$F$12/'[15]CONTROL TOTAL'!$B$12</f>
        <v>0.33615327709591158</v>
      </c>
      <c r="K7" s="68">
        <f>'[16]CONTROL TOTAL'!$F$12/'[16]CONTROL TOTAL'!$B$12</f>
        <v>0.32707732410457252</v>
      </c>
      <c r="L7" s="68">
        <f>'[17]CONTROL TOTAL'!$F$12/'[17]CONTROL TOTAL'!$B$12</f>
        <v>0.33109222779540898</v>
      </c>
    </row>
    <row r="8" spans="2:12" x14ac:dyDescent="0.2">
      <c r="B8" s="132" t="str">
        <f>'Rate Class Energy Model'!K2</f>
        <v>General Service &gt; 1000 to 4999 kW</v>
      </c>
      <c r="C8" s="133">
        <f>Summary!O30</f>
        <v>221335610.80707443</v>
      </c>
      <c r="D8" s="135">
        <f>Summary!O31</f>
        <v>526492.10011546221</v>
      </c>
      <c r="E8" s="342">
        <v>0</v>
      </c>
      <c r="I8" s="341">
        <f t="shared" si="0"/>
        <v>0</v>
      </c>
      <c r="J8" s="68">
        <f>'[15]CONTROL TOTAL'!$F$15/'[15]CONTROL TOTAL'!$B$15</f>
        <v>0</v>
      </c>
      <c r="K8" s="68">
        <f>'[16]CONTROL TOTAL'!$F$15/'[16]CONTROL TOTAL'!$B$15</f>
        <v>0</v>
      </c>
      <c r="L8" s="68">
        <f>'[17]CONTROL TOTAL'!$F$15/'[17]CONTROL TOTAL'!$B$15</f>
        <v>0</v>
      </c>
    </row>
    <row r="9" spans="2:12" x14ac:dyDescent="0.2">
      <c r="B9" s="132" t="str">
        <f>'Rate Class Customer Model'!F2</f>
        <v>Large User</v>
      </c>
      <c r="C9" s="133">
        <f>Summary!O35</f>
        <v>208256974.32055795</v>
      </c>
      <c r="D9" s="135">
        <f>Summary!O36</f>
        <v>431511.70773318375</v>
      </c>
      <c r="E9" s="342">
        <v>0</v>
      </c>
      <c r="I9" s="341">
        <f t="shared" si="0"/>
        <v>0</v>
      </c>
      <c r="J9" s="68">
        <f>'[15]CONTROL TOTAL'!$F$18/'[15]CONTROL TOTAL'!$B$18</f>
        <v>0</v>
      </c>
      <c r="K9" s="68">
        <f>'[16]CONTROL TOTAL'!$F$18/'[16]CONTROL TOTAL'!$B$18</f>
        <v>0</v>
      </c>
      <c r="L9" s="68">
        <f>'[17]CONTROL TOTAL'!$F$18/'[17]CONTROL TOTAL'!$B$18</f>
        <v>0</v>
      </c>
    </row>
    <row r="10" spans="2:12" x14ac:dyDescent="0.2">
      <c r="B10" s="132" t="str">
        <f>'Rate Class Customer Model'!H2</f>
        <v>Street Lights</v>
      </c>
      <c r="C10" s="133">
        <f>Summary!O45</f>
        <v>9649327.5931708179</v>
      </c>
      <c r="D10" s="135">
        <f>Summary!O46</f>
        <v>25898.064816446684</v>
      </c>
      <c r="E10" s="342">
        <v>0</v>
      </c>
      <c r="I10" s="341">
        <f t="shared" si="0"/>
        <v>0</v>
      </c>
      <c r="J10" s="68">
        <f>'[15]CONTROL TOTAL'!$F$21/'[15]CONTROL TOTAL'!$B$21</f>
        <v>0</v>
      </c>
      <c r="K10" s="68">
        <f>'[16]CONTROL TOTAL'!$F$21/'[16]CONTROL TOTAL'!$B$21</f>
        <v>0</v>
      </c>
      <c r="L10" s="68">
        <f>'[17]CONTROL TOTAL'!$F$21/'[17]CONTROL TOTAL'!$B$21</f>
        <v>0</v>
      </c>
    </row>
    <row r="11" spans="2:12" x14ac:dyDescent="0.2">
      <c r="B11" s="132" t="str">
        <f>'Rate Class Customer Model'!I2</f>
        <v xml:space="preserve">Unmetered Loads </v>
      </c>
      <c r="C11" s="133">
        <f>Summary!O50</f>
        <v>1756888.8018717372</v>
      </c>
      <c r="D11" s="135"/>
      <c r="E11" s="342">
        <v>0.998</v>
      </c>
      <c r="I11" s="341">
        <f t="shared" si="0"/>
        <v>0.99800088301519485</v>
      </c>
      <c r="J11" s="68">
        <f>('[15]kwh Usage'!$D$53+'[15]kwh Usage'!$D$54)/('[15]kwh Usage'!$D$53+'[15]kwh Usage'!$D$54+'[15]kwh Usage'!$D$55+'[15]kwh Usage'!$D$56)</f>
        <v>0.99800657532788417</v>
      </c>
      <c r="K11" s="68">
        <f>('[16]kwh Usage'!$D$53+'[16]kwh Usage'!$D$54)/('[16]kwh Usage'!$D$53+'[16]kwh Usage'!$D$54+'[16]kwh Usage'!$D$55+'[16]kwh Usage'!$D$56)</f>
        <v>0.99799922499823346</v>
      </c>
      <c r="L11" s="68">
        <f>('[17]kwh Usage'!$D$53+'[17]kwh Usage'!$D$54)/('[17]kwh Usage'!$D$53+'[17]kwh Usage'!$D$54+'[17]kwh Usage'!$D$55+'[17]kwh Usage'!$D$56)</f>
        <v>0.99799684871946681</v>
      </c>
    </row>
    <row r="12" spans="2:12" x14ac:dyDescent="0.2">
      <c r="B12" s="132" t="str">
        <f>'Rate Class Customer Model'!J2</f>
        <v>Embedded Distributors - Hydro One</v>
      </c>
      <c r="C12" s="133">
        <f>Summary!O54-'Rate Class Energy Model'!P90</f>
        <v>12613577.074962635</v>
      </c>
      <c r="D12" s="135">
        <f>Summary!O55</f>
        <v>90564.377192908592</v>
      </c>
      <c r="E12" s="342">
        <v>0</v>
      </c>
    </row>
    <row r="13" spans="2:12" x14ac:dyDescent="0.2">
      <c r="B13" s="137" t="s">
        <v>137</v>
      </c>
      <c r="C13" s="138">
        <f>SUM(C5:C12)</f>
        <v>1434051053.5704434</v>
      </c>
      <c r="D13" s="138">
        <f>SUM(D5:D12)</f>
        <v>2301136.3035725602</v>
      </c>
      <c r="E13" s="138"/>
    </row>
    <row r="14" spans="2:12" x14ac:dyDescent="0.2">
      <c r="C14" s="61"/>
      <c r="D14" s="61"/>
    </row>
    <row r="16" spans="2:12" x14ac:dyDescent="0.2">
      <c r="B16" s="343" t="s">
        <v>138</v>
      </c>
      <c r="C16" s="454" t="s">
        <v>156</v>
      </c>
      <c r="D16" s="456" t="s">
        <v>157</v>
      </c>
      <c r="E16" s="458">
        <v>2014</v>
      </c>
      <c r="F16" s="459"/>
      <c r="G16" s="460"/>
    </row>
    <row r="17" spans="2:15" x14ac:dyDescent="0.2">
      <c r="B17" s="344" t="s">
        <v>141</v>
      </c>
      <c r="C17" s="455"/>
      <c r="D17" s="457"/>
      <c r="E17" s="449"/>
      <c r="F17" s="450"/>
      <c r="G17" s="451"/>
    </row>
    <row r="18" spans="2:15" ht="15" x14ac:dyDescent="0.25">
      <c r="B18" s="75" t="str">
        <f>B5</f>
        <v xml:space="preserve">Residential </v>
      </c>
      <c r="C18" s="133">
        <f>C5*E5</f>
        <v>364591566.26277333</v>
      </c>
      <c r="D18" s="140">
        <v>1.0286</v>
      </c>
      <c r="E18" s="141">
        <f t="shared" ref="E18:E25" si="1">C18*D18</f>
        <v>375018885.05788863</v>
      </c>
      <c r="F18" s="368">
        <v>8.8999999999999996E-2</v>
      </c>
      <c r="G18" s="143">
        <f t="shared" ref="G18:G25" si="2">E18*F18</f>
        <v>33376680.770152085</v>
      </c>
      <c r="J18" s="365" t="s">
        <v>301</v>
      </c>
      <c r="K18" s="365"/>
      <c r="L18" s="365"/>
      <c r="M18" s="366" t="s">
        <v>301</v>
      </c>
      <c r="N18" s="367" t="s">
        <v>301</v>
      </c>
      <c r="O18" s="365" t="s">
        <v>301</v>
      </c>
    </row>
    <row r="19" spans="2:15" ht="15" x14ac:dyDescent="0.25">
      <c r="B19" s="75" t="str">
        <f t="shared" ref="B19:B25" si="3">B6</f>
        <v>General Service &lt; 50 kW</v>
      </c>
      <c r="C19" s="133">
        <f t="shared" ref="C19:C25" si="4">C6*E6</f>
        <v>131349216.72360869</v>
      </c>
      <c r="D19" s="140">
        <v>1.0286</v>
      </c>
      <c r="E19" s="141">
        <f t="shared" si="1"/>
        <v>135105804.32190388</v>
      </c>
      <c r="F19" s="368">
        <f>F18</f>
        <v>8.8999999999999996E-2</v>
      </c>
      <c r="G19" s="143">
        <f t="shared" si="2"/>
        <v>12024416.584649445</v>
      </c>
      <c r="J19" s="365" t="s">
        <v>301</v>
      </c>
      <c r="K19" s="365"/>
      <c r="L19" s="365"/>
      <c r="M19" s="366" t="s">
        <v>301</v>
      </c>
      <c r="N19" s="367" t="s">
        <v>301</v>
      </c>
      <c r="O19" s="365" t="s">
        <v>301</v>
      </c>
    </row>
    <row r="20" spans="2:15" ht="15" x14ac:dyDescent="0.25">
      <c r="B20" s="75" t="str">
        <f t="shared" si="3"/>
        <v>General Service &gt; 50 to 999 kW</v>
      </c>
      <c r="C20" s="133">
        <f t="shared" si="4"/>
        <v>141540505.49202487</v>
      </c>
      <c r="D20" s="140">
        <v>1.0286</v>
      </c>
      <c r="E20" s="141">
        <f t="shared" si="1"/>
        <v>145588563.94909677</v>
      </c>
      <c r="F20" s="368">
        <f>F18</f>
        <v>8.8999999999999996E-2</v>
      </c>
      <c r="G20" s="143">
        <f t="shared" si="2"/>
        <v>12957382.191469612</v>
      </c>
      <c r="J20" s="365" t="s">
        <v>301</v>
      </c>
      <c r="K20" s="365"/>
      <c r="L20" s="365"/>
      <c r="M20" s="366" t="s">
        <v>301</v>
      </c>
      <c r="N20" s="367" t="s">
        <v>301</v>
      </c>
      <c r="O20" s="365" t="s">
        <v>301</v>
      </c>
    </row>
    <row r="21" spans="2:15" ht="15" x14ac:dyDescent="0.25">
      <c r="B21" s="75" t="str">
        <f t="shared" si="3"/>
        <v>General Service &gt; 1000 to 4999 kW</v>
      </c>
      <c r="C21" s="133">
        <f t="shared" si="4"/>
        <v>0</v>
      </c>
      <c r="D21" s="140">
        <v>1.0286</v>
      </c>
      <c r="E21" s="141">
        <f t="shared" si="1"/>
        <v>0</v>
      </c>
      <c r="F21" s="368">
        <f>F18</f>
        <v>8.8999999999999996E-2</v>
      </c>
      <c r="G21" s="143">
        <f t="shared" si="2"/>
        <v>0</v>
      </c>
      <c r="J21" s="365"/>
      <c r="K21" s="365"/>
      <c r="L21" s="365"/>
      <c r="M21" s="365"/>
      <c r="N21" s="365"/>
      <c r="O21" s="366" t="s">
        <v>301</v>
      </c>
    </row>
    <row r="22" spans="2:15" x14ac:dyDescent="0.2">
      <c r="B22" s="75" t="str">
        <f t="shared" si="3"/>
        <v>Large User</v>
      </c>
      <c r="C22" s="133">
        <f t="shared" si="4"/>
        <v>0</v>
      </c>
      <c r="D22" s="140">
        <v>1.0003</v>
      </c>
      <c r="E22" s="141">
        <f t="shared" si="1"/>
        <v>0</v>
      </c>
      <c r="F22" s="368">
        <f>F18</f>
        <v>8.8999999999999996E-2</v>
      </c>
      <c r="G22" s="143">
        <f t="shared" si="2"/>
        <v>0</v>
      </c>
    </row>
    <row r="23" spans="2:15" x14ac:dyDescent="0.2">
      <c r="B23" s="75" t="str">
        <f t="shared" si="3"/>
        <v>Street Lights</v>
      </c>
      <c r="C23" s="133">
        <f t="shared" si="4"/>
        <v>0</v>
      </c>
      <c r="D23" s="140">
        <v>1.0286</v>
      </c>
      <c r="E23" s="141">
        <f t="shared" si="1"/>
        <v>0</v>
      </c>
      <c r="F23" s="368">
        <f>F18</f>
        <v>8.8999999999999996E-2</v>
      </c>
      <c r="G23" s="143">
        <f t="shared" si="2"/>
        <v>0</v>
      </c>
    </row>
    <row r="24" spans="2:15" x14ac:dyDescent="0.2">
      <c r="B24" s="75" t="str">
        <f t="shared" si="3"/>
        <v xml:space="preserve">Unmetered Loads </v>
      </c>
      <c r="C24" s="133">
        <f t="shared" si="4"/>
        <v>1753375.0242679939</v>
      </c>
      <c r="D24" s="140">
        <v>1.0286</v>
      </c>
      <c r="E24" s="141">
        <f t="shared" si="1"/>
        <v>1803521.5499620584</v>
      </c>
      <c r="F24" s="368">
        <f>F18</f>
        <v>8.8999999999999996E-2</v>
      </c>
      <c r="G24" s="143">
        <f t="shared" si="2"/>
        <v>160513.4179466232</v>
      </c>
      <c r="I24" s="361" t="s">
        <v>304</v>
      </c>
      <c r="J24" s="370"/>
      <c r="K24" s="370"/>
      <c r="L24" s="370"/>
      <c r="M24" s="370"/>
      <c r="N24" s="370"/>
      <c r="O24" s="370"/>
    </row>
    <row r="25" spans="2:15" x14ac:dyDescent="0.2">
      <c r="B25" s="75" t="str">
        <f t="shared" si="3"/>
        <v>Embedded Distributors - Hydro One</v>
      </c>
      <c r="C25" s="133">
        <f t="shared" si="4"/>
        <v>0</v>
      </c>
      <c r="D25" s="140">
        <v>1.0286</v>
      </c>
      <c r="E25" s="141">
        <f t="shared" si="1"/>
        <v>0</v>
      </c>
      <c r="F25" s="368">
        <f>F18</f>
        <v>8.8999999999999996E-2</v>
      </c>
      <c r="G25" s="143">
        <f t="shared" si="2"/>
        <v>0</v>
      </c>
    </row>
    <row r="26" spans="2:15" x14ac:dyDescent="0.2">
      <c r="B26" s="137" t="s">
        <v>137</v>
      </c>
      <c r="C26" s="138">
        <f>SUM(C18:C25)</f>
        <v>639234663.50267494</v>
      </c>
      <c r="D26" s="139"/>
      <c r="E26" s="138">
        <f>SUM(E18:E25)</f>
        <v>657516774.87885129</v>
      </c>
      <c r="F26" s="369"/>
      <c r="G26" s="145">
        <f>SUM(G18:G25)</f>
        <v>58518992.96421776</v>
      </c>
    </row>
    <row r="27" spans="2:15" x14ac:dyDescent="0.2">
      <c r="B27" s="146"/>
      <c r="C27" s="147"/>
      <c r="D27" s="148"/>
      <c r="E27" s="147"/>
      <c r="F27" s="149"/>
      <c r="G27" s="150"/>
    </row>
    <row r="28" spans="2:15" x14ac:dyDescent="0.2">
      <c r="B28" s="343" t="s">
        <v>142</v>
      </c>
      <c r="C28" s="454" t="s">
        <v>156</v>
      </c>
      <c r="D28" s="456" t="s">
        <v>157</v>
      </c>
      <c r="E28" s="458">
        <v>2014</v>
      </c>
      <c r="F28" s="459"/>
      <c r="G28" s="460"/>
    </row>
    <row r="29" spans="2:15" x14ac:dyDescent="0.2">
      <c r="B29" s="344" t="s">
        <v>143</v>
      </c>
      <c r="C29" s="455"/>
      <c r="D29" s="457"/>
      <c r="E29" s="449"/>
      <c r="F29" s="450"/>
      <c r="G29" s="451"/>
    </row>
    <row r="30" spans="2:15" x14ac:dyDescent="0.2">
      <c r="B30" s="75" t="str">
        <f>B18</f>
        <v xml:space="preserve">Residential </v>
      </c>
      <c r="C30" s="133">
        <f>C5-C18</f>
        <v>30672490.830432773</v>
      </c>
      <c r="D30" s="134">
        <f>D18</f>
        <v>1.0286</v>
      </c>
      <c r="E30" s="141">
        <f t="shared" ref="E30:E37" si="5">C30*D30</f>
        <v>31549724.06818315</v>
      </c>
      <c r="F30" s="142">
        <v>8.7599999999999997E-2</v>
      </c>
      <c r="G30" s="143">
        <f t="shared" ref="G30:G37" si="6">E30*F30</f>
        <v>2763755.828372844</v>
      </c>
      <c r="I30" s="361" t="s">
        <v>299</v>
      </c>
      <c r="J30" s="361"/>
      <c r="K30" s="361"/>
      <c r="L30" s="361"/>
      <c r="M30" s="361"/>
      <c r="N30" s="361"/>
    </row>
    <row r="31" spans="2:15" x14ac:dyDescent="0.2">
      <c r="B31" s="75" t="str">
        <f t="shared" ref="B31:B37" si="7">B19</f>
        <v>General Service &lt; 50 kW</v>
      </c>
      <c r="C31" s="133">
        <f t="shared" ref="C31:C37" si="8">C6-C19</f>
        <v>22167866.87107186</v>
      </c>
      <c r="D31" s="134">
        <f t="shared" ref="D31:D37" si="9">D19</f>
        <v>1.0286</v>
      </c>
      <c r="E31" s="141">
        <f t="shared" si="5"/>
        <v>22801867.863584515</v>
      </c>
      <c r="F31" s="142">
        <f>F30</f>
        <v>8.7599999999999997E-2</v>
      </c>
      <c r="G31" s="143">
        <f t="shared" si="6"/>
        <v>1997443.6248500035</v>
      </c>
      <c r="I31" s="361" t="s">
        <v>300</v>
      </c>
      <c r="J31" s="361"/>
      <c r="K31" s="361"/>
      <c r="L31" s="361"/>
      <c r="M31" s="361"/>
      <c r="N31" s="361"/>
    </row>
    <row r="32" spans="2:15" x14ac:dyDescent="0.2">
      <c r="B32" s="75" t="str">
        <f t="shared" si="7"/>
        <v>General Service &gt; 50 to 999 kW</v>
      </c>
      <c r="C32" s="133">
        <f t="shared" si="8"/>
        <v>290117028.79289389</v>
      </c>
      <c r="D32" s="134">
        <f t="shared" si="9"/>
        <v>1.0286</v>
      </c>
      <c r="E32" s="141">
        <f t="shared" si="5"/>
        <v>298414375.81637067</v>
      </c>
      <c r="F32" s="142">
        <f>F30</f>
        <v>8.7599999999999997E-2</v>
      </c>
      <c r="G32" s="143">
        <f t="shared" si="6"/>
        <v>26141099.32151407</v>
      </c>
      <c r="I32" s="361" t="s">
        <v>302</v>
      </c>
      <c r="J32" s="361"/>
      <c r="K32" s="361"/>
      <c r="L32" s="361"/>
      <c r="M32" s="361"/>
      <c r="N32" s="361"/>
    </row>
    <row r="33" spans="2:10" x14ac:dyDescent="0.2">
      <c r="B33" s="75" t="str">
        <f t="shared" si="7"/>
        <v>General Service &gt; 1000 to 4999 kW</v>
      </c>
      <c r="C33" s="133">
        <f t="shared" si="8"/>
        <v>221335610.80707443</v>
      </c>
      <c r="D33" s="134">
        <f t="shared" si="9"/>
        <v>1.0286</v>
      </c>
      <c r="E33" s="141">
        <f t="shared" si="5"/>
        <v>227665809.27615675</v>
      </c>
      <c r="F33" s="142">
        <f>F30</f>
        <v>8.7599999999999997E-2</v>
      </c>
      <c r="G33" s="143">
        <f t="shared" si="6"/>
        <v>19943524.892591331</v>
      </c>
    </row>
    <row r="34" spans="2:10" x14ac:dyDescent="0.2">
      <c r="B34" s="75" t="str">
        <f t="shared" si="7"/>
        <v>Large User</v>
      </c>
      <c r="C34" s="133">
        <f t="shared" si="8"/>
        <v>208256974.32055795</v>
      </c>
      <c r="D34" s="134">
        <f t="shared" si="9"/>
        <v>1.0003</v>
      </c>
      <c r="E34" s="141">
        <f t="shared" si="5"/>
        <v>208319451.41285411</v>
      </c>
      <c r="F34" s="142">
        <f>F30</f>
        <v>8.7599999999999997E-2</v>
      </c>
      <c r="G34" s="143">
        <f t="shared" si="6"/>
        <v>18248783.94376602</v>
      </c>
      <c r="I34">
        <v>2014</v>
      </c>
      <c r="J34">
        <f>19.67+67.93</f>
        <v>87.600000000000009</v>
      </c>
    </row>
    <row r="35" spans="2:10" x14ac:dyDescent="0.2">
      <c r="B35" s="75" t="str">
        <f t="shared" si="7"/>
        <v>Street Lights</v>
      </c>
      <c r="C35" s="133">
        <f t="shared" si="8"/>
        <v>9649327.5931708179</v>
      </c>
      <c r="D35" s="134">
        <f t="shared" si="9"/>
        <v>1.0286</v>
      </c>
      <c r="E35" s="141">
        <f t="shared" si="5"/>
        <v>9925298.3623355031</v>
      </c>
      <c r="F35" s="142">
        <f>F30</f>
        <v>8.7599999999999997E-2</v>
      </c>
      <c r="G35" s="143">
        <f t="shared" si="6"/>
        <v>869456.13654059009</v>
      </c>
    </row>
    <row r="36" spans="2:10" x14ac:dyDescent="0.2">
      <c r="B36" s="75" t="str">
        <f t="shared" si="7"/>
        <v xml:space="preserve">Unmetered Loads </v>
      </c>
      <c r="C36" s="133">
        <f t="shared" si="8"/>
        <v>3513.777603743365</v>
      </c>
      <c r="D36" s="134">
        <f t="shared" si="9"/>
        <v>1.0286</v>
      </c>
      <c r="E36" s="141">
        <f t="shared" si="5"/>
        <v>3614.2716432104253</v>
      </c>
      <c r="F36" s="142">
        <f>F30</f>
        <v>8.7599999999999997E-2</v>
      </c>
      <c r="G36" s="143">
        <f t="shared" si="6"/>
        <v>316.61019594523327</v>
      </c>
    </row>
    <row r="37" spans="2:10" x14ac:dyDescent="0.2">
      <c r="B37" s="75" t="str">
        <f t="shared" si="7"/>
        <v>Embedded Distributors - Hydro One</v>
      </c>
      <c r="C37" s="133">
        <f t="shared" si="8"/>
        <v>12613577.074962635</v>
      </c>
      <c r="D37" s="134">
        <f t="shared" si="9"/>
        <v>1.0286</v>
      </c>
      <c r="E37" s="141">
        <f t="shared" si="5"/>
        <v>12974325.379306566</v>
      </c>
      <c r="F37" s="142">
        <f>F30</f>
        <v>8.7599999999999997E-2</v>
      </c>
      <c r="G37" s="143">
        <f t="shared" si="6"/>
        <v>1136550.9032272552</v>
      </c>
    </row>
    <row r="38" spans="2:10" x14ac:dyDescent="0.2">
      <c r="B38" s="137" t="s">
        <v>137</v>
      </c>
      <c r="C38" s="138">
        <f>SUM(C30:C37)</f>
        <v>794816390.06776798</v>
      </c>
      <c r="D38" s="139"/>
      <c r="E38" s="138">
        <f>SUM(E30:E37)</f>
        <v>811654466.45043445</v>
      </c>
      <c r="F38" s="144"/>
      <c r="G38" s="145">
        <f>SUM(G30:G37)</f>
        <v>71100931.261058062</v>
      </c>
    </row>
    <row r="40" spans="2:10" x14ac:dyDescent="0.2">
      <c r="B40" s="345" t="s">
        <v>144</v>
      </c>
      <c r="C40" s="346"/>
      <c r="D40" s="347" t="s">
        <v>145</v>
      </c>
      <c r="E40" s="348"/>
      <c r="F40" s="349"/>
      <c r="G40" s="346"/>
    </row>
    <row r="41" spans="2:10" x14ac:dyDescent="0.2">
      <c r="B41" s="344" t="s">
        <v>143</v>
      </c>
      <c r="C41" s="356"/>
      <c r="D41" s="351" t="s">
        <v>146</v>
      </c>
      <c r="E41" s="449">
        <v>2014</v>
      </c>
      <c r="F41" s="450"/>
      <c r="G41" s="451"/>
    </row>
    <row r="42" spans="2:10" x14ac:dyDescent="0.2">
      <c r="B42" s="151" t="str">
        <f>B30</f>
        <v xml:space="preserve">Residential </v>
      </c>
      <c r="C42" s="141"/>
      <c r="D42" s="152" t="s">
        <v>134</v>
      </c>
      <c r="E42" s="141">
        <f>E18+E30</f>
        <v>406568609.12607175</v>
      </c>
      <c r="F42" s="360">
        <v>6.7000000000000002E-3</v>
      </c>
      <c r="G42" s="143">
        <f t="shared" ref="G42:G49" si="10">E42*F42</f>
        <v>2724009.6811446808</v>
      </c>
    </row>
    <row r="43" spans="2:10" x14ac:dyDescent="0.2">
      <c r="B43" s="151" t="str">
        <f t="shared" ref="B43:B49" si="11">B31</f>
        <v>General Service &lt; 50 kW</v>
      </c>
      <c r="C43" s="141"/>
      <c r="D43" s="152" t="s">
        <v>134</v>
      </c>
      <c r="E43" s="141">
        <f>E19+E31</f>
        <v>157907672.1854884</v>
      </c>
      <c r="F43" s="360">
        <v>5.7999999999999996E-3</v>
      </c>
      <c r="G43" s="143">
        <f t="shared" si="10"/>
        <v>915864.49867583264</v>
      </c>
    </row>
    <row r="44" spans="2:10" x14ac:dyDescent="0.2">
      <c r="B44" s="151" t="str">
        <f t="shared" si="11"/>
        <v>General Service &gt; 50 to 999 kW</v>
      </c>
      <c r="C44" s="141"/>
      <c r="D44" s="152" t="s">
        <v>135</v>
      </c>
      <c r="E44" s="141">
        <f>D7</f>
        <v>1226670.0537145592</v>
      </c>
      <c r="F44" s="360">
        <v>3.7791000000000001</v>
      </c>
      <c r="G44" s="143">
        <f t="shared" si="10"/>
        <v>4635708.7999926908</v>
      </c>
    </row>
    <row r="45" spans="2:10" x14ac:dyDescent="0.2">
      <c r="B45" s="151" t="str">
        <f t="shared" si="11"/>
        <v>General Service &gt; 1000 to 4999 kW</v>
      </c>
      <c r="C45" s="141"/>
      <c r="D45" s="152" t="s">
        <v>135</v>
      </c>
      <c r="E45" s="141">
        <f>D8</f>
        <v>526492.10011546221</v>
      </c>
      <c r="F45" s="360">
        <v>2.8702000000000001</v>
      </c>
      <c r="G45" s="143">
        <f t="shared" si="10"/>
        <v>1511137.6257513997</v>
      </c>
      <c r="I45" s="32"/>
    </row>
    <row r="46" spans="2:10" x14ac:dyDescent="0.2">
      <c r="B46" s="151" t="str">
        <f t="shared" si="11"/>
        <v>Large User</v>
      </c>
      <c r="C46" s="141"/>
      <c r="D46" s="152" t="s">
        <v>135</v>
      </c>
      <c r="E46" s="141">
        <f>D9</f>
        <v>431511.70773318375</v>
      </c>
      <c r="F46" s="360">
        <v>2.7199</v>
      </c>
      <c r="G46" s="143">
        <f t="shared" si="10"/>
        <v>1173668.6938634864</v>
      </c>
    </row>
    <row r="47" spans="2:10" x14ac:dyDescent="0.2">
      <c r="B47" s="151" t="str">
        <f t="shared" si="11"/>
        <v>Street Lights</v>
      </c>
      <c r="C47" s="141"/>
      <c r="D47" s="152" t="s">
        <v>135</v>
      </c>
      <c r="E47" s="141">
        <f>D10</f>
        <v>25898.064816446684</v>
      </c>
      <c r="F47" s="360">
        <v>1.8991</v>
      </c>
      <c r="G47" s="143">
        <f t="shared" si="10"/>
        <v>49183.014892913896</v>
      </c>
    </row>
    <row r="48" spans="2:10" x14ac:dyDescent="0.2">
      <c r="B48" s="151" t="str">
        <f>B36</f>
        <v xml:space="preserve">Unmetered Loads </v>
      </c>
      <c r="C48" s="141"/>
      <c r="D48" s="152" t="s">
        <v>134</v>
      </c>
      <c r="E48" s="141">
        <f>E36</f>
        <v>3614.2716432104253</v>
      </c>
      <c r="F48" s="360">
        <v>5.7999999999999996E-3</v>
      </c>
      <c r="G48" s="143">
        <f t="shared" si="10"/>
        <v>20.962775530620466</v>
      </c>
    </row>
    <row r="49" spans="2:7" x14ac:dyDescent="0.2">
      <c r="B49" s="151" t="str">
        <f t="shared" si="11"/>
        <v>Embedded Distributors - Hydro One</v>
      </c>
      <c r="C49" s="141"/>
      <c r="D49" s="152" t="s">
        <v>135</v>
      </c>
      <c r="E49" s="141">
        <f>D12</f>
        <v>90564.377192908592</v>
      </c>
      <c r="F49" s="360">
        <v>2.7199</v>
      </c>
      <c r="G49" s="143">
        <f t="shared" si="10"/>
        <v>246326.04952699208</v>
      </c>
    </row>
    <row r="50" spans="2:7" x14ac:dyDescent="0.2">
      <c r="B50" s="137" t="s">
        <v>137</v>
      </c>
      <c r="C50" s="138"/>
      <c r="D50" s="139"/>
      <c r="E50" s="138"/>
      <c r="F50" s="144"/>
      <c r="G50" s="154">
        <f>SUM(G42:G49)</f>
        <v>11255919.326623525</v>
      </c>
    </row>
    <row r="52" spans="2:7" x14ac:dyDescent="0.2">
      <c r="B52" s="345" t="s">
        <v>147</v>
      </c>
      <c r="C52" s="346"/>
      <c r="D52" s="352" t="s">
        <v>145</v>
      </c>
      <c r="E52" s="348"/>
      <c r="F52" s="349"/>
      <c r="G52" s="346"/>
    </row>
    <row r="53" spans="2:7" x14ac:dyDescent="0.2">
      <c r="B53" s="344" t="s">
        <v>143</v>
      </c>
      <c r="C53" s="356"/>
      <c r="D53" s="353" t="s">
        <v>146</v>
      </c>
      <c r="E53" s="449">
        <v>2014</v>
      </c>
      <c r="F53" s="450"/>
      <c r="G53" s="451"/>
    </row>
    <row r="54" spans="2:7" x14ac:dyDescent="0.2">
      <c r="B54" s="151" t="str">
        <f>B42</f>
        <v xml:space="preserve">Residential </v>
      </c>
      <c r="C54" s="141"/>
      <c r="D54" s="152" t="str">
        <f>D42</f>
        <v>kWh</v>
      </c>
      <c r="E54" s="141">
        <f>E42</f>
        <v>406568609.12607175</v>
      </c>
      <c r="F54" s="360">
        <v>4.1999999999999997E-3</v>
      </c>
      <c r="G54" s="143">
        <f t="shared" ref="G54:G61" si="12">E54*F54</f>
        <v>1707588.1583295013</v>
      </c>
    </row>
    <row r="55" spans="2:7" x14ac:dyDescent="0.2">
      <c r="B55" s="151" t="str">
        <f t="shared" ref="B55:B61" si="13">B43</f>
        <v>General Service &lt; 50 kW</v>
      </c>
      <c r="C55" s="141"/>
      <c r="D55" s="152" t="str">
        <f t="shared" ref="D55:E61" si="14">D43</f>
        <v>kWh</v>
      </c>
      <c r="E55" s="141">
        <f t="shared" si="14"/>
        <v>157907672.1854884</v>
      </c>
      <c r="F55" s="360">
        <v>3.8999999999999998E-3</v>
      </c>
      <c r="G55" s="143">
        <f t="shared" si="12"/>
        <v>615839.92152340477</v>
      </c>
    </row>
    <row r="56" spans="2:7" x14ac:dyDescent="0.2">
      <c r="B56" s="151" t="str">
        <f t="shared" si="13"/>
        <v>General Service &gt; 50 to 999 kW</v>
      </c>
      <c r="C56" s="141"/>
      <c r="D56" s="152" t="str">
        <f t="shared" si="14"/>
        <v>kW</v>
      </c>
      <c r="E56" s="141">
        <f t="shared" si="14"/>
        <v>1226670.0537145592</v>
      </c>
      <c r="F56" s="360">
        <v>2.3950999999999998</v>
      </c>
      <c r="G56" s="143">
        <f t="shared" si="12"/>
        <v>2937997.4456517403</v>
      </c>
    </row>
    <row r="57" spans="2:7" x14ac:dyDescent="0.2">
      <c r="B57" s="151" t="str">
        <f t="shared" si="13"/>
        <v>General Service &gt; 1000 to 4999 kW</v>
      </c>
      <c r="C57" s="141"/>
      <c r="D57" s="152" t="str">
        <f t="shared" si="14"/>
        <v>kW</v>
      </c>
      <c r="E57" s="141">
        <f t="shared" si="14"/>
        <v>526492.10011546221</v>
      </c>
      <c r="F57" s="360">
        <v>1.8796999999999999</v>
      </c>
      <c r="G57" s="143">
        <f t="shared" si="12"/>
        <v>989647.20058703423</v>
      </c>
    </row>
    <row r="58" spans="2:7" x14ac:dyDescent="0.2">
      <c r="B58" s="151" t="str">
        <f t="shared" si="13"/>
        <v>Large User</v>
      </c>
      <c r="C58" s="141"/>
      <c r="D58" s="152" t="str">
        <f t="shared" si="14"/>
        <v>kW</v>
      </c>
      <c r="E58" s="141">
        <f t="shared" si="14"/>
        <v>431511.70773318375</v>
      </c>
      <c r="F58" s="360">
        <v>1.9133</v>
      </c>
      <c r="G58" s="143">
        <f t="shared" si="12"/>
        <v>825611.35040590051</v>
      </c>
    </row>
    <row r="59" spans="2:7" x14ac:dyDescent="0.2">
      <c r="B59" s="151" t="str">
        <f t="shared" si="13"/>
        <v>Street Lights</v>
      </c>
      <c r="C59" s="141"/>
      <c r="D59" s="152" t="str">
        <f t="shared" si="14"/>
        <v>kW</v>
      </c>
      <c r="E59" s="141">
        <f t="shared" si="14"/>
        <v>25898.064816446684</v>
      </c>
      <c r="F59" s="360">
        <v>1.2036</v>
      </c>
      <c r="G59" s="143">
        <f t="shared" si="12"/>
        <v>31170.910813075228</v>
      </c>
    </row>
    <row r="60" spans="2:7" x14ac:dyDescent="0.2">
      <c r="B60" s="151" t="str">
        <f t="shared" si="13"/>
        <v xml:space="preserve">Unmetered Loads </v>
      </c>
      <c r="C60" s="141"/>
      <c r="D60" s="152" t="str">
        <f t="shared" si="14"/>
        <v>kWh</v>
      </c>
      <c r="E60" s="141">
        <f t="shared" si="14"/>
        <v>3614.2716432104253</v>
      </c>
      <c r="F60" s="360">
        <v>3.8999999999999998E-3</v>
      </c>
      <c r="G60" s="143">
        <f t="shared" si="12"/>
        <v>14.095659408520659</v>
      </c>
    </row>
    <row r="61" spans="2:7" x14ac:dyDescent="0.2">
      <c r="B61" s="151" t="str">
        <f t="shared" si="13"/>
        <v>Embedded Distributors - Hydro One</v>
      </c>
      <c r="C61" s="141"/>
      <c r="D61" s="152" t="str">
        <f t="shared" si="14"/>
        <v>kW</v>
      </c>
      <c r="E61" s="141">
        <f t="shared" si="14"/>
        <v>90564.377192908592</v>
      </c>
      <c r="F61" s="360">
        <v>1.9133</v>
      </c>
      <c r="G61" s="143">
        <f t="shared" si="12"/>
        <v>173276.82288319201</v>
      </c>
    </row>
    <row r="62" spans="2:7" x14ac:dyDescent="0.2">
      <c r="B62" s="137" t="s">
        <v>137</v>
      </c>
      <c r="C62" s="138"/>
      <c r="D62" s="139"/>
      <c r="E62" s="138"/>
      <c r="F62" s="144"/>
      <c r="G62" s="154">
        <f>SUM(G54:G61)</f>
        <v>7281145.9058532584</v>
      </c>
    </row>
    <row r="64" spans="2:7" x14ac:dyDescent="0.2">
      <c r="B64" s="345" t="s">
        <v>148</v>
      </c>
      <c r="C64" s="346"/>
      <c r="D64" s="352"/>
      <c r="E64" s="348"/>
      <c r="F64" s="349"/>
      <c r="G64" s="346"/>
    </row>
    <row r="65" spans="2:14" x14ac:dyDescent="0.2">
      <c r="B65" s="344" t="s">
        <v>143</v>
      </c>
      <c r="C65" s="356"/>
      <c r="D65" s="353"/>
      <c r="E65" s="449">
        <v>2014</v>
      </c>
      <c r="F65" s="450"/>
      <c r="G65" s="452"/>
    </row>
    <row r="66" spans="2:14" x14ac:dyDescent="0.2">
      <c r="B66" s="151" t="str">
        <f>B54</f>
        <v xml:space="preserve">Residential </v>
      </c>
      <c r="C66" s="141"/>
      <c r="D66" s="152" t="s">
        <v>134</v>
      </c>
      <c r="E66" s="141">
        <f>E18+E30</f>
        <v>406568609.12607175</v>
      </c>
      <c r="F66" s="153">
        <v>4.4000000000000003E-3</v>
      </c>
      <c r="G66" s="143">
        <f t="shared" ref="G66:G73" si="15">E66*F66</f>
        <v>1788901.8801547159</v>
      </c>
    </row>
    <row r="67" spans="2:14" x14ac:dyDescent="0.2">
      <c r="B67" s="151" t="str">
        <f t="shared" ref="B67:B73" si="16">B55</f>
        <v>General Service &lt; 50 kW</v>
      </c>
      <c r="C67" s="141"/>
      <c r="D67" s="152" t="s">
        <v>134</v>
      </c>
      <c r="E67" s="141">
        <f t="shared" ref="E67:E73" si="17">E19+E31</f>
        <v>157907672.1854884</v>
      </c>
      <c r="F67" s="153">
        <v>4.4000000000000003E-3</v>
      </c>
      <c r="G67" s="143">
        <f t="shared" si="15"/>
        <v>694793.75761614903</v>
      </c>
    </row>
    <row r="68" spans="2:14" x14ac:dyDescent="0.2">
      <c r="B68" s="151" t="str">
        <f t="shared" si="16"/>
        <v>General Service &gt; 50 to 999 kW</v>
      </c>
      <c r="C68" s="141"/>
      <c r="D68" s="152" t="s">
        <v>134</v>
      </c>
      <c r="E68" s="141">
        <f t="shared" si="17"/>
        <v>444002939.76546741</v>
      </c>
      <c r="F68" s="153">
        <v>4.4000000000000003E-3</v>
      </c>
      <c r="G68" s="143">
        <f t="shared" si="15"/>
        <v>1953612.9349680566</v>
      </c>
    </row>
    <row r="69" spans="2:14" x14ac:dyDescent="0.2">
      <c r="B69" s="151" t="str">
        <f t="shared" si="16"/>
        <v>General Service &gt; 1000 to 4999 kW</v>
      </c>
      <c r="C69" s="141"/>
      <c r="D69" s="152" t="s">
        <v>134</v>
      </c>
      <c r="E69" s="141">
        <f t="shared" si="17"/>
        <v>227665809.27615675</v>
      </c>
      <c r="F69" s="153">
        <v>4.4000000000000003E-3</v>
      </c>
      <c r="G69" s="143">
        <f t="shared" si="15"/>
        <v>1001729.5608150897</v>
      </c>
    </row>
    <row r="70" spans="2:14" x14ac:dyDescent="0.2">
      <c r="B70" s="151" t="str">
        <f t="shared" si="16"/>
        <v>Large User</v>
      </c>
      <c r="C70" s="141"/>
      <c r="D70" s="152" t="s">
        <v>134</v>
      </c>
      <c r="E70" s="141">
        <f t="shared" si="17"/>
        <v>208319451.41285411</v>
      </c>
      <c r="F70" s="153">
        <v>4.4000000000000003E-3</v>
      </c>
      <c r="G70" s="143">
        <f t="shared" si="15"/>
        <v>916605.58621655812</v>
      </c>
    </row>
    <row r="71" spans="2:14" x14ac:dyDescent="0.2">
      <c r="B71" s="151" t="str">
        <f t="shared" si="16"/>
        <v>Street Lights</v>
      </c>
      <c r="C71" s="141"/>
      <c r="D71" s="152" t="s">
        <v>134</v>
      </c>
      <c r="E71" s="141">
        <f t="shared" si="17"/>
        <v>9925298.3623355031</v>
      </c>
      <c r="F71" s="153">
        <v>4.4000000000000003E-3</v>
      </c>
      <c r="G71" s="143">
        <f t="shared" si="15"/>
        <v>43671.312794276215</v>
      </c>
    </row>
    <row r="72" spans="2:14" x14ac:dyDescent="0.2">
      <c r="B72" s="151" t="str">
        <f t="shared" si="16"/>
        <v xml:space="preserve">Unmetered Loads </v>
      </c>
      <c r="C72" s="141"/>
      <c r="D72" s="152" t="s">
        <v>134</v>
      </c>
      <c r="E72" s="141">
        <f t="shared" si="17"/>
        <v>1807135.8216052689</v>
      </c>
      <c r="F72" s="153">
        <v>4.4000000000000003E-3</v>
      </c>
      <c r="G72" s="143">
        <f t="shared" si="15"/>
        <v>7951.3976150631834</v>
      </c>
    </row>
    <row r="73" spans="2:14" x14ac:dyDescent="0.2">
      <c r="B73" s="151" t="str">
        <f t="shared" si="16"/>
        <v>Embedded Distributors - Hydro One</v>
      </c>
      <c r="C73" s="141"/>
      <c r="D73" s="152" t="s">
        <v>134</v>
      </c>
      <c r="E73" s="141">
        <f t="shared" si="17"/>
        <v>12974325.379306566</v>
      </c>
      <c r="F73" s="153">
        <v>4.4000000000000003E-3</v>
      </c>
      <c r="G73" s="143">
        <f t="shared" si="15"/>
        <v>57087.031668948897</v>
      </c>
    </row>
    <row r="74" spans="2:14" x14ac:dyDescent="0.2">
      <c r="B74" s="137" t="s">
        <v>137</v>
      </c>
      <c r="C74" s="138"/>
      <c r="D74" s="139"/>
      <c r="E74" s="138">
        <f>SUM(E66:E73)</f>
        <v>1469171241.3292856</v>
      </c>
      <c r="F74" s="144"/>
      <c r="G74" s="154">
        <f>SUM(G66:G73)</f>
        <v>6464353.4618488569</v>
      </c>
    </row>
    <row r="76" spans="2:14" x14ac:dyDescent="0.2">
      <c r="B76" s="345" t="s">
        <v>149</v>
      </c>
      <c r="C76" s="346"/>
      <c r="D76" s="352"/>
      <c r="E76" s="348"/>
      <c r="F76" s="349"/>
      <c r="G76" s="346"/>
    </row>
    <row r="77" spans="2:14" x14ac:dyDescent="0.2">
      <c r="B77" s="344" t="s">
        <v>143</v>
      </c>
      <c r="C77" s="356"/>
      <c r="D77" s="353"/>
      <c r="E77" s="453">
        <v>2014</v>
      </c>
      <c r="F77" s="450"/>
      <c r="G77" s="451"/>
    </row>
    <row r="78" spans="2:14" x14ac:dyDescent="0.2">
      <c r="B78" s="151" t="str">
        <f>B66</f>
        <v xml:space="preserve">Residential </v>
      </c>
      <c r="C78" s="141"/>
      <c r="D78" s="152" t="str">
        <f t="shared" ref="D78:E85" si="18">D66</f>
        <v>kWh</v>
      </c>
      <c r="E78" s="141">
        <f>E66</f>
        <v>406568609.12607175</v>
      </c>
      <c r="F78" s="362">
        <v>1.2999999999999999E-3</v>
      </c>
      <c r="G78" s="143">
        <f t="shared" ref="G78:G85" si="19">E78*F78</f>
        <v>528539.1918638933</v>
      </c>
      <c r="I78" s="363" t="s">
        <v>299</v>
      </c>
      <c r="J78" s="363"/>
      <c r="K78" s="363"/>
      <c r="L78" s="363"/>
      <c r="M78" s="363"/>
      <c r="N78" s="363"/>
    </row>
    <row r="79" spans="2:14" x14ac:dyDescent="0.2">
      <c r="B79" s="151" t="str">
        <f t="shared" ref="B79:B85" si="20">B67</f>
        <v>General Service &lt; 50 kW</v>
      </c>
      <c r="C79" s="141"/>
      <c r="D79" s="152" t="str">
        <f t="shared" si="18"/>
        <v>kWh</v>
      </c>
      <c r="E79" s="141">
        <f t="shared" si="18"/>
        <v>157907672.1854884</v>
      </c>
      <c r="F79" s="362">
        <v>1.2999999999999999E-3</v>
      </c>
      <c r="G79" s="143">
        <f t="shared" si="19"/>
        <v>205279.97384113492</v>
      </c>
      <c r="I79" s="363" t="s">
        <v>303</v>
      </c>
      <c r="J79" s="363"/>
      <c r="K79" s="363"/>
      <c r="L79" s="363"/>
      <c r="M79" s="363"/>
      <c r="N79" s="363"/>
    </row>
    <row r="80" spans="2:14" x14ac:dyDescent="0.2">
      <c r="B80" s="151" t="str">
        <f t="shared" si="20"/>
        <v>General Service &gt; 50 to 999 kW</v>
      </c>
      <c r="C80" s="141"/>
      <c r="D80" s="152" t="str">
        <f t="shared" si="18"/>
        <v>kWh</v>
      </c>
      <c r="E80" s="141">
        <f t="shared" si="18"/>
        <v>444002939.76546741</v>
      </c>
      <c r="F80" s="362">
        <v>1.2999999999999999E-3</v>
      </c>
      <c r="G80" s="143">
        <f t="shared" si="19"/>
        <v>577203.82169510762</v>
      </c>
      <c r="I80" t="s">
        <v>301</v>
      </c>
      <c r="J80" t="s">
        <v>301</v>
      </c>
      <c r="K80" t="s">
        <v>301</v>
      </c>
      <c r="L80" t="s">
        <v>301</v>
      </c>
      <c r="M80" t="s">
        <v>301</v>
      </c>
    </row>
    <row r="81" spans="2:7" x14ac:dyDescent="0.2">
      <c r="B81" s="151" t="str">
        <f t="shared" si="20"/>
        <v>General Service &gt; 1000 to 4999 kW</v>
      </c>
      <c r="C81" s="141"/>
      <c r="D81" s="152" t="str">
        <f t="shared" si="18"/>
        <v>kWh</v>
      </c>
      <c r="E81" s="141">
        <f t="shared" si="18"/>
        <v>227665809.27615675</v>
      </c>
      <c r="F81" s="362">
        <v>1.2999999999999999E-3</v>
      </c>
      <c r="G81" s="143">
        <f t="shared" si="19"/>
        <v>295965.55205900379</v>
      </c>
    </row>
    <row r="82" spans="2:7" x14ac:dyDescent="0.2">
      <c r="B82" s="151" t="str">
        <f t="shared" si="20"/>
        <v>Large User</v>
      </c>
      <c r="C82" s="141"/>
      <c r="D82" s="152" t="str">
        <f t="shared" si="18"/>
        <v>kWh</v>
      </c>
      <c r="E82" s="141">
        <f t="shared" si="18"/>
        <v>208319451.41285411</v>
      </c>
      <c r="F82" s="362">
        <v>1.2999999999999999E-3</v>
      </c>
      <c r="G82" s="143">
        <f t="shared" si="19"/>
        <v>270815.28683671035</v>
      </c>
    </row>
    <row r="83" spans="2:7" x14ac:dyDescent="0.2">
      <c r="B83" s="151" t="str">
        <f t="shared" si="20"/>
        <v>Street Lights</v>
      </c>
      <c r="C83" s="141"/>
      <c r="D83" s="152" t="str">
        <f t="shared" si="18"/>
        <v>kWh</v>
      </c>
      <c r="E83" s="141">
        <f t="shared" si="18"/>
        <v>9925298.3623355031</v>
      </c>
      <c r="F83" s="362">
        <v>1.2999999999999999E-3</v>
      </c>
      <c r="G83" s="143">
        <f t="shared" si="19"/>
        <v>12902.887871036153</v>
      </c>
    </row>
    <row r="84" spans="2:7" x14ac:dyDescent="0.2">
      <c r="B84" s="151" t="str">
        <f t="shared" si="20"/>
        <v xml:space="preserve">Unmetered Loads </v>
      </c>
      <c r="C84" s="141"/>
      <c r="D84" s="152" t="str">
        <f t="shared" si="18"/>
        <v>kWh</v>
      </c>
      <c r="E84" s="141">
        <f t="shared" si="18"/>
        <v>1807135.8216052689</v>
      </c>
      <c r="F84" s="362">
        <v>1.2999999999999999E-3</v>
      </c>
      <c r="G84" s="143">
        <f t="shared" si="19"/>
        <v>2349.2765680868492</v>
      </c>
    </row>
    <row r="85" spans="2:7" x14ac:dyDescent="0.2">
      <c r="B85" s="151" t="str">
        <f t="shared" si="20"/>
        <v>Embedded Distributors - Hydro One</v>
      </c>
      <c r="C85" s="141"/>
      <c r="D85" s="152" t="str">
        <f t="shared" si="18"/>
        <v>kWh</v>
      </c>
      <c r="E85" s="141">
        <f t="shared" si="18"/>
        <v>12974325.379306566</v>
      </c>
      <c r="F85" s="362">
        <v>1.2999999999999999E-3</v>
      </c>
      <c r="G85" s="143">
        <f t="shared" si="19"/>
        <v>16866.622993098536</v>
      </c>
    </row>
    <row r="86" spans="2:7" x14ac:dyDescent="0.2">
      <c r="B86" s="137" t="s">
        <v>137</v>
      </c>
      <c r="C86" s="138"/>
      <c r="D86" s="139"/>
      <c r="E86" s="138">
        <f>SUM(E78:E85)</f>
        <v>1469171241.3292856</v>
      </c>
      <c r="F86" s="144"/>
      <c r="G86" s="154">
        <f>SUM(G78:G85)</f>
        <v>1909922.6137280716</v>
      </c>
    </row>
    <row r="88" spans="2:7" x14ac:dyDescent="0.2">
      <c r="B88" s="354"/>
      <c r="C88" s="355">
        <v>2014</v>
      </c>
    </row>
    <row r="89" spans="2:7" x14ac:dyDescent="0.2">
      <c r="B89" s="69"/>
      <c r="C89" s="155"/>
    </row>
    <row r="90" spans="2:7" x14ac:dyDescent="0.2">
      <c r="B90" s="62" t="s">
        <v>150</v>
      </c>
      <c r="C90" s="156">
        <f>G26+G38</f>
        <v>129619924.22527581</v>
      </c>
    </row>
    <row r="91" spans="2:7" x14ac:dyDescent="0.2">
      <c r="B91" s="62" t="s">
        <v>151</v>
      </c>
      <c r="C91" s="157">
        <f>G74</f>
        <v>6464353.4618488569</v>
      </c>
    </row>
    <row r="92" spans="2:7" x14ac:dyDescent="0.2">
      <c r="B92" s="62" t="s">
        <v>152</v>
      </c>
      <c r="C92" s="157">
        <f>G50</f>
        <v>11255919.326623525</v>
      </c>
    </row>
    <row r="93" spans="2:7" x14ac:dyDescent="0.2">
      <c r="B93" s="62" t="s">
        <v>153</v>
      </c>
      <c r="C93" s="157">
        <f>G62</f>
        <v>7281145.9058532584</v>
      </c>
    </row>
    <row r="94" spans="2:7" x14ac:dyDescent="0.2">
      <c r="B94" s="62" t="s">
        <v>154</v>
      </c>
      <c r="C94" s="157">
        <f>G86</f>
        <v>1909922.6137280716</v>
      </c>
    </row>
    <row r="95" spans="2:7" x14ac:dyDescent="0.2">
      <c r="B95" s="62" t="s">
        <v>155</v>
      </c>
      <c r="C95" s="357">
        <v>170662</v>
      </c>
    </row>
    <row r="96" spans="2:7" x14ac:dyDescent="0.2">
      <c r="B96" s="359" t="s">
        <v>296</v>
      </c>
      <c r="C96" s="357">
        <v>480492</v>
      </c>
    </row>
    <row r="97" spans="2:3" x14ac:dyDescent="0.2">
      <c r="B97" s="78" t="s">
        <v>137</v>
      </c>
      <c r="C97" s="138">
        <f>SUM(C90:C96)</f>
        <v>157182419.53332955</v>
      </c>
    </row>
  </sheetData>
  <mergeCells count="11"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5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2013 COP Forecast</vt:lpstr>
      <vt:lpstr>2014 COP Forecast</vt:lpstr>
      <vt:lpstr>2013 COP Forecast JAN 2014</vt:lpstr>
      <vt:lpstr>2014 COP Forecast JAN 2014</vt:lpstr>
      <vt:lpstr>'2013 COP Forecast JAN 2014'!Print_Area</vt:lpstr>
      <vt:lpstr>'2014 COP Forecast JAN 2014'!Print_Area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Grant Brooker</cp:lastModifiedBy>
  <cp:lastPrinted>2014-02-05T15:57:26Z</cp:lastPrinted>
  <dcterms:created xsi:type="dcterms:W3CDTF">2008-02-06T18:24:44Z</dcterms:created>
  <dcterms:modified xsi:type="dcterms:W3CDTF">2014-02-25T13:19:51Z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