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480" yWindow="15" windowWidth="15195" windowHeight="9555" tabRatio="659" activeTab="2"/>
  </bookViews>
  <sheets>
    <sheet name="Graph" sheetId="23" r:id="rId1"/>
    <sheet name="Exibit 3 Tables" sheetId="30" r:id="rId2"/>
    <sheet name="Summary" sheetId="11" r:id="rId3"/>
    <sheet name="Purchased Power Model" sheetId="7" r:id="rId4"/>
    <sheet name="Rate Class Energy Model" sheetId="9" r:id="rId5"/>
    <sheet name="Rate Class Customer Model" sheetId="17" r:id="rId6"/>
    <sheet name="Rate Class Load Model" sheetId="18" r:id="rId7"/>
    <sheet name="CDM Activity" sheetId="26" r:id="rId8"/>
    <sheet name="HDD and CDD" sheetId="27" r:id="rId9"/>
    <sheet name="Weather Analysis " sheetId="32" r:id="rId10"/>
    <sheet name="2013 COP Forecast Feb 2014" sheetId="33" r:id="rId11"/>
    <sheet name="2014 COP Forecast Feb 2014" sheetId="34" r:id="rId12"/>
  </sheets>
  <externalReferences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</externalReferences>
  <definedNames>
    <definedName name="_Order1" hidden="1">255</definedName>
    <definedName name="_Sort" localSheetId="1" hidden="1">[1]Sheet1!$G$40:$K$40</definedName>
    <definedName name="_Sort" localSheetId="9" hidden="1">[2]Sheet1!$G$40:$K$40</definedName>
    <definedName name="_Sort" hidden="1">[3]Sheet1!$G$40:$K$40</definedName>
    <definedName name="CAfile" localSheetId="1">[4]Refs!$B$2</definedName>
    <definedName name="CAfile">[5]Refs!$B$2</definedName>
    <definedName name="CArevReq" localSheetId="1">[4]Refs!$B$6</definedName>
    <definedName name="CArevReq">[5]Refs!$B$6</definedName>
    <definedName name="ClassRange1" localSheetId="1">[4]Refs!$B$3</definedName>
    <definedName name="ClassRange1">[5]Refs!$B$3</definedName>
    <definedName name="ClassRange2" localSheetId="1">[4]Refs!$B$4</definedName>
    <definedName name="ClassRange2">[5]Refs!$B$4</definedName>
    <definedName name="FolderPath" localSheetId="1">[4]Menu!$C$8</definedName>
    <definedName name="FolderPath">[5]Menu!$C$8</definedName>
    <definedName name="NewRevReq" localSheetId="1">[4]Refs!$B$8</definedName>
    <definedName name="NewRevReq">[5]Refs!$B$8</definedName>
    <definedName name="PAGE11" localSheetId="1">#REF!</definedName>
    <definedName name="PAGE11" localSheetId="9">#REF!</definedName>
    <definedName name="PAGE11">#REF!</definedName>
    <definedName name="PAGE2" localSheetId="1">[1]Sheet1!$A$1:$I$40</definedName>
    <definedName name="PAGE2" localSheetId="9">[2]Sheet1!$A$1:$I$40</definedName>
    <definedName name="PAGE2">[3]Sheet1!$A$1:$I$40</definedName>
    <definedName name="PAGE3" localSheetId="1">#REF!</definedName>
    <definedName name="PAGE3" localSheetId="9">#REF!</definedName>
    <definedName name="PAGE3">#REF!</definedName>
    <definedName name="PAGE4" localSheetId="1">#REF!</definedName>
    <definedName name="PAGE4" localSheetId="9">#REF!</definedName>
    <definedName name="PAGE4">#REF!</definedName>
    <definedName name="PAGE7" localSheetId="1">#REF!</definedName>
    <definedName name="PAGE7" localSheetId="9">#REF!</definedName>
    <definedName name="PAGE7">#REF!</definedName>
    <definedName name="PAGE9" localSheetId="1">#REF!</definedName>
    <definedName name="PAGE9" localSheetId="9">#REF!</definedName>
    <definedName name="PAGE9">#REF!</definedName>
    <definedName name="_xlnm.Print_Area" localSheetId="3">'Purchased Power Model'!$A$1:$P$257</definedName>
    <definedName name="_xlnm.Print_Area" localSheetId="5">'Rate Class Customer Model'!$A$1:$L$40</definedName>
    <definedName name="_xlnm.Print_Area" localSheetId="4">'Rate Class Energy Model'!$A$1:$P$82</definedName>
    <definedName name="_xlnm.Print_Area" localSheetId="6">'Rate Class Load Model'!$A$1:$H$37</definedName>
    <definedName name="_xlnm.Print_Titles" localSheetId="3">'Purchased Power Model'!$A:$P,'Purchased Power Model'!$1:$2</definedName>
    <definedName name="RevReqLookupKey" localSheetId="1">[4]Refs!$B$5</definedName>
    <definedName name="RevReqLookupKey">[5]Refs!$B$5</definedName>
    <definedName name="RevReqRange" localSheetId="1">[4]Refs!$B$7</definedName>
    <definedName name="RevReqRange">[5]Refs!$B$7</definedName>
  </definedNames>
  <calcPr calcId="145621"/>
</workbook>
</file>

<file path=xl/calcChain.xml><?xml version="1.0" encoding="utf-8"?>
<calcChain xmlns="http://schemas.openxmlformats.org/spreadsheetml/2006/main">
  <c r="F11" i="26" l="1"/>
  <c r="F10" i="26"/>
  <c r="D85" i="34" l="1"/>
  <c r="D84" i="34"/>
  <c r="D83" i="34"/>
  <c r="D82" i="34"/>
  <c r="D81" i="34"/>
  <c r="D80" i="34"/>
  <c r="D79" i="34"/>
  <c r="D78" i="34"/>
  <c r="D61" i="34"/>
  <c r="D60" i="34"/>
  <c r="D59" i="34"/>
  <c r="D58" i="34"/>
  <c r="D57" i="34"/>
  <c r="D56" i="34"/>
  <c r="D55" i="34"/>
  <c r="D54" i="34"/>
  <c r="F37" i="34"/>
  <c r="D37" i="34"/>
  <c r="F36" i="34"/>
  <c r="D36" i="34"/>
  <c r="F35" i="34"/>
  <c r="D35" i="34"/>
  <c r="J34" i="34"/>
  <c r="F34" i="34"/>
  <c r="D34" i="34"/>
  <c r="F33" i="34"/>
  <c r="D33" i="34"/>
  <c r="F32" i="34"/>
  <c r="D32" i="34"/>
  <c r="F31" i="34"/>
  <c r="D31" i="34"/>
  <c r="D30" i="34"/>
  <c r="F25" i="34"/>
  <c r="F24" i="34"/>
  <c r="F23" i="34"/>
  <c r="F22" i="34"/>
  <c r="F21" i="34"/>
  <c r="F20" i="34"/>
  <c r="F19" i="34"/>
  <c r="B12" i="34"/>
  <c r="B25" i="34" s="1"/>
  <c r="B37" i="34" s="1"/>
  <c r="B49" i="34" s="1"/>
  <c r="B61" i="34" s="1"/>
  <c r="B73" i="34" s="1"/>
  <c r="B85" i="34" s="1"/>
  <c r="L11" i="34"/>
  <c r="K11" i="34"/>
  <c r="J11" i="34"/>
  <c r="B11" i="34"/>
  <c r="B24" i="34" s="1"/>
  <c r="B36" i="34" s="1"/>
  <c r="B48" i="34" s="1"/>
  <c r="B60" i="34" s="1"/>
  <c r="B72" i="34" s="1"/>
  <c r="B84" i="34" s="1"/>
  <c r="L10" i="34"/>
  <c r="K10" i="34"/>
  <c r="J10" i="34"/>
  <c r="B10" i="34"/>
  <c r="B23" i="34" s="1"/>
  <c r="B35" i="34" s="1"/>
  <c r="B47" i="34" s="1"/>
  <c r="B59" i="34" s="1"/>
  <c r="B71" i="34" s="1"/>
  <c r="B83" i="34" s="1"/>
  <c r="L9" i="34"/>
  <c r="K9" i="34"/>
  <c r="J9" i="34"/>
  <c r="B9" i="34"/>
  <c r="B22" i="34" s="1"/>
  <c r="B34" i="34" s="1"/>
  <c r="B46" i="34" s="1"/>
  <c r="B58" i="34" s="1"/>
  <c r="B70" i="34" s="1"/>
  <c r="B82" i="34" s="1"/>
  <c r="L8" i="34"/>
  <c r="K8" i="34"/>
  <c r="J8" i="34"/>
  <c r="B8" i="34"/>
  <c r="B21" i="34" s="1"/>
  <c r="B33" i="34" s="1"/>
  <c r="B45" i="34" s="1"/>
  <c r="B57" i="34" s="1"/>
  <c r="B69" i="34" s="1"/>
  <c r="B81" i="34" s="1"/>
  <c r="L7" i="34"/>
  <c r="K7" i="34"/>
  <c r="J7" i="34"/>
  <c r="B7" i="34"/>
  <c r="B20" i="34" s="1"/>
  <c r="B32" i="34" s="1"/>
  <c r="B44" i="34" s="1"/>
  <c r="B56" i="34" s="1"/>
  <c r="B68" i="34" s="1"/>
  <c r="B80" i="34" s="1"/>
  <c r="L6" i="34"/>
  <c r="K6" i="34"/>
  <c r="I6" i="34" s="1"/>
  <c r="J6" i="34"/>
  <c r="B6" i="34"/>
  <c r="B19" i="34" s="1"/>
  <c r="B31" i="34" s="1"/>
  <c r="B43" i="34" s="1"/>
  <c r="B55" i="34" s="1"/>
  <c r="B67" i="34" s="1"/>
  <c r="B79" i="34" s="1"/>
  <c r="L5" i="34"/>
  <c r="K5" i="34"/>
  <c r="J5" i="34"/>
  <c r="B5" i="34"/>
  <c r="B18" i="34" s="1"/>
  <c r="B30" i="34" s="1"/>
  <c r="B42" i="34" s="1"/>
  <c r="B54" i="34" s="1"/>
  <c r="B66" i="34" s="1"/>
  <c r="B78" i="34" s="1"/>
  <c r="C94" i="33"/>
  <c r="D60" i="33"/>
  <c r="D59" i="33"/>
  <c r="D58" i="33"/>
  <c r="D57" i="33"/>
  <c r="D56" i="33"/>
  <c r="D55" i="33"/>
  <c r="D54" i="33"/>
  <c r="D53" i="33"/>
  <c r="F36" i="33"/>
  <c r="D36" i="33"/>
  <c r="F35" i="33"/>
  <c r="D35" i="33"/>
  <c r="F34" i="33"/>
  <c r="D34" i="33"/>
  <c r="F33" i="33"/>
  <c r="D33" i="33"/>
  <c r="F32" i="33"/>
  <c r="D32" i="33"/>
  <c r="F31" i="33"/>
  <c r="D31" i="33"/>
  <c r="J30" i="33"/>
  <c r="F30" i="33"/>
  <c r="D30" i="33"/>
  <c r="D29" i="33"/>
  <c r="B11" i="33"/>
  <c r="B24" i="33" s="1"/>
  <c r="B36" i="33" s="1"/>
  <c r="B48" i="33" s="1"/>
  <c r="B60" i="33" s="1"/>
  <c r="B72" i="33" s="1"/>
  <c r="B84" i="33" s="1"/>
  <c r="B10" i="33"/>
  <c r="B23" i="33" s="1"/>
  <c r="B35" i="33" s="1"/>
  <c r="B47" i="33" s="1"/>
  <c r="B59" i="33" s="1"/>
  <c r="B71" i="33" s="1"/>
  <c r="B83" i="33" s="1"/>
  <c r="B9" i="33"/>
  <c r="B22" i="33" s="1"/>
  <c r="B34" i="33" s="1"/>
  <c r="B46" i="33" s="1"/>
  <c r="B58" i="33" s="1"/>
  <c r="B70" i="33" s="1"/>
  <c r="B82" i="33" s="1"/>
  <c r="B8" i="33"/>
  <c r="B21" i="33" s="1"/>
  <c r="B33" i="33" s="1"/>
  <c r="B45" i="33" s="1"/>
  <c r="B57" i="33" s="1"/>
  <c r="B69" i="33" s="1"/>
  <c r="B81" i="33" s="1"/>
  <c r="B7" i="33"/>
  <c r="B20" i="33" s="1"/>
  <c r="B32" i="33" s="1"/>
  <c r="B44" i="33" s="1"/>
  <c r="B56" i="33" s="1"/>
  <c r="B68" i="33" s="1"/>
  <c r="B80" i="33" s="1"/>
  <c r="B6" i="33"/>
  <c r="B19" i="33" s="1"/>
  <c r="B31" i="33" s="1"/>
  <c r="B43" i="33" s="1"/>
  <c r="B55" i="33" s="1"/>
  <c r="B67" i="33" s="1"/>
  <c r="B79" i="33" s="1"/>
  <c r="B5" i="33"/>
  <c r="B18" i="33" s="1"/>
  <c r="B30" i="33" s="1"/>
  <c r="B42" i="33" s="1"/>
  <c r="B54" i="33" s="1"/>
  <c r="B66" i="33" s="1"/>
  <c r="B78" i="33" s="1"/>
  <c r="B4" i="33"/>
  <c r="B17" i="33" s="1"/>
  <c r="B29" i="33" s="1"/>
  <c r="B41" i="33" s="1"/>
  <c r="B53" i="33" s="1"/>
  <c r="B65" i="33" s="1"/>
  <c r="B77" i="33" s="1"/>
  <c r="I8" i="34" l="1"/>
  <c r="I11" i="34"/>
  <c r="I10" i="34"/>
  <c r="I5" i="34"/>
  <c r="I9" i="34"/>
  <c r="I7" i="34"/>
  <c r="F9" i="26"/>
  <c r="F8" i="26"/>
  <c r="R8" i="26"/>
  <c r="R7" i="26"/>
  <c r="S7" i="26"/>
  <c r="Q7" i="26"/>
  <c r="D3" i="26"/>
  <c r="E3" i="26" s="1"/>
  <c r="F3" i="26" l="1"/>
  <c r="G3" i="26" s="1"/>
  <c r="H3" i="26" s="1"/>
  <c r="D391" i="30" l="1"/>
  <c r="D392" i="30"/>
  <c r="D393" i="30"/>
  <c r="D385" i="30"/>
  <c r="F378" i="30"/>
  <c r="G378" i="30"/>
  <c r="H378" i="30"/>
  <c r="I378" i="30"/>
  <c r="E378" i="30"/>
  <c r="D378" i="30"/>
  <c r="A379" i="30"/>
  <c r="A380" i="30"/>
  <c r="A378" i="30"/>
  <c r="A377" i="30"/>
  <c r="D374" i="30"/>
  <c r="A373" i="30"/>
  <c r="D369" i="30"/>
  <c r="A369" i="30"/>
  <c r="A368" i="30"/>
  <c r="F363" i="30"/>
  <c r="G363" i="30"/>
  <c r="H363" i="30"/>
  <c r="I363" i="30"/>
  <c r="E363" i="30"/>
  <c r="D359" i="30"/>
  <c r="A363" i="30"/>
  <c r="A359" i="30"/>
  <c r="A364" i="30" s="1"/>
  <c r="A358" i="30"/>
  <c r="A354" i="30"/>
  <c r="D354" i="30"/>
  <c r="K345" i="30"/>
  <c r="D349" i="30"/>
  <c r="D345" i="30"/>
  <c r="J324" i="30"/>
  <c r="E311" i="30"/>
  <c r="F311" i="30"/>
  <c r="H311" i="30"/>
  <c r="E312" i="30"/>
  <c r="F312" i="30"/>
  <c r="H312" i="30"/>
  <c r="E313" i="30"/>
  <c r="F313" i="30"/>
  <c r="H313" i="30"/>
  <c r="F314" i="30"/>
  <c r="H314" i="30"/>
  <c r="F315" i="30"/>
  <c r="H315" i="30"/>
  <c r="F316" i="30"/>
  <c r="H316" i="30"/>
  <c r="D312" i="30"/>
  <c r="D313" i="30"/>
  <c r="D311" i="30"/>
  <c r="L298" i="30"/>
  <c r="L299" i="30"/>
  <c r="L297" i="30"/>
  <c r="D298" i="30"/>
  <c r="E298" i="30"/>
  <c r="F298" i="30"/>
  <c r="G298" i="30"/>
  <c r="H298" i="30"/>
  <c r="I298" i="30"/>
  <c r="D299" i="30"/>
  <c r="E299" i="30"/>
  <c r="F299" i="30"/>
  <c r="G299" i="30"/>
  <c r="H299" i="30"/>
  <c r="I299" i="30"/>
  <c r="D300" i="30"/>
  <c r="E300" i="30"/>
  <c r="F300" i="30"/>
  <c r="H300" i="30"/>
  <c r="I300" i="30"/>
  <c r="D301" i="30"/>
  <c r="E301" i="30"/>
  <c r="F301" i="30"/>
  <c r="H301" i="30"/>
  <c r="I301" i="30"/>
  <c r="D302" i="30"/>
  <c r="E302" i="30"/>
  <c r="F302" i="30"/>
  <c r="H302" i="30"/>
  <c r="I302" i="30"/>
  <c r="I297" i="30"/>
  <c r="E297" i="30"/>
  <c r="F297" i="30"/>
  <c r="G297" i="30"/>
  <c r="H297" i="30"/>
  <c r="D297" i="30"/>
  <c r="L288" i="30"/>
  <c r="L289" i="30"/>
  <c r="J269" i="30"/>
  <c r="J270" i="30"/>
  <c r="K270" i="30"/>
  <c r="J271" i="30"/>
  <c r="K271" i="30"/>
  <c r="L271" i="30"/>
  <c r="K268" i="30"/>
  <c r="L268" i="30"/>
  <c r="M268" i="30"/>
  <c r="J268" i="30"/>
  <c r="B260" i="30"/>
  <c r="G255" i="30"/>
  <c r="H255" i="30"/>
  <c r="I255" i="30"/>
  <c r="J255" i="30"/>
  <c r="K255" i="30"/>
  <c r="L255" i="30"/>
  <c r="D255" i="30"/>
  <c r="E255" i="30"/>
  <c r="F255" i="30"/>
  <c r="O227" i="30"/>
  <c r="P227" i="30"/>
  <c r="Q227" i="30"/>
  <c r="R227" i="30"/>
  <c r="O228" i="30"/>
  <c r="P228" i="30"/>
  <c r="Q228" i="30"/>
  <c r="R228" i="30"/>
  <c r="O229" i="30"/>
  <c r="P229" i="30"/>
  <c r="Q229" i="30"/>
  <c r="R229" i="30"/>
  <c r="T229" i="30"/>
  <c r="O230" i="30"/>
  <c r="P230" i="30"/>
  <c r="Q230" i="30"/>
  <c r="R230" i="30"/>
  <c r="T230" i="30"/>
  <c r="O231" i="30"/>
  <c r="R231" i="30"/>
  <c r="T231" i="30"/>
  <c r="O232" i="30"/>
  <c r="R232" i="30"/>
  <c r="T232" i="30"/>
  <c r="U232" i="30"/>
  <c r="O233" i="30"/>
  <c r="R233" i="30"/>
  <c r="T233" i="30"/>
  <c r="U233" i="30"/>
  <c r="N228" i="30"/>
  <c r="N229" i="30"/>
  <c r="N230" i="30"/>
  <c r="N231" i="30"/>
  <c r="N232" i="30"/>
  <c r="N233" i="30"/>
  <c r="N227" i="30"/>
  <c r="L210" i="30"/>
  <c r="L211" i="30"/>
  <c r="L212" i="30"/>
  <c r="L213" i="30"/>
  <c r="L214" i="30"/>
  <c r="L215" i="30"/>
  <c r="L216" i="30"/>
  <c r="L217" i="30"/>
  <c r="I210" i="30"/>
  <c r="J210" i="30"/>
  <c r="K210" i="30"/>
  <c r="I211" i="30"/>
  <c r="J211" i="30"/>
  <c r="K211" i="30"/>
  <c r="I212" i="30"/>
  <c r="K212" i="30"/>
  <c r="I213" i="30"/>
  <c r="K213" i="30"/>
  <c r="I214" i="30"/>
  <c r="K214" i="30"/>
  <c r="M202" i="30"/>
  <c r="M247" i="30" s="1"/>
  <c r="M280" i="30" s="1"/>
  <c r="M275" i="30" s="1"/>
  <c r="P188" i="30"/>
  <c r="Q188" i="30"/>
  <c r="R188" i="30"/>
  <c r="S188" i="30"/>
  <c r="P189" i="30"/>
  <c r="Q189" i="30"/>
  <c r="R189" i="30"/>
  <c r="S189" i="30"/>
  <c r="P190" i="30"/>
  <c r="Q190" i="30"/>
  <c r="R190" i="30"/>
  <c r="S190" i="30"/>
  <c r="U190" i="30"/>
  <c r="P191" i="30"/>
  <c r="Q191" i="30"/>
  <c r="R191" i="30"/>
  <c r="S191" i="30"/>
  <c r="U191" i="30"/>
  <c r="P192" i="30"/>
  <c r="Q192" i="30"/>
  <c r="R192" i="30"/>
  <c r="S192" i="30"/>
  <c r="U192" i="30"/>
  <c r="P193" i="30"/>
  <c r="Q193" i="30"/>
  <c r="R193" i="30"/>
  <c r="S193" i="30"/>
  <c r="T193" i="30"/>
  <c r="U193" i="30"/>
  <c r="V193" i="30"/>
  <c r="P194" i="30"/>
  <c r="Q194" i="30"/>
  <c r="R194" i="30"/>
  <c r="S194" i="30"/>
  <c r="T194" i="30"/>
  <c r="U194" i="30"/>
  <c r="V194" i="30"/>
  <c r="P195" i="30"/>
  <c r="Q195" i="30"/>
  <c r="R195" i="30"/>
  <c r="S195" i="30"/>
  <c r="T195" i="30"/>
  <c r="V195" i="30"/>
  <c r="T196" i="30"/>
  <c r="W196" i="30"/>
  <c r="T197" i="30"/>
  <c r="W197" i="30"/>
  <c r="T198" i="30"/>
  <c r="W198" i="30"/>
  <c r="O189" i="30"/>
  <c r="O190" i="30"/>
  <c r="O191" i="30"/>
  <c r="O192" i="30"/>
  <c r="O193" i="30"/>
  <c r="O194" i="30"/>
  <c r="O195" i="30"/>
  <c r="O188" i="30"/>
  <c r="J299" i="30" l="1"/>
  <c r="J297" i="30"/>
  <c r="J298" i="30"/>
  <c r="I199" i="30" l="1"/>
  <c r="L199" i="30"/>
  <c r="L180" i="30"/>
  <c r="L181" i="30"/>
  <c r="L182" i="30"/>
  <c r="L179" i="30"/>
  <c r="E171" i="30"/>
  <c r="F171" i="30"/>
  <c r="G171" i="30"/>
  <c r="H171" i="30"/>
  <c r="I171" i="30"/>
  <c r="J171" i="30"/>
  <c r="K171" i="30"/>
  <c r="L171" i="30"/>
  <c r="E172" i="30"/>
  <c r="E188" i="30" s="1"/>
  <c r="F172" i="30"/>
  <c r="F188" i="30" s="1"/>
  <c r="G172" i="30"/>
  <c r="G188" i="30" s="1"/>
  <c r="H172" i="30"/>
  <c r="H188" i="30" s="1"/>
  <c r="I172" i="30"/>
  <c r="J172" i="30"/>
  <c r="K172" i="30"/>
  <c r="L172" i="30"/>
  <c r="E173" i="30"/>
  <c r="E189" i="30" s="1"/>
  <c r="F173" i="30"/>
  <c r="F189" i="30" s="1"/>
  <c r="G173" i="30"/>
  <c r="G189" i="30" s="1"/>
  <c r="H173" i="30"/>
  <c r="H189" i="30" s="1"/>
  <c r="I173" i="30"/>
  <c r="J173" i="30"/>
  <c r="K173" i="30"/>
  <c r="L173" i="30"/>
  <c r="E174" i="30"/>
  <c r="E190" i="30" s="1"/>
  <c r="F174" i="30"/>
  <c r="F190" i="30" s="1"/>
  <c r="G174" i="30"/>
  <c r="G190" i="30" s="1"/>
  <c r="H174" i="30"/>
  <c r="H190" i="30" s="1"/>
  <c r="I174" i="30"/>
  <c r="J174" i="30"/>
  <c r="J190" i="30" s="1"/>
  <c r="K174" i="30"/>
  <c r="L174" i="30"/>
  <c r="E175" i="30"/>
  <c r="E191" i="30" s="1"/>
  <c r="F175" i="30"/>
  <c r="F191" i="30" s="1"/>
  <c r="G175" i="30"/>
  <c r="G191" i="30" s="1"/>
  <c r="H175" i="30"/>
  <c r="H191" i="30" s="1"/>
  <c r="I175" i="30"/>
  <c r="J175" i="30"/>
  <c r="J191" i="30" s="1"/>
  <c r="K175" i="30"/>
  <c r="L175" i="30"/>
  <c r="E176" i="30"/>
  <c r="E192" i="30" s="1"/>
  <c r="F176" i="30"/>
  <c r="F192" i="30" s="1"/>
  <c r="G176" i="30"/>
  <c r="G192" i="30" s="1"/>
  <c r="H176" i="30"/>
  <c r="H192" i="30" s="1"/>
  <c r="I176" i="30"/>
  <c r="J176" i="30"/>
  <c r="J192" i="30" s="1"/>
  <c r="K176" i="30"/>
  <c r="L176" i="30"/>
  <c r="E177" i="30"/>
  <c r="E193" i="30" s="1"/>
  <c r="F177" i="30"/>
  <c r="F193" i="30" s="1"/>
  <c r="G177" i="30"/>
  <c r="G193" i="30" s="1"/>
  <c r="H177" i="30"/>
  <c r="H193" i="30" s="1"/>
  <c r="I177" i="30"/>
  <c r="I193" i="30" s="1"/>
  <c r="J177" i="30"/>
  <c r="J193" i="30" s="1"/>
  <c r="K177" i="30"/>
  <c r="K193" i="30" s="1"/>
  <c r="L177" i="30"/>
  <c r="E178" i="30"/>
  <c r="E194" i="30" s="1"/>
  <c r="F178" i="30"/>
  <c r="F194" i="30" s="1"/>
  <c r="G178" i="30"/>
  <c r="G194" i="30" s="1"/>
  <c r="H178" i="30"/>
  <c r="H194" i="30" s="1"/>
  <c r="I178" i="30"/>
  <c r="I194" i="30" s="1"/>
  <c r="J178" i="30"/>
  <c r="J194" i="30" s="1"/>
  <c r="K178" i="30"/>
  <c r="K194" i="30" s="1"/>
  <c r="L178" i="30"/>
  <c r="E179" i="30"/>
  <c r="E195" i="30" s="1"/>
  <c r="F179" i="30"/>
  <c r="F195" i="30" s="1"/>
  <c r="G179" i="30"/>
  <c r="G195" i="30" s="1"/>
  <c r="H179" i="30"/>
  <c r="H195" i="30" s="1"/>
  <c r="I179" i="30"/>
  <c r="I195" i="30" s="1"/>
  <c r="K179" i="30"/>
  <c r="K195" i="30" s="1"/>
  <c r="I180" i="30"/>
  <c r="I181" i="30"/>
  <c r="I182" i="30"/>
  <c r="D172" i="30"/>
  <c r="D173" i="30"/>
  <c r="D174" i="30"/>
  <c r="D175" i="30"/>
  <c r="D176" i="30"/>
  <c r="D177" i="30"/>
  <c r="D178" i="30"/>
  <c r="D179" i="30"/>
  <c r="D171" i="30"/>
  <c r="A171" i="30"/>
  <c r="A187" i="30" s="1"/>
  <c r="A210" i="30" s="1"/>
  <c r="A226" i="30" s="1"/>
  <c r="A172" i="30"/>
  <c r="A188" i="30" s="1"/>
  <c r="A211" i="30" s="1"/>
  <c r="A227" i="30" s="1"/>
  <c r="A182" i="30"/>
  <c r="A198" i="30" s="1"/>
  <c r="A221" i="30" s="1"/>
  <c r="A237" i="30" s="1"/>
  <c r="A306" i="30" s="1"/>
  <c r="A320" i="30" s="1"/>
  <c r="R29" i="32"/>
  <c r="R30" i="32"/>
  <c r="R31" i="32"/>
  <c r="R32" i="32"/>
  <c r="R33" i="32"/>
  <c r="R34" i="32"/>
  <c r="R35" i="32"/>
  <c r="R36" i="32"/>
  <c r="R41" i="32" s="1"/>
  <c r="R37" i="32"/>
  <c r="R38" i="32"/>
  <c r="R39" i="32"/>
  <c r="R9" i="32"/>
  <c r="R10" i="32"/>
  <c r="R11" i="32"/>
  <c r="R12" i="32"/>
  <c r="R21" i="32" s="1"/>
  <c r="R13" i="32"/>
  <c r="R14" i="32"/>
  <c r="R15" i="32"/>
  <c r="R16" i="32"/>
  <c r="R17" i="32"/>
  <c r="R18" i="32"/>
  <c r="R19" i="32"/>
  <c r="R8" i="32"/>
  <c r="R28" i="32"/>
  <c r="Q29" i="32"/>
  <c r="Q30" i="32"/>
  <c r="Q41" i="32" s="1"/>
  <c r="Q31" i="32"/>
  <c r="Q32" i="32"/>
  <c r="Q33" i="32"/>
  <c r="Q34" i="32"/>
  <c r="Q35" i="32"/>
  <c r="Q36" i="32"/>
  <c r="Q37" i="32"/>
  <c r="Q38" i="32"/>
  <c r="Q39" i="32"/>
  <c r="Q9" i="32"/>
  <c r="Q10" i="32"/>
  <c r="Q11" i="32"/>
  <c r="Q21" i="32" s="1"/>
  <c r="Q12" i="32"/>
  <c r="Q13" i="32"/>
  <c r="Q14" i="32"/>
  <c r="Q15" i="32"/>
  <c r="Q16" i="32"/>
  <c r="Q17" i="32"/>
  <c r="Q18" i="32"/>
  <c r="Q19" i="32"/>
  <c r="Q8" i="32"/>
  <c r="Q28" i="32"/>
  <c r="P29" i="32"/>
  <c r="P30" i="32"/>
  <c r="P31" i="32"/>
  <c r="P41" i="32" s="1"/>
  <c r="P32" i="32"/>
  <c r="P33" i="32"/>
  <c r="P34" i="32"/>
  <c r="P35" i="32"/>
  <c r="P36" i="32"/>
  <c r="P37" i="32"/>
  <c r="P38" i="32"/>
  <c r="P39" i="32"/>
  <c r="P9" i="32"/>
  <c r="P10" i="32"/>
  <c r="P21" i="32" s="1"/>
  <c r="P11" i="32"/>
  <c r="P12" i="32"/>
  <c r="P13" i="32"/>
  <c r="P14" i="32"/>
  <c r="P15" i="32"/>
  <c r="P16" i="32"/>
  <c r="P17" i="32"/>
  <c r="P18" i="32"/>
  <c r="P19" i="32"/>
  <c r="P8" i="32"/>
  <c r="P28" i="32"/>
  <c r="O29" i="32"/>
  <c r="O30" i="32"/>
  <c r="O31" i="32"/>
  <c r="O32" i="32"/>
  <c r="O41" i="32" s="1"/>
  <c r="O33" i="32"/>
  <c r="O34" i="32"/>
  <c r="O35" i="32"/>
  <c r="O36" i="32"/>
  <c r="O37" i="32"/>
  <c r="O38" i="32"/>
  <c r="O39" i="32"/>
  <c r="O9" i="32"/>
  <c r="O10" i="32"/>
  <c r="O21" i="32" s="1"/>
  <c r="O11" i="32"/>
  <c r="O12" i="32"/>
  <c r="O13" i="32"/>
  <c r="O14" i="32"/>
  <c r="O15" i="32"/>
  <c r="O16" i="32"/>
  <c r="O17" i="32"/>
  <c r="O18" i="32"/>
  <c r="O19" i="32"/>
  <c r="O8" i="32"/>
  <c r="O28" i="32"/>
  <c r="N29" i="32"/>
  <c r="N30" i="32"/>
  <c r="N31" i="32"/>
  <c r="N32" i="32"/>
  <c r="N33" i="32"/>
  <c r="N34" i="32"/>
  <c r="N35" i="32"/>
  <c r="N36" i="32"/>
  <c r="N41" i="32" s="1"/>
  <c r="N37" i="32"/>
  <c r="N38" i="32"/>
  <c r="N39" i="32"/>
  <c r="N9" i="32"/>
  <c r="N10" i="32"/>
  <c r="N21" i="32" s="1"/>
  <c r="N11" i="32"/>
  <c r="N12" i="32"/>
  <c r="N13" i="32"/>
  <c r="N14" i="32"/>
  <c r="N15" i="32"/>
  <c r="N16" i="32"/>
  <c r="N17" i="32"/>
  <c r="N18" i="32"/>
  <c r="N19" i="32"/>
  <c r="N28" i="32"/>
  <c r="N8" i="32"/>
  <c r="M29" i="32"/>
  <c r="M30" i="32"/>
  <c r="M31" i="32"/>
  <c r="M41" i="32" s="1"/>
  <c r="M32" i="32"/>
  <c r="M33" i="32"/>
  <c r="M34" i="32"/>
  <c r="M35" i="32"/>
  <c r="M36" i="32"/>
  <c r="M37" i="32"/>
  <c r="M38" i="32"/>
  <c r="M39" i="32"/>
  <c r="M9" i="32"/>
  <c r="M10" i="32"/>
  <c r="M11" i="32"/>
  <c r="M21" i="32" s="1"/>
  <c r="M12" i="32"/>
  <c r="M13" i="32"/>
  <c r="M14" i="32"/>
  <c r="M15" i="32"/>
  <c r="M16" i="32"/>
  <c r="M17" i="32"/>
  <c r="M18" i="32"/>
  <c r="M19" i="32"/>
  <c r="M8" i="32"/>
  <c r="M28" i="32"/>
  <c r="L29" i="32"/>
  <c r="L30" i="32"/>
  <c r="L31" i="32"/>
  <c r="L32" i="32"/>
  <c r="L33" i="32"/>
  <c r="L34" i="32"/>
  <c r="L35" i="32"/>
  <c r="L36" i="32"/>
  <c r="L37" i="32"/>
  <c r="L38" i="32"/>
  <c r="L39" i="32"/>
  <c r="L9" i="32"/>
  <c r="L10" i="32"/>
  <c r="L21" i="32" s="1"/>
  <c r="L11" i="32"/>
  <c r="L12" i="32"/>
  <c r="L13" i="32"/>
  <c r="L14" i="32"/>
  <c r="L15" i="32"/>
  <c r="L16" i="32"/>
  <c r="L17" i="32"/>
  <c r="L18" i="32"/>
  <c r="L19" i="32"/>
  <c r="L8" i="32"/>
  <c r="L28" i="32"/>
  <c r="K29" i="32"/>
  <c r="K30" i="32"/>
  <c r="K31" i="32"/>
  <c r="K32" i="32"/>
  <c r="K33" i="32"/>
  <c r="K34" i="32"/>
  <c r="K35" i="32"/>
  <c r="K36" i="32"/>
  <c r="K37" i="32"/>
  <c r="K38" i="32"/>
  <c r="K39" i="32"/>
  <c r="K9" i="32"/>
  <c r="K10" i="32"/>
  <c r="K11" i="32"/>
  <c r="K12" i="32"/>
  <c r="K13" i="32"/>
  <c r="K14" i="32"/>
  <c r="K15" i="32"/>
  <c r="K16" i="32"/>
  <c r="K17" i="32"/>
  <c r="K18" i="32"/>
  <c r="K19" i="32"/>
  <c r="K8" i="32"/>
  <c r="K28" i="32"/>
  <c r="J29" i="32"/>
  <c r="J30" i="32"/>
  <c r="J31" i="32"/>
  <c r="J32" i="32"/>
  <c r="J33" i="32"/>
  <c r="J34" i="32"/>
  <c r="J35" i="32"/>
  <c r="J36" i="32"/>
  <c r="J41" i="32" s="1"/>
  <c r="J37" i="32"/>
  <c r="J38" i="32"/>
  <c r="J39" i="32"/>
  <c r="J9" i="32"/>
  <c r="J10" i="32"/>
  <c r="J11" i="32"/>
  <c r="J12" i="32"/>
  <c r="J13" i="32"/>
  <c r="J14" i="32"/>
  <c r="J15" i="32"/>
  <c r="J16" i="32"/>
  <c r="J17" i="32"/>
  <c r="J18" i="32"/>
  <c r="J19" i="32"/>
  <c r="J8" i="32"/>
  <c r="J28" i="32"/>
  <c r="I29" i="32"/>
  <c r="I30" i="32"/>
  <c r="I31" i="32"/>
  <c r="I41" i="32" s="1"/>
  <c r="I32" i="32"/>
  <c r="I33" i="32"/>
  <c r="I34" i="32"/>
  <c r="I35" i="32"/>
  <c r="I36" i="32"/>
  <c r="I37" i="32"/>
  <c r="I38" i="32"/>
  <c r="I39" i="32"/>
  <c r="I9" i="32"/>
  <c r="I10" i="32"/>
  <c r="I11" i="32"/>
  <c r="I12" i="32"/>
  <c r="I13" i="32"/>
  <c r="I14" i="32"/>
  <c r="I15" i="32"/>
  <c r="I16" i="32"/>
  <c r="I21" i="32" s="1"/>
  <c r="I17" i="32"/>
  <c r="I18" i="32"/>
  <c r="I19" i="32"/>
  <c r="I8" i="32"/>
  <c r="I28" i="32"/>
  <c r="H29" i="32"/>
  <c r="H30" i="32"/>
  <c r="H31" i="32"/>
  <c r="H32" i="32"/>
  <c r="H33" i="32"/>
  <c r="H34" i="32"/>
  <c r="H35" i="32"/>
  <c r="H36" i="32"/>
  <c r="H37" i="32"/>
  <c r="H38" i="32"/>
  <c r="H39" i="32"/>
  <c r="H9" i="32"/>
  <c r="H10" i="32"/>
  <c r="H11" i="32"/>
  <c r="H21" i="32" s="1"/>
  <c r="H12" i="32"/>
  <c r="H13" i="32"/>
  <c r="H14" i="32"/>
  <c r="H15" i="32"/>
  <c r="H16" i="32"/>
  <c r="H17" i="32"/>
  <c r="H18" i="32"/>
  <c r="H19" i="32"/>
  <c r="H8" i="32"/>
  <c r="H28" i="32"/>
  <c r="G29" i="32"/>
  <c r="G30" i="32"/>
  <c r="G41" i="32" s="1"/>
  <c r="G31" i="32"/>
  <c r="G32" i="32"/>
  <c r="G33" i="32"/>
  <c r="G34" i="32"/>
  <c r="G35" i="32"/>
  <c r="G36" i="32"/>
  <c r="G37" i="32"/>
  <c r="G38" i="32"/>
  <c r="G39" i="32"/>
  <c r="G9" i="32"/>
  <c r="G10" i="32"/>
  <c r="G21" i="32" s="1"/>
  <c r="G11" i="32"/>
  <c r="G12" i="32"/>
  <c r="G13" i="32"/>
  <c r="G14" i="32"/>
  <c r="G15" i="32"/>
  <c r="G16" i="32"/>
  <c r="G17" i="32"/>
  <c r="G18" i="32"/>
  <c r="G19" i="32"/>
  <c r="G8" i="32"/>
  <c r="G28" i="32"/>
  <c r="F29" i="32"/>
  <c r="F30" i="32"/>
  <c r="F31" i="32"/>
  <c r="F32" i="32"/>
  <c r="F33" i="32"/>
  <c r="F34" i="32"/>
  <c r="F35" i="32"/>
  <c r="F36" i="32"/>
  <c r="F37" i="32"/>
  <c r="F38" i="32"/>
  <c r="F39" i="32"/>
  <c r="F9" i="32"/>
  <c r="F10" i="32"/>
  <c r="F11" i="32"/>
  <c r="F12" i="32"/>
  <c r="F13" i="32"/>
  <c r="F14" i="32"/>
  <c r="F15" i="32"/>
  <c r="F16" i="32"/>
  <c r="F21" i="32" s="1"/>
  <c r="F17" i="32"/>
  <c r="F18" i="32"/>
  <c r="F19" i="32"/>
  <c r="F8" i="32"/>
  <c r="F28" i="32"/>
  <c r="E29" i="32"/>
  <c r="E30" i="32"/>
  <c r="E41" i="32" s="1"/>
  <c r="E31" i="32"/>
  <c r="E32" i="32"/>
  <c r="E33" i="32"/>
  <c r="E34" i="32"/>
  <c r="E35" i="32"/>
  <c r="E36" i="32"/>
  <c r="E37" i="32"/>
  <c r="E38" i="32"/>
  <c r="E39" i="32"/>
  <c r="E9" i="32"/>
  <c r="E10" i="32"/>
  <c r="E11" i="32"/>
  <c r="E21" i="32" s="1"/>
  <c r="E12" i="32"/>
  <c r="E13" i="32"/>
  <c r="E14" i="32"/>
  <c r="E15" i="32"/>
  <c r="E16" i="32"/>
  <c r="E17" i="32"/>
  <c r="E18" i="32"/>
  <c r="E19" i="32"/>
  <c r="E8" i="32"/>
  <c r="E28" i="32"/>
  <c r="D29" i="32"/>
  <c r="D30" i="32"/>
  <c r="D31" i="32"/>
  <c r="D32" i="32"/>
  <c r="D33" i="32"/>
  <c r="D34" i="32"/>
  <c r="D35" i="32"/>
  <c r="D36" i="32"/>
  <c r="D37" i="32"/>
  <c r="D38" i="32"/>
  <c r="D39" i="32"/>
  <c r="D9" i="32"/>
  <c r="D10" i="32"/>
  <c r="D21" i="32" s="1"/>
  <c r="D11" i="32"/>
  <c r="D12" i="32"/>
  <c r="D13" i="32"/>
  <c r="D14" i="32"/>
  <c r="D15" i="32"/>
  <c r="D16" i="32"/>
  <c r="D17" i="32"/>
  <c r="D18" i="32"/>
  <c r="D19" i="32"/>
  <c r="D28" i="32"/>
  <c r="D8" i="32"/>
  <c r="E230" i="27"/>
  <c r="D230" i="27"/>
  <c r="E218" i="27"/>
  <c r="D218" i="27"/>
  <c r="E206" i="27"/>
  <c r="D206" i="27"/>
  <c r="E194" i="27"/>
  <c r="D194" i="27"/>
  <c r="E182" i="27"/>
  <c r="D182" i="27"/>
  <c r="E170" i="27"/>
  <c r="D170" i="27"/>
  <c r="E158" i="27"/>
  <c r="D158" i="27"/>
  <c r="E146" i="27"/>
  <c r="D146" i="27"/>
  <c r="E134" i="27"/>
  <c r="D134" i="27"/>
  <c r="E122" i="27"/>
  <c r="D122" i="27"/>
  <c r="E110" i="27"/>
  <c r="D110" i="27"/>
  <c r="E98" i="27"/>
  <c r="D98" i="27"/>
  <c r="E86" i="27"/>
  <c r="D86" i="27"/>
  <c r="E74" i="27"/>
  <c r="D74" i="27"/>
  <c r="E62" i="27"/>
  <c r="D62" i="27"/>
  <c r="E50" i="27"/>
  <c r="D50" i="27"/>
  <c r="C29" i="32"/>
  <c r="C30" i="32"/>
  <c r="C41" i="32" s="1"/>
  <c r="C31" i="32"/>
  <c r="C32" i="32"/>
  <c r="C33" i="32"/>
  <c r="C34" i="32"/>
  <c r="C35" i="32"/>
  <c r="C36" i="32"/>
  <c r="C37" i="32"/>
  <c r="C38" i="32"/>
  <c r="C39" i="32"/>
  <c r="C28" i="32"/>
  <c r="C9" i="32"/>
  <c r="C10" i="32"/>
  <c r="C11" i="32"/>
  <c r="C12" i="32"/>
  <c r="C13" i="32"/>
  <c r="C14" i="32"/>
  <c r="C15" i="32"/>
  <c r="C16" i="32"/>
  <c r="C17" i="32"/>
  <c r="C18" i="32"/>
  <c r="C19" i="32"/>
  <c r="C8" i="32"/>
  <c r="E38" i="27"/>
  <c r="D38" i="27"/>
  <c r="B29" i="32"/>
  <c r="B30" i="32"/>
  <c r="B31" i="32"/>
  <c r="B32" i="32"/>
  <c r="B33" i="32"/>
  <c r="B34" i="32"/>
  <c r="B35" i="32"/>
  <c r="B36" i="32"/>
  <c r="B37" i="32"/>
  <c r="B38" i="32"/>
  <c r="B39" i="32"/>
  <c r="B28" i="32"/>
  <c r="B9" i="32"/>
  <c r="B21" i="32" s="1"/>
  <c r="B10" i="32"/>
  <c r="B11" i="32"/>
  <c r="B12" i="32"/>
  <c r="B13" i="32"/>
  <c r="B14" i="32"/>
  <c r="B15" i="32"/>
  <c r="B16" i="32"/>
  <c r="B17" i="32"/>
  <c r="B18" i="32"/>
  <c r="B19" i="32"/>
  <c r="B8" i="32"/>
  <c r="U5" i="32"/>
  <c r="F41" i="32"/>
  <c r="D41" i="32"/>
  <c r="K21" i="32"/>
  <c r="J21" i="32"/>
  <c r="C21" i="32"/>
  <c r="P5" i="32"/>
  <c r="O5" i="32"/>
  <c r="N5" i="32"/>
  <c r="M5" i="32"/>
  <c r="L5" i="32"/>
  <c r="K5" i="32"/>
  <c r="J5" i="32"/>
  <c r="C171" i="7"/>
  <c r="N122" i="7"/>
  <c r="N121" i="7"/>
  <c r="N120" i="7"/>
  <c r="N119" i="7"/>
  <c r="N118" i="7"/>
  <c r="N117" i="7"/>
  <c r="N116" i="7"/>
  <c r="N115" i="7"/>
  <c r="N114" i="7"/>
  <c r="N113" i="7"/>
  <c r="N112" i="7"/>
  <c r="N111" i="7"/>
  <c r="N110" i="7"/>
  <c r="N109" i="7"/>
  <c r="N108" i="7"/>
  <c r="N107" i="7"/>
  <c r="N106" i="7"/>
  <c r="N105" i="7"/>
  <c r="N104" i="7"/>
  <c r="N103" i="7"/>
  <c r="N102" i="7"/>
  <c r="N101" i="7"/>
  <c r="N100" i="7"/>
  <c r="N99" i="7"/>
  <c r="N98" i="7"/>
  <c r="N97" i="7"/>
  <c r="N96" i="7"/>
  <c r="N95" i="7"/>
  <c r="N94" i="7"/>
  <c r="N93" i="7"/>
  <c r="N92" i="7"/>
  <c r="N91" i="7"/>
  <c r="N90" i="7"/>
  <c r="N89" i="7"/>
  <c r="N88" i="7"/>
  <c r="N87" i="7"/>
  <c r="N86" i="7"/>
  <c r="N85" i="7"/>
  <c r="N84" i="7"/>
  <c r="N83" i="7"/>
  <c r="N82" i="7"/>
  <c r="N81" i="7"/>
  <c r="N80" i="7"/>
  <c r="N79" i="7"/>
  <c r="N78" i="7"/>
  <c r="N77" i="7"/>
  <c r="N76" i="7"/>
  <c r="N75" i="7"/>
  <c r="N74" i="7"/>
  <c r="N73" i="7"/>
  <c r="N72" i="7"/>
  <c r="N71" i="7"/>
  <c r="N70" i="7"/>
  <c r="N69" i="7"/>
  <c r="N68" i="7"/>
  <c r="N67" i="7"/>
  <c r="N66" i="7"/>
  <c r="N65" i="7"/>
  <c r="N64" i="7"/>
  <c r="N63" i="7"/>
  <c r="N62" i="7"/>
  <c r="N61" i="7"/>
  <c r="N60" i="7"/>
  <c r="N59" i="7"/>
  <c r="N58" i="7"/>
  <c r="N57" i="7"/>
  <c r="N56" i="7"/>
  <c r="N55" i="7"/>
  <c r="N54" i="7"/>
  <c r="N53" i="7"/>
  <c r="N52" i="7"/>
  <c r="N51" i="7"/>
  <c r="N50" i="7"/>
  <c r="N49" i="7"/>
  <c r="N48" i="7"/>
  <c r="N47" i="7"/>
  <c r="N46" i="7"/>
  <c r="N45" i="7"/>
  <c r="N44" i="7"/>
  <c r="N43" i="7"/>
  <c r="N42" i="7"/>
  <c r="N41" i="7"/>
  <c r="N40" i="7"/>
  <c r="N39" i="7"/>
  <c r="O39" i="7" s="1"/>
  <c r="P39" i="7" s="1"/>
  <c r="Q39" i="7" s="1"/>
  <c r="N38" i="7"/>
  <c r="O38" i="7" s="1"/>
  <c r="P38" i="7" s="1"/>
  <c r="Q38" i="7" s="1"/>
  <c r="N37" i="7"/>
  <c r="O37" i="7" s="1"/>
  <c r="P37" i="7" s="1"/>
  <c r="Q37" i="7" s="1"/>
  <c r="N36" i="7"/>
  <c r="O36" i="7" s="1"/>
  <c r="P36" i="7" s="1"/>
  <c r="Q36" i="7" s="1"/>
  <c r="N35" i="7"/>
  <c r="O35" i="7" s="1"/>
  <c r="P35" i="7" s="1"/>
  <c r="Q35" i="7" s="1"/>
  <c r="N34" i="7"/>
  <c r="O34" i="7" s="1"/>
  <c r="P34" i="7" s="1"/>
  <c r="Q34" i="7" s="1"/>
  <c r="N33" i="7"/>
  <c r="O33" i="7" s="1"/>
  <c r="P33" i="7" s="1"/>
  <c r="Q33" i="7" s="1"/>
  <c r="N32" i="7"/>
  <c r="O32" i="7" s="1"/>
  <c r="P32" i="7" s="1"/>
  <c r="Q32" i="7" s="1"/>
  <c r="N31" i="7"/>
  <c r="O31" i="7" s="1"/>
  <c r="P31" i="7" s="1"/>
  <c r="Q31" i="7" s="1"/>
  <c r="N30" i="7"/>
  <c r="O30" i="7" s="1"/>
  <c r="P30" i="7" s="1"/>
  <c r="Q30" i="7" s="1"/>
  <c r="N29" i="7"/>
  <c r="O29" i="7" s="1"/>
  <c r="P29" i="7" s="1"/>
  <c r="Q29" i="7" s="1"/>
  <c r="N28" i="7"/>
  <c r="O28" i="7" s="1"/>
  <c r="P28" i="7" s="1"/>
  <c r="Q28" i="7" s="1"/>
  <c r="N27" i="7"/>
  <c r="O27" i="7" s="1"/>
  <c r="P27" i="7" s="1"/>
  <c r="Q27" i="7" s="1"/>
  <c r="N26" i="7"/>
  <c r="O26" i="7" s="1"/>
  <c r="P26" i="7" s="1"/>
  <c r="Q26" i="7" s="1"/>
  <c r="N25" i="7"/>
  <c r="O25" i="7" s="1"/>
  <c r="P25" i="7" s="1"/>
  <c r="Q25" i="7" s="1"/>
  <c r="N24" i="7"/>
  <c r="O24" i="7" s="1"/>
  <c r="P24" i="7" s="1"/>
  <c r="Q24" i="7" s="1"/>
  <c r="N23" i="7"/>
  <c r="O23" i="7" s="1"/>
  <c r="P23" i="7" s="1"/>
  <c r="Q23" i="7" s="1"/>
  <c r="N22" i="7"/>
  <c r="O22" i="7" s="1"/>
  <c r="P22" i="7" s="1"/>
  <c r="Q22" i="7" s="1"/>
  <c r="N21" i="7"/>
  <c r="O21" i="7" s="1"/>
  <c r="P21" i="7" s="1"/>
  <c r="Q21" i="7" s="1"/>
  <c r="N20" i="7"/>
  <c r="O20" i="7" s="1"/>
  <c r="P20" i="7" s="1"/>
  <c r="Q20" i="7" s="1"/>
  <c r="N19" i="7"/>
  <c r="O19" i="7" s="1"/>
  <c r="P19" i="7" s="1"/>
  <c r="Q19" i="7" s="1"/>
  <c r="N18" i="7"/>
  <c r="O18" i="7" s="1"/>
  <c r="P18" i="7" s="1"/>
  <c r="Q18" i="7" s="1"/>
  <c r="N17" i="7"/>
  <c r="O17" i="7" s="1"/>
  <c r="P17" i="7" s="1"/>
  <c r="Q17" i="7" s="1"/>
  <c r="N16" i="7"/>
  <c r="O16" i="7" s="1"/>
  <c r="P16" i="7" s="1"/>
  <c r="Q16" i="7" s="1"/>
  <c r="N15" i="7"/>
  <c r="O15" i="7" s="1"/>
  <c r="P15" i="7" s="1"/>
  <c r="Q15" i="7" s="1"/>
  <c r="N14" i="7"/>
  <c r="O14" i="7" s="1"/>
  <c r="P14" i="7" s="1"/>
  <c r="Q14" i="7" s="1"/>
  <c r="N13" i="7"/>
  <c r="O13" i="7" s="1"/>
  <c r="P13" i="7" s="1"/>
  <c r="Q13" i="7" s="1"/>
  <c r="N12" i="7"/>
  <c r="O12" i="7" s="1"/>
  <c r="P12" i="7" s="1"/>
  <c r="Q12" i="7" s="1"/>
  <c r="N11" i="7"/>
  <c r="O11" i="7" s="1"/>
  <c r="P11" i="7" s="1"/>
  <c r="Q11" i="7" s="1"/>
  <c r="N10" i="7"/>
  <c r="O10" i="7" s="1"/>
  <c r="P10" i="7" s="1"/>
  <c r="Q10" i="7" s="1"/>
  <c r="N9" i="7"/>
  <c r="O9" i="7" s="1"/>
  <c r="P9" i="7" s="1"/>
  <c r="Q9" i="7" s="1"/>
  <c r="N8" i="7"/>
  <c r="O8" i="7" s="1"/>
  <c r="P8" i="7" s="1"/>
  <c r="Q8" i="7" s="1"/>
  <c r="N7" i="7"/>
  <c r="O7" i="7" s="1"/>
  <c r="P7" i="7" s="1"/>
  <c r="Q7" i="7" s="1"/>
  <c r="N6" i="7"/>
  <c r="O6" i="7" s="1"/>
  <c r="P6" i="7" s="1"/>
  <c r="Q6" i="7" s="1"/>
  <c r="N5" i="7"/>
  <c r="O5" i="7" s="1"/>
  <c r="P5" i="7" s="1"/>
  <c r="Q5" i="7" s="1"/>
  <c r="N4" i="7"/>
  <c r="O4" i="7" s="1"/>
  <c r="P4" i="7" s="1"/>
  <c r="Q4" i="7" s="1"/>
  <c r="N3" i="7"/>
  <c r="O3" i="7" s="1"/>
  <c r="P3" i="7" s="1"/>
  <c r="Q3" i="7" s="1"/>
  <c r="A129" i="30"/>
  <c r="A130" i="30"/>
  <c r="A131" i="30"/>
  <c r="A132" i="30"/>
  <c r="A133" i="30"/>
  <c r="A134" i="30"/>
  <c r="A135" i="30"/>
  <c r="D128" i="30"/>
  <c r="D129" i="30"/>
  <c r="D130" i="30"/>
  <c r="D131" i="30"/>
  <c r="D132" i="30"/>
  <c r="D133" i="30"/>
  <c r="D134" i="30"/>
  <c r="D135" i="30"/>
  <c r="D136" i="30"/>
  <c r="A136" i="30"/>
  <c r="A128" i="30"/>
  <c r="D124" i="30"/>
  <c r="D123" i="30"/>
  <c r="D122" i="30"/>
  <c r="G116" i="30"/>
  <c r="J119" i="30" s="1"/>
  <c r="M119" i="30" s="1"/>
  <c r="N121" i="30"/>
  <c r="N116" i="30"/>
  <c r="H118" i="30"/>
  <c r="J124" i="30" s="1"/>
  <c r="G118" i="30"/>
  <c r="J123" i="30" s="1"/>
  <c r="F118" i="30"/>
  <c r="J122" i="30" s="1"/>
  <c r="E118" i="30"/>
  <c r="J121" i="30" s="1"/>
  <c r="D118" i="30"/>
  <c r="J120" i="30" s="1"/>
  <c r="M120" i="30" s="1"/>
  <c r="F116" i="30"/>
  <c r="J118" i="30" s="1"/>
  <c r="M118" i="30" s="1"/>
  <c r="E116" i="30"/>
  <c r="J117" i="30" s="1"/>
  <c r="M117" i="30" s="1"/>
  <c r="D116" i="30"/>
  <c r="J116" i="30" s="1"/>
  <c r="M116" i="30" s="1"/>
  <c r="D113" i="30"/>
  <c r="E111" i="30"/>
  <c r="K122" i="30" s="1"/>
  <c r="F111" i="30"/>
  <c r="K123" i="30" s="1"/>
  <c r="G111" i="30"/>
  <c r="K124" i="30" s="1"/>
  <c r="D111" i="30"/>
  <c r="K121" i="30" s="1"/>
  <c r="D107" i="30"/>
  <c r="L197" i="30" l="1"/>
  <c r="I204" i="30"/>
  <c r="I205" i="30" s="1"/>
  <c r="D192" i="30"/>
  <c r="M177" i="30"/>
  <c r="M173" i="30"/>
  <c r="D195" i="30"/>
  <c r="D191" i="30"/>
  <c r="L196" i="30"/>
  <c r="D194" i="30"/>
  <c r="D190" i="30"/>
  <c r="D188" i="30"/>
  <c r="I196" i="30"/>
  <c r="L204" i="30"/>
  <c r="L205" i="30" s="1"/>
  <c r="D193" i="30"/>
  <c r="D189" i="30"/>
  <c r="I198" i="30"/>
  <c r="I197" i="30"/>
  <c r="L198" i="30"/>
  <c r="M171" i="30"/>
  <c r="M175" i="30"/>
  <c r="M178" i="30"/>
  <c r="M174" i="30"/>
  <c r="M176" i="30"/>
  <c r="M172" i="30"/>
  <c r="L41" i="32"/>
  <c r="K41" i="32"/>
  <c r="H41" i="32"/>
  <c r="B41" i="32"/>
  <c r="O116" i="30"/>
  <c r="M121" i="30"/>
  <c r="O121" i="30" s="1"/>
  <c r="A77" i="30" l="1"/>
  <c r="A78" i="30"/>
  <c r="A79" i="30"/>
  <c r="A98" i="30" s="1"/>
  <c r="A80" i="30"/>
  <c r="A99" i="30" s="1"/>
  <c r="A81" i="30"/>
  <c r="A100" i="30" s="1"/>
  <c r="A82" i="30"/>
  <c r="A101" i="30" s="1"/>
  <c r="D6" i="30"/>
  <c r="I11" i="11"/>
  <c r="H11" i="11"/>
  <c r="G11" i="11"/>
  <c r="F11" i="11"/>
  <c r="F12" i="11" s="1"/>
  <c r="E11" i="11"/>
  <c r="E12" i="11" s="1"/>
  <c r="D11" i="11"/>
  <c r="D12" i="11" s="1"/>
  <c r="C11" i="11"/>
  <c r="C12" i="11" s="1"/>
  <c r="B12" i="11"/>
  <c r="B11" i="11"/>
  <c r="F10" i="11"/>
  <c r="E10" i="11"/>
  <c r="D10" i="11"/>
  <c r="C10" i="11"/>
  <c r="B10" i="11"/>
  <c r="O53" i="11" l="1"/>
  <c r="N53" i="11"/>
  <c r="M53" i="11"/>
  <c r="L53" i="11"/>
  <c r="K53" i="11"/>
  <c r="J53" i="11"/>
  <c r="L6" i="17"/>
  <c r="L7" i="17"/>
  <c r="L8" i="17"/>
  <c r="L9" i="17"/>
  <c r="L10" i="17"/>
  <c r="L11" i="17"/>
  <c r="L12" i="17"/>
  <c r="L5" i="17"/>
  <c r="K5" i="17"/>
  <c r="K6" i="17"/>
  <c r="K7" i="17"/>
  <c r="K8" i="17"/>
  <c r="K9" i="17"/>
  <c r="K10" i="17"/>
  <c r="K11" i="17"/>
  <c r="K12" i="17"/>
  <c r="L49" i="30"/>
  <c r="L50" i="30"/>
  <c r="L51" i="30"/>
  <c r="L52" i="30"/>
  <c r="L53" i="30"/>
  <c r="L54" i="30"/>
  <c r="L55" i="30"/>
  <c r="L48" i="30"/>
  <c r="M46" i="30"/>
  <c r="L34" i="30"/>
  <c r="L35" i="30"/>
  <c r="L36" i="30"/>
  <c r="L30" i="30"/>
  <c r="L31" i="30"/>
  <c r="L32" i="30"/>
  <c r="L33" i="30"/>
  <c r="L29" i="30"/>
  <c r="A39" i="30"/>
  <c r="A58" i="30" s="1"/>
  <c r="A40" i="30"/>
  <c r="A59" i="30" s="1"/>
  <c r="A41" i="30"/>
  <c r="A60" i="30" s="1"/>
  <c r="A42" i="30"/>
  <c r="A61" i="30" s="1"/>
  <c r="L27" i="30"/>
  <c r="K27" i="30"/>
  <c r="J27" i="30"/>
  <c r="H27" i="30"/>
  <c r="G27" i="30"/>
  <c r="F27" i="30"/>
  <c r="D350" i="30" s="1"/>
  <c r="E27" i="30"/>
  <c r="D27" i="30"/>
  <c r="D342" i="30" s="1"/>
  <c r="L24" i="30"/>
  <c r="L64" i="30" s="1"/>
  <c r="L169" i="30" s="1"/>
  <c r="D109" i="30"/>
  <c r="A374" i="30"/>
  <c r="D341" i="30"/>
  <c r="D383" i="30" s="1"/>
  <c r="A286" i="30"/>
  <c r="A289" i="30" s="1"/>
  <c r="A285" i="30"/>
  <c r="A288" i="30" s="1"/>
  <c r="A238" i="30"/>
  <c r="A181" i="30"/>
  <c r="A180" i="30"/>
  <c r="A196" i="30" s="1"/>
  <c r="A219" i="30" s="1"/>
  <c r="A235" i="30" s="1"/>
  <c r="A304" i="30" s="1"/>
  <c r="A318" i="30" s="1"/>
  <c r="A179" i="30"/>
  <c r="A195" i="30" s="1"/>
  <c r="A218" i="30" s="1"/>
  <c r="A234" i="30" s="1"/>
  <c r="A303" i="30" s="1"/>
  <c r="A317" i="30" s="1"/>
  <c r="A178" i="30"/>
  <c r="A194" i="30" s="1"/>
  <c r="A217" i="30" s="1"/>
  <c r="A233" i="30" s="1"/>
  <c r="A302" i="30" s="1"/>
  <c r="A316" i="30" s="1"/>
  <c r="A177" i="30"/>
  <c r="A193" i="30" s="1"/>
  <c r="A216" i="30" s="1"/>
  <c r="A232" i="30" s="1"/>
  <c r="A301" i="30" s="1"/>
  <c r="A315" i="30" s="1"/>
  <c r="A176" i="30"/>
  <c r="A192" i="30" s="1"/>
  <c r="A215" i="30" s="1"/>
  <c r="A231" i="30" s="1"/>
  <c r="A300" i="30" s="1"/>
  <c r="A314" i="30" s="1"/>
  <c r="A175" i="30"/>
  <c r="A191" i="30" s="1"/>
  <c r="A214" i="30" s="1"/>
  <c r="A230" i="30" s="1"/>
  <c r="A299" i="30" s="1"/>
  <c r="A313" i="30" s="1"/>
  <c r="A174" i="30"/>
  <c r="A190" i="30" s="1"/>
  <c r="A213" i="30" s="1"/>
  <c r="A229" i="30" s="1"/>
  <c r="A298" i="30" s="1"/>
  <c r="A312" i="30" s="1"/>
  <c r="A173" i="30"/>
  <c r="A189" i="30" s="1"/>
  <c r="A212" i="30" s="1"/>
  <c r="A228" i="30" s="1"/>
  <c r="A297" i="30" s="1"/>
  <c r="A311" i="30" s="1"/>
  <c r="A97" i="30"/>
  <c r="A96" i="30"/>
  <c r="A76" i="30"/>
  <c r="A95" i="30" s="1"/>
  <c r="A75" i="30"/>
  <c r="A94" i="30" s="1"/>
  <c r="A74" i="30"/>
  <c r="A93" i="30" s="1"/>
  <c r="A73" i="30"/>
  <c r="A92" i="30" s="1"/>
  <c r="A72" i="30"/>
  <c r="A91" i="30" s="1"/>
  <c r="A71" i="30"/>
  <c r="A90" i="30" s="1"/>
  <c r="A70" i="30"/>
  <c r="A89" i="30" s="1"/>
  <c r="A69" i="30"/>
  <c r="A88" i="30" s="1"/>
  <c r="A38" i="30"/>
  <c r="A57" i="30" s="1"/>
  <c r="A37" i="30"/>
  <c r="A56" i="30" s="1"/>
  <c r="A36" i="30"/>
  <c r="A55" i="30" s="1"/>
  <c r="A35" i="30"/>
  <c r="A54" i="30" s="1"/>
  <c r="A34" i="30"/>
  <c r="A53" i="30" s="1"/>
  <c r="A33" i="30"/>
  <c r="A52" i="30" s="1"/>
  <c r="A32" i="30"/>
  <c r="A51" i="30" s="1"/>
  <c r="A31" i="30"/>
  <c r="A50" i="30" s="1"/>
  <c r="A30" i="30"/>
  <c r="A49" i="30" s="1"/>
  <c r="A29" i="30"/>
  <c r="A48" i="30" s="1"/>
  <c r="A27" i="30"/>
  <c r="A46" i="30" s="1"/>
  <c r="A67" i="30" s="1"/>
  <c r="G67" i="30" l="1"/>
  <c r="D355" i="30"/>
  <c r="L67" i="30"/>
  <c r="D379" i="30"/>
  <c r="H67" i="30"/>
  <c r="D360" i="30"/>
  <c r="E67" i="30"/>
  <c r="D346" i="30"/>
  <c r="D384" i="30" s="1"/>
  <c r="J67" i="30"/>
  <c r="D370" i="30"/>
  <c r="K67" i="30"/>
  <c r="D375" i="30"/>
  <c r="A197" i="30"/>
  <c r="A220" i="30" s="1"/>
  <c r="A236" i="30" s="1"/>
  <c r="A305" i="30" s="1"/>
  <c r="A319" i="30" s="1"/>
  <c r="L185" i="30"/>
  <c r="L202" i="30"/>
  <c r="L208" i="30" s="1"/>
  <c r="L224" i="30" s="1"/>
  <c r="L241" i="30" s="1"/>
  <c r="L247" i="30" s="1"/>
  <c r="L253" i="30" s="1"/>
  <c r="L280" i="30" s="1"/>
  <c r="F67" i="30"/>
  <c r="M27" i="30"/>
  <c r="D67" i="30"/>
  <c r="L275" i="30" l="1"/>
  <c r="I295" i="30"/>
  <c r="H111" i="30"/>
  <c r="I309" i="30" l="1"/>
  <c r="I324" i="30"/>
  <c r="B194" i="7"/>
  <c r="B193" i="7"/>
  <c r="B192" i="7"/>
  <c r="B191" i="7"/>
  <c r="B190" i="7"/>
  <c r="B189" i="7"/>
  <c r="B188" i="7"/>
  <c r="B187" i="7"/>
  <c r="B186" i="7"/>
  <c r="B184" i="7"/>
  <c r="B185" i="7"/>
  <c r="B183" i="7"/>
  <c r="B206" i="7" l="1"/>
  <c r="B205" i="7"/>
  <c r="B204" i="7"/>
  <c r="B203" i="7"/>
  <c r="B202" i="7"/>
  <c r="B201" i="7"/>
  <c r="B200" i="7"/>
  <c r="B199" i="7"/>
  <c r="B198" i="7"/>
  <c r="B197" i="7"/>
  <c r="B250" i="7" s="1"/>
  <c r="B196" i="7"/>
  <c r="B195" i="7"/>
  <c r="D160" i="30" l="1"/>
  <c r="B22" i="23"/>
  <c r="G6" i="17" l="1"/>
  <c r="G7" i="17"/>
  <c r="G8" i="17"/>
  <c r="G9" i="17"/>
  <c r="G5" i="17"/>
  <c r="F62" i="17"/>
  <c r="F61" i="17"/>
  <c r="G29" i="17" l="1"/>
  <c r="B41" i="11"/>
  <c r="C41" i="11"/>
  <c r="D41" i="11"/>
  <c r="E41" i="11"/>
  <c r="F41" i="11"/>
  <c r="B39" i="11"/>
  <c r="I48" i="30" s="1"/>
  <c r="C39" i="11"/>
  <c r="I49" i="30" s="1"/>
  <c r="D39" i="11"/>
  <c r="I50" i="30" s="1"/>
  <c r="E39" i="11"/>
  <c r="I51" i="30" s="1"/>
  <c r="F39" i="11"/>
  <c r="I52" i="30" s="1"/>
  <c r="G39" i="11"/>
  <c r="I53" i="30" s="1"/>
  <c r="B40" i="11"/>
  <c r="I29" i="30" s="1"/>
  <c r="C40" i="11"/>
  <c r="I30" i="30" s="1"/>
  <c r="D40" i="11"/>
  <c r="I31" i="30" s="1"/>
  <c r="E40" i="11"/>
  <c r="I32" i="30" s="1"/>
  <c r="F40" i="11"/>
  <c r="I33" i="30" s="1"/>
  <c r="H39" i="11"/>
  <c r="I54" i="30" s="1"/>
  <c r="I39" i="11"/>
  <c r="I55" i="30" s="1"/>
  <c r="J39" i="11"/>
  <c r="I56" i="30" s="1"/>
  <c r="K39" i="11"/>
  <c r="I57" i="30" s="1"/>
  <c r="L39" i="11"/>
  <c r="I58" i="30" s="1"/>
  <c r="M39" i="11"/>
  <c r="N39" i="11"/>
  <c r="I60" i="30" s="1"/>
  <c r="A38" i="11"/>
  <c r="G30" i="17"/>
  <c r="G31" i="17"/>
  <c r="G32" i="17"/>
  <c r="G33" i="17"/>
  <c r="G34" i="17"/>
  <c r="M38" i="9"/>
  <c r="L23" i="9"/>
  <c r="L22" i="9"/>
  <c r="K22" i="9"/>
  <c r="K21" i="9"/>
  <c r="K20" i="9"/>
  <c r="K19" i="9"/>
  <c r="K18" i="9"/>
  <c r="K17" i="9"/>
  <c r="J23" i="9"/>
  <c r="J22" i="9"/>
  <c r="J21" i="9"/>
  <c r="J20" i="9"/>
  <c r="J19" i="9"/>
  <c r="J18" i="9"/>
  <c r="J17" i="9"/>
  <c r="M23" i="9"/>
  <c r="M45" i="9" s="1"/>
  <c r="M22" i="9"/>
  <c r="M44" i="9" s="1"/>
  <c r="M21" i="9"/>
  <c r="M43" i="9" s="1"/>
  <c r="M20" i="9"/>
  <c r="J40" i="11" s="1"/>
  <c r="I37" i="30" s="1"/>
  <c r="M19" i="9"/>
  <c r="I40" i="11" s="1"/>
  <c r="I36" i="30" s="1"/>
  <c r="I76" i="30" s="1"/>
  <c r="I217" i="30" s="1"/>
  <c r="M18" i="9"/>
  <c r="H40" i="11" s="1"/>
  <c r="I35" i="30" s="1"/>
  <c r="M17" i="9"/>
  <c r="M39" i="9" s="1"/>
  <c r="E15" i="18"/>
  <c r="G306" i="30" s="1"/>
  <c r="E14" i="18"/>
  <c r="G305" i="30" s="1"/>
  <c r="E13" i="18"/>
  <c r="G304" i="30" s="1"/>
  <c r="E12" i="18"/>
  <c r="E11" i="18"/>
  <c r="E10" i="18"/>
  <c r="E9" i="18"/>
  <c r="G300" i="30" s="1"/>
  <c r="J300" i="30" s="1"/>
  <c r="M62" i="9" l="1"/>
  <c r="S237" i="30" s="1"/>
  <c r="J41" i="11"/>
  <c r="G303" i="30"/>
  <c r="H41" i="11"/>
  <c r="G301" i="30"/>
  <c r="J301" i="30" s="1"/>
  <c r="I41" i="11"/>
  <c r="G302" i="30"/>
  <c r="J302" i="30" s="1"/>
  <c r="I75" i="30"/>
  <c r="I216" i="30" s="1"/>
  <c r="I77" i="30"/>
  <c r="I59" i="30"/>
  <c r="T48" i="30"/>
  <c r="I24" i="30"/>
  <c r="E31" i="18"/>
  <c r="G318" i="30" s="1"/>
  <c r="E33" i="18"/>
  <c r="G320" i="30" s="1"/>
  <c r="E27" i="18"/>
  <c r="G314" i="30" s="1"/>
  <c r="E32" i="18"/>
  <c r="G319" i="30" s="1"/>
  <c r="G40" i="11"/>
  <c r="I34" i="30" s="1"/>
  <c r="I74" i="30" s="1"/>
  <c r="I215" i="30" s="1"/>
  <c r="L41" i="11"/>
  <c r="F365" i="30" s="1"/>
  <c r="K41" i="11"/>
  <c r="E365" i="30" s="1"/>
  <c r="G41" i="11"/>
  <c r="M42" i="9"/>
  <c r="M60" i="9" s="1"/>
  <c r="S235" i="30" s="1"/>
  <c r="M40" i="11"/>
  <c r="M40" i="9"/>
  <c r="M57" i="9" s="1"/>
  <c r="S232" i="30" s="1"/>
  <c r="E30" i="18"/>
  <c r="G317" i="30" s="1"/>
  <c r="M41" i="11"/>
  <c r="G365" i="30" s="1"/>
  <c r="G38" i="17"/>
  <c r="G40" i="17" s="1"/>
  <c r="M61" i="9"/>
  <c r="S236" i="30" s="1"/>
  <c r="M41" i="9"/>
  <c r="E29" i="18"/>
  <c r="G316" i="30" s="1"/>
  <c r="E28" i="18"/>
  <c r="G315" i="30" s="1"/>
  <c r="L40" i="11"/>
  <c r="K40" i="11"/>
  <c r="G36" i="17"/>
  <c r="O39" i="11" s="1"/>
  <c r="H76" i="9"/>
  <c r="I76" i="9" s="1"/>
  <c r="I10" i="17"/>
  <c r="J33" i="9"/>
  <c r="H207" i="7"/>
  <c r="H208" i="7" s="1"/>
  <c r="J207" i="7"/>
  <c r="J208" i="7" s="1"/>
  <c r="J209" i="7" s="1"/>
  <c r="O40" i="7"/>
  <c r="P40" i="7" s="1"/>
  <c r="Q40" i="7" s="1"/>
  <c r="O41" i="7"/>
  <c r="P41" i="7" s="1"/>
  <c r="Q41" i="7" s="1"/>
  <c r="O43" i="7"/>
  <c r="P43" i="7" s="1"/>
  <c r="Q43" i="7" s="1"/>
  <c r="O44" i="7"/>
  <c r="P44" i="7" s="1"/>
  <c r="Q44" i="7" s="1"/>
  <c r="O45" i="7"/>
  <c r="P45" i="7" s="1"/>
  <c r="Q45" i="7" s="1"/>
  <c r="O47" i="7"/>
  <c r="P47" i="7" s="1"/>
  <c r="Q47" i="7" s="1"/>
  <c r="O48" i="7"/>
  <c r="P48" i="7" s="1"/>
  <c r="Q48" i="7" s="1"/>
  <c r="O50" i="7"/>
  <c r="P50" i="7" s="1"/>
  <c r="Q50" i="7" s="1"/>
  <c r="O51" i="7"/>
  <c r="P51" i="7" s="1"/>
  <c r="Q51" i="7" s="1"/>
  <c r="O55" i="7"/>
  <c r="P55" i="7" s="1"/>
  <c r="Q55" i="7" s="1"/>
  <c r="O56" i="7"/>
  <c r="P56" i="7" s="1"/>
  <c r="Q56" i="7" s="1"/>
  <c r="O57" i="7"/>
  <c r="P57" i="7" s="1"/>
  <c r="Q57" i="7" s="1"/>
  <c r="O59" i="7"/>
  <c r="P59" i="7" s="1"/>
  <c r="Q59" i="7" s="1"/>
  <c r="O60" i="7"/>
  <c r="P60" i="7" s="1"/>
  <c r="Q60" i="7" s="1"/>
  <c r="O61" i="7"/>
  <c r="P61" i="7" s="1"/>
  <c r="Q61" i="7" s="1"/>
  <c r="O63" i="7"/>
  <c r="P63" i="7" s="1"/>
  <c r="Q63" i="7" s="1"/>
  <c r="O64" i="7"/>
  <c r="P64" i="7" s="1"/>
  <c r="Q64" i="7" s="1"/>
  <c r="O65" i="7"/>
  <c r="P65" i="7" s="1"/>
  <c r="Q65" i="7" s="1"/>
  <c r="O66" i="7"/>
  <c r="P66" i="7" s="1"/>
  <c r="Q66" i="7" s="1"/>
  <c r="O67" i="7"/>
  <c r="P67" i="7" s="1"/>
  <c r="Q67" i="7" s="1"/>
  <c r="O68" i="7"/>
  <c r="P68" i="7" s="1"/>
  <c r="Q68" i="7" s="1"/>
  <c r="O69" i="7"/>
  <c r="P69" i="7" s="1"/>
  <c r="Q69" i="7" s="1"/>
  <c r="O70" i="7"/>
  <c r="P70" i="7" s="1"/>
  <c r="Q70" i="7" s="1"/>
  <c r="O71" i="7"/>
  <c r="P71" i="7" s="1"/>
  <c r="Q71" i="7" s="1"/>
  <c r="O72" i="7"/>
  <c r="P72" i="7" s="1"/>
  <c r="Q72" i="7" s="1"/>
  <c r="O73" i="7"/>
  <c r="P73" i="7" s="1"/>
  <c r="Q73" i="7" s="1"/>
  <c r="O74" i="7"/>
  <c r="P74" i="7" s="1"/>
  <c r="Q74" i="7" s="1"/>
  <c r="O75" i="7"/>
  <c r="P75" i="7" s="1"/>
  <c r="Q75" i="7" s="1"/>
  <c r="O76" i="7"/>
  <c r="P76" i="7" s="1"/>
  <c r="Q76" i="7" s="1"/>
  <c r="O78" i="7"/>
  <c r="P78" i="7" s="1"/>
  <c r="Q78" i="7" s="1"/>
  <c r="O80" i="7"/>
  <c r="P80" i="7" s="1"/>
  <c r="Q80" i="7" s="1"/>
  <c r="O81" i="7"/>
  <c r="P81" i="7" s="1"/>
  <c r="Q81" i="7" s="1"/>
  <c r="O82" i="7"/>
  <c r="P82" i="7" s="1"/>
  <c r="Q82" i="7" s="1"/>
  <c r="O83" i="7"/>
  <c r="P83" i="7" s="1"/>
  <c r="Q83" i="7" s="1"/>
  <c r="O84" i="7"/>
  <c r="P84" i="7" s="1"/>
  <c r="Q84" i="7" s="1"/>
  <c r="O85" i="7"/>
  <c r="P85" i="7" s="1"/>
  <c r="Q85" i="7" s="1"/>
  <c r="O87" i="7"/>
  <c r="P87" i="7" s="1"/>
  <c r="Q87" i="7" s="1"/>
  <c r="O88" i="7"/>
  <c r="P88" i="7" s="1"/>
  <c r="Q88" i="7" s="1"/>
  <c r="O89" i="7"/>
  <c r="P89" i="7" s="1"/>
  <c r="Q89" i="7" s="1"/>
  <c r="O90" i="7"/>
  <c r="P90" i="7" s="1"/>
  <c r="Q90" i="7" s="1"/>
  <c r="O91" i="7"/>
  <c r="P91" i="7" s="1"/>
  <c r="Q91" i="7" s="1"/>
  <c r="O92" i="7"/>
  <c r="P92" i="7" s="1"/>
  <c r="Q92" i="7" s="1"/>
  <c r="O93" i="7"/>
  <c r="P93" i="7" s="1"/>
  <c r="Q93" i="7" s="1"/>
  <c r="O94" i="7"/>
  <c r="P94" i="7" s="1"/>
  <c r="Q94" i="7" s="1"/>
  <c r="O95" i="7"/>
  <c r="P95" i="7" s="1"/>
  <c r="Q95" i="7" s="1"/>
  <c r="O96" i="7"/>
  <c r="P96" i="7" s="1"/>
  <c r="Q96" i="7" s="1"/>
  <c r="O97" i="7"/>
  <c r="P97" i="7" s="1"/>
  <c r="Q97" i="7" s="1"/>
  <c r="O98" i="7"/>
  <c r="P98" i="7" s="1"/>
  <c r="Q98" i="7" s="1"/>
  <c r="O99" i="7"/>
  <c r="P99" i="7" s="1"/>
  <c r="Q99" i="7" s="1"/>
  <c r="O100" i="7"/>
  <c r="P100" i="7" s="1"/>
  <c r="Q100" i="7" s="1"/>
  <c r="O101" i="7"/>
  <c r="P101" i="7" s="1"/>
  <c r="Q101" i="7" s="1"/>
  <c r="O102" i="7"/>
  <c r="P102" i="7" s="1"/>
  <c r="Q102" i="7" s="1"/>
  <c r="O103" i="7"/>
  <c r="P103" i="7" s="1"/>
  <c r="Q103" i="7" s="1"/>
  <c r="O104" i="7"/>
  <c r="P104" i="7" s="1"/>
  <c r="Q104" i="7" s="1"/>
  <c r="O105" i="7"/>
  <c r="P105" i="7" s="1"/>
  <c r="Q105" i="7" s="1"/>
  <c r="O106" i="7"/>
  <c r="P106" i="7" s="1"/>
  <c r="Q106" i="7" s="1"/>
  <c r="O107" i="7"/>
  <c r="P107" i="7" s="1"/>
  <c r="Q107" i="7" s="1"/>
  <c r="O108" i="7"/>
  <c r="P108" i="7" s="1"/>
  <c r="Q108" i="7" s="1"/>
  <c r="O109" i="7"/>
  <c r="P109" i="7" s="1"/>
  <c r="Q109" i="7" s="1"/>
  <c r="O111" i="7"/>
  <c r="P111" i="7" s="1"/>
  <c r="Q111" i="7" s="1"/>
  <c r="O112" i="7"/>
  <c r="P112" i="7" s="1"/>
  <c r="Q112" i="7" s="1"/>
  <c r="O113" i="7"/>
  <c r="P113" i="7" s="1"/>
  <c r="Q113" i="7" s="1"/>
  <c r="O114" i="7"/>
  <c r="P114" i="7" s="1"/>
  <c r="Q114" i="7" s="1"/>
  <c r="O115" i="7"/>
  <c r="P115" i="7" s="1"/>
  <c r="Q115" i="7" s="1"/>
  <c r="O116" i="7"/>
  <c r="P116" i="7" s="1"/>
  <c r="Q116" i="7" s="1"/>
  <c r="O117" i="7"/>
  <c r="P117" i="7" s="1"/>
  <c r="Q117" i="7" s="1"/>
  <c r="O118" i="7"/>
  <c r="P118" i="7" s="1"/>
  <c r="Q118" i="7" s="1"/>
  <c r="O119" i="7"/>
  <c r="P119" i="7" s="1"/>
  <c r="Q119" i="7" s="1"/>
  <c r="O120" i="7"/>
  <c r="P120" i="7" s="1"/>
  <c r="Q120" i="7" s="1"/>
  <c r="O121" i="7"/>
  <c r="P121" i="7" s="1"/>
  <c r="Q121" i="7" s="1"/>
  <c r="O122" i="7"/>
  <c r="P122" i="7" s="1"/>
  <c r="Q122" i="7" s="1"/>
  <c r="O42" i="7"/>
  <c r="P42" i="7" s="1"/>
  <c r="Q42" i="7" s="1"/>
  <c r="O46" i="7"/>
  <c r="P46" i="7" s="1"/>
  <c r="Q46" i="7" s="1"/>
  <c r="O49" i="7"/>
  <c r="P49" i="7" s="1"/>
  <c r="Q49" i="7" s="1"/>
  <c r="O52" i="7"/>
  <c r="P52" i="7" s="1"/>
  <c r="Q52" i="7" s="1"/>
  <c r="O53" i="7"/>
  <c r="P53" i="7" s="1"/>
  <c r="Q53" i="7" s="1"/>
  <c r="O54" i="7"/>
  <c r="P54" i="7" s="1"/>
  <c r="Q54" i="7" s="1"/>
  <c r="O58" i="7"/>
  <c r="P58" i="7" s="1"/>
  <c r="Q58" i="7" s="1"/>
  <c r="O62" i="7"/>
  <c r="P62" i="7" s="1"/>
  <c r="Q62" i="7" s="1"/>
  <c r="O77" i="7"/>
  <c r="P77" i="7" s="1"/>
  <c r="Q77" i="7" s="1"/>
  <c r="O79" i="7"/>
  <c r="P79" i="7" s="1"/>
  <c r="Q79" i="7" s="1"/>
  <c r="O86" i="7"/>
  <c r="P86" i="7" s="1"/>
  <c r="Q86" i="7" s="1"/>
  <c r="O110" i="7"/>
  <c r="P110" i="7" s="1"/>
  <c r="Q110" i="7" s="1"/>
  <c r="I38" i="30" l="1"/>
  <c r="I78" i="30" s="1"/>
  <c r="E364" i="30"/>
  <c r="I39" i="30"/>
  <c r="I79" i="30" s="1"/>
  <c r="I220" i="30" s="1"/>
  <c r="F364" i="30"/>
  <c r="I40" i="30"/>
  <c r="G364" i="30"/>
  <c r="I232" i="30"/>
  <c r="I233" i="30"/>
  <c r="I97" i="30"/>
  <c r="I219" i="30"/>
  <c r="I96" i="30"/>
  <c r="I218" i="30"/>
  <c r="I234" i="30" s="1"/>
  <c r="I94" i="30"/>
  <c r="I95" i="30"/>
  <c r="I80" i="30"/>
  <c r="I64" i="30"/>
  <c r="I61" i="30"/>
  <c r="M59" i="9"/>
  <c r="S234" i="30" s="1"/>
  <c r="E35" i="18"/>
  <c r="G321" i="30" s="1"/>
  <c r="M58" i="9"/>
  <c r="H209" i="7"/>
  <c r="H210" i="7" s="1"/>
  <c r="H211" i="7" s="1"/>
  <c r="H212" i="7" s="1"/>
  <c r="H213" i="7" s="1"/>
  <c r="H214" i="7" s="1"/>
  <c r="H215" i="7" s="1"/>
  <c r="H216" i="7" s="1"/>
  <c r="H217" i="7" s="1"/>
  <c r="H218" i="7" s="1"/>
  <c r="H219" i="7" s="1"/>
  <c r="J210" i="7"/>
  <c r="I98" i="30" l="1"/>
  <c r="M66" i="9"/>
  <c r="S233" i="30"/>
  <c r="H220" i="7"/>
  <c r="H221" i="7" s="1"/>
  <c r="H222" i="7" s="1"/>
  <c r="H223" i="7" s="1"/>
  <c r="H224" i="7" s="1"/>
  <c r="H225" i="7" s="1"/>
  <c r="H226" i="7" s="1"/>
  <c r="H227" i="7" s="1"/>
  <c r="H228" i="7" s="1"/>
  <c r="H229" i="7" s="1"/>
  <c r="H230" i="7" s="1"/>
  <c r="H261" i="7"/>
  <c r="I235" i="30"/>
  <c r="I236" i="30"/>
  <c r="I99" i="30"/>
  <c r="I221" i="30"/>
  <c r="I169" i="30"/>
  <c r="I202" i="30" s="1"/>
  <c r="J211" i="7"/>
  <c r="C5" i="17"/>
  <c r="E5" i="17"/>
  <c r="F5" i="17"/>
  <c r="H5" i="17"/>
  <c r="I5" i="17"/>
  <c r="J5" i="17"/>
  <c r="C6" i="17"/>
  <c r="D6" i="17"/>
  <c r="E6" i="17"/>
  <c r="F6" i="17"/>
  <c r="I6" i="17"/>
  <c r="J6" i="17"/>
  <c r="C7" i="17"/>
  <c r="D7" i="17"/>
  <c r="E7" i="17"/>
  <c r="F7" i="17"/>
  <c r="H7" i="17"/>
  <c r="I7" i="17"/>
  <c r="J7" i="17"/>
  <c r="C8" i="17"/>
  <c r="D8" i="17"/>
  <c r="E8" i="17"/>
  <c r="F8" i="17"/>
  <c r="H8" i="17"/>
  <c r="I8" i="17"/>
  <c r="J8" i="17"/>
  <c r="C9" i="17"/>
  <c r="D9" i="17"/>
  <c r="E9" i="17"/>
  <c r="F9" i="17"/>
  <c r="H9" i="17"/>
  <c r="I9" i="17"/>
  <c r="J9" i="17"/>
  <c r="C10" i="17"/>
  <c r="D10" i="17"/>
  <c r="E10" i="17"/>
  <c r="F10" i="17"/>
  <c r="H10" i="17"/>
  <c r="J10" i="17"/>
  <c r="C11" i="17"/>
  <c r="D11" i="17"/>
  <c r="E11" i="17"/>
  <c r="F11" i="17"/>
  <c r="H11" i="17"/>
  <c r="I11" i="17"/>
  <c r="J11" i="17"/>
  <c r="C12" i="17"/>
  <c r="D12" i="17"/>
  <c r="E12" i="17"/>
  <c r="F12" i="17"/>
  <c r="H12" i="17"/>
  <c r="I12" i="17"/>
  <c r="J12" i="17"/>
  <c r="E13" i="17"/>
  <c r="F13" i="17"/>
  <c r="I13" i="17"/>
  <c r="B6" i="17"/>
  <c r="B7" i="17"/>
  <c r="B8" i="17"/>
  <c r="B9" i="17"/>
  <c r="B10" i="17"/>
  <c r="B11" i="17"/>
  <c r="B12" i="17"/>
  <c r="B13" i="17"/>
  <c r="B5" i="17"/>
  <c r="D50" i="17"/>
  <c r="D5" i="17" s="1"/>
  <c r="J62" i="17"/>
  <c r="I62" i="17"/>
  <c r="H62" i="17"/>
  <c r="E62" i="17"/>
  <c r="D62" i="17"/>
  <c r="C62" i="17"/>
  <c r="B62" i="17"/>
  <c r="J61" i="17"/>
  <c r="I61" i="17"/>
  <c r="H61" i="17"/>
  <c r="E61" i="17"/>
  <c r="D61" i="17"/>
  <c r="C61" i="17"/>
  <c r="B61" i="17"/>
  <c r="J60" i="17"/>
  <c r="I60" i="17"/>
  <c r="H60" i="17"/>
  <c r="F60" i="17"/>
  <c r="E60" i="17"/>
  <c r="D60" i="17"/>
  <c r="D15" i="17" s="1"/>
  <c r="F181" i="30" s="1"/>
  <c r="C60" i="17"/>
  <c r="C15" i="17" s="1"/>
  <c r="E181" i="30" s="1"/>
  <c r="B60" i="17"/>
  <c r="B14" i="17" s="1"/>
  <c r="D180" i="30" s="1"/>
  <c r="D196" i="30" s="1"/>
  <c r="H59" i="17"/>
  <c r="H13" i="17" s="1"/>
  <c r="D59" i="17"/>
  <c r="D13" i="17" s="1"/>
  <c r="C59" i="17"/>
  <c r="C13" i="17" s="1"/>
  <c r="M64" i="9" l="1"/>
  <c r="M46" i="9" s="1"/>
  <c r="I238" i="30"/>
  <c r="I243" i="30" s="1"/>
  <c r="L13" i="17"/>
  <c r="J179" i="30"/>
  <c r="H262" i="7"/>
  <c r="H263" i="7" s="1"/>
  <c r="H264" i="7" s="1"/>
  <c r="H265" i="7" s="1"/>
  <c r="H266" i="7" s="1"/>
  <c r="H267" i="7" s="1"/>
  <c r="H268" i="7" s="1"/>
  <c r="H269" i="7" s="1"/>
  <c r="H270" i="7" s="1"/>
  <c r="H271" i="7" s="1"/>
  <c r="H272" i="7" s="1"/>
  <c r="H275" i="7"/>
  <c r="H276" i="7" s="1"/>
  <c r="H277" i="7" s="1"/>
  <c r="H278" i="7" s="1"/>
  <c r="H279" i="7" s="1"/>
  <c r="H280" i="7" s="1"/>
  <c r="H281" i="7" s="1"/>
  <c r="H282" i="7" s="1"/>
  <c r="H283" i="7" s="1"/>
  <c r="H284" i="7" s="1"/>
  <c r="H285" i="7" s="1"/>
  <c r="H286" i="7" s="1"/>
  <c r="I237" i="30"/>
  <c r="I208" i="30"/>
  <c r="I224" i="30" s="1"/>
  <c r="I241" i="30" s="1"/>
  <c r="I247" i="30" s="1"/>
  <c r="I253" i="30" s="1"/>
  <c r="I280" i="30" s="1"/>
  <c r="I185" i="30"/>
  <c r="N9" i="17"/>
  <c r="H15" i="17"/>
  <c r="J181" i="30" s="1"/>
  <c r="I15" i="17"/>
  <c r="K181" i="30" s="1"/>
  <c r="B16" i="17"/>
  <c r="D16" i="17"/>
  <c r="F182" i="30" s="1"/>
  <c r="E16" i="17"/>
  <c r="G182" i="30" s="1"/>
  <c r="H16" i="17"/>
  <c r="J182" i="30" s="1"/>
  <c r="N11" i="17"/>
  <c r="L140" i="7" s="1"/>
  <c r="L141" i="7" s="1"/>
  <c r="L142" i="7" s="1"/>
  <c r="L143" i="7" s="1"/>
  <c r="L144" i="7" s="1"/>
  <c r="L145" i="7" s="1"/>
  <c r="L146" i="7" s="1"/>
  <c r="L147" i="7" s="1"/>
  <c r="L148" i="7" s="1"/>
  <c r="L149" i="7" s="1"/>
  <c r="L150" i="7" s="1"/>
  <c r="L151" i="7" s="1"/>
  <c r="C16" i="17"/>
  <c r="E182" i="30" s="1"/>
  <c r="N8" i="17"/>
  <c r="N7" i="17"/>
  <c r="N6" i="17"/>
  <c r="L80" i="7" s="1"/>
  <c r="N13" i="17"/>
  <c r="L164" i="7" s="1"/>
  <c r="N5" i="17"/>
  <c r="N12" i="17"/>
  <c r="L152" i="7" s="1"/>
  <c r="F16" i="17"/>
  <c r="H182" i="30" s="1"/>
  <c r="N10" i="17"/>
  <c r="B15" i="17"/>
  <c r="D181" i="30" s="1"/>
  <c r="I14" i="17"/>
  <c r="K180" i="30" s="1"/>
  <c r="K196" i="30" s="1"/>
  <c r="J212" i="7"/>
  <c r="E15" i="17"/>
  <c r="G181" i="30" s="1"/>
  <c r="G197" i="30" s="1"/>
  <c r="F15" i="17"/>
  <c r="H181" i="30" s="1"/>
  <c r="I16" i="17"/>
  <c r="K182" i="30" s="1"/>
  <c r="D14" i="17"/>
  <c r="F180" i="30" s="1"/>
  <c r="F196" i="30" s="1"/>
  <c r="C14" i="17"/>
  <c r="E180" i="30" s="1"/>
  <c r="E196" i="30" s="1"/>
  <c r="H14" i="17"/>
  <c r="J180" i="30" s="1"/>
  <c r="F14" i="17"/>
  <c r="H180" i="30" s="1"/>
  <c r="H196" i="30" s="1"/>
  <c r="E14" i="17"/>
  <c r="G180" i="30" s="1"/>
  <c r="G196" i="30" s="1"/>
  <c r="L92" i="7"/>
  <c r="L104" i="7"/>
  <c r="L116" i="7"/>
  <c r="L128" i="7"/>
  <c r="L129" i="7" s="1"/>
  <c r="L130" i="7" s="1"/>
  <c r="L131" i="7" s="1"/>
  <c r="L132" i="7" s="1"/>
  <c r="L133" i="7" s="1"/>
  <c r="L134" i="7" s="1"/>
  <c r="L135" i="7" s="1"/>
  <c r="L136" i="7" s="1"/>
  <c r="L137" i="7" s="1"/>
  <c r="L138" i="7" s="1"/>
  <c r="L139" i="7" s="1"/>
  <c r="L68" i="7"/>
  <c r="M183" i="7"/>
  <c r="M184" i="7" s="1"/>
  <c r="M185" i="7" s="1"/>
  <c r="M186" i="7" s="1"/>
  <c r="M187" i="7" s="1"/>
  <c r="M188" i="7" s="1"/>
  <c r="M189" i="7" s="1"/>
  <c r="M190" i="7" s="1"/>
  <c r="M191" i="7" s="1"/>
  <c r="M192" i="7" s="1"/>
  <c r="M193" i="7" s="1"/>
  <c r="M194" i="7" s="1"/>
  <c r="M195" i="7" s="1"/>
  <c r="M196" i="7" s="1"/>
  <c r="M197" i="7" s="1"/>
  <c r="M198" i="7" s="1"/>
  <c r="M199" i="7" s="1"/>
  <c r="M200" i="7" s="1"/>
  <c r="M201" i="7" s="1"/>
  <c r="M202" i="7" s="1"/>
  <c r="M203" i="7" s="1"/>
  <c r="M204" i="7" s="1"/>
  <c r="M205" i="7" s="1"/>
  <c r="M206" i="7" s="1"/>
  <c r="H198" i="30" l="1"/>
  <c r="F198" i="30"/>
  <c r="H197" i="30"/>
  <c r="M181" i="30"/>
  <c r="D197" i="30"/>
  <c r="G198" i="30"/>
  <c r="F197" i="30"/>
  <c r="E198" i="30"/>
  <c r="L16" i="17"/>
  <c r="D182" i="30"/>
  <c r="M69" i="9"/>
  <c r="M77" i="9" s="1"/>
  <c r="M47" i="9"/>
  <c r="M70" i="9" s="1"/>
  <c r="M78" i="9" s="1"/>
  <c r="K198" i="30"/>
  <c r="J198" i="30"/>
  <c r="K197" i="30"/>
  <c r="E197" i="30"/>
  <c r="J197" i="30"/>
  <c r="J196" i="30"/>
  <c r="M180" i="30"/>
  <c r="J195" i="30"/>
  <c r="M179" i="30"/>
  <c r="L81" i="7"/>
  <c r="L82" i="7" s="1"/>
  <c r="L83" i="7" s="1"/>
  <c r="L84" i="7" s="1"/>
  <c r="L85" i="7" s="1"/>
  <c r="L86" i="7" s="1"/>
  <c r="L87" i="7" s="1"/>
  <c r="L88" i="7" s="1"/>
  <c r="L89" i="7" s="1"/>
  <c r="L90" i="7" s="1"/>
  <c r="L91" i="7" s="1"/>
  <c r="L153" i="7"/>
  <c r="L154" i="7" s="1"/>
  <c r="L155" i="7" s="1"/>
  <c r="L156" i="7" s="1"/>
  <c r="L157" i="7" s="1"/>
  <c r="L158" i="7" s="1"/>
  <c r="L159" i="7" s="1"/>
  <c r="L160" i="7" s="1"/>
  <c r="L161" i="7" s="1"/>
  <c r="L162" i="7" s="1"/>
  <c r="L163" i="7" s="1"/>
  <c r="L117" i="7"/>
  <c r="L118" i="7" s="1"/>
  <c r="L119" i="7" s="1"/>
  <c r="L120" i="7" s="1"/>
  <c r="L121" i="7" s="1"/>
  <c r="L122" i="7" s="1"/>
  <c r="L123" i="7" s="1"/>
  <c r="L124" i="7" s="1"/>
  <c r="L125" i="7" s="1"/>
  <c r="L126" i="7" s="1"/>
  <c r="L127" i="7" s="1"/>
  <c r="L105" i="7"/>
  <c r="L106" i="7" s="1"/>
  <c r="L107" i="7" s="1"/>
  <c r="L108" i="7" s="1"/>
  <c r="L109" i="7" s="1"/>
  <c r="L110" i="7" s="1"/>
  <c r="L111" i="7" s="1"/>
  <c r="L112" i="7" s="1"/>
  <c r="L113" i="7" s="1"/>
  <c r="L114" i="7" s="1"/>
  <c r="L115" i="7" s="1"/>
  <c r="L67" i="7"/>
  <c r="L66" i="7" s="1"/>
  <c r="L65" i="7" s="1"/>
  <c r="L64" i="7" s="1"/>
  <c r="L63" i="7" s="1"/>
  <c r="L62" i="7" s="1"/>
  <c r="L61" i="7" s="1"/>
  <c r="L60" i="7" s="1"/>
  <c r="L59" i="7" s="1"/>
  <c r="L58" i="7" s="1"/>
  <c r="L57" i="7" s="1"/>
  <c r="L56" i="7" s="1"/>
  <c r="L55" i="7" s="1"/>
  <c r="L54" i="7" s="1"/>
  <c r="L53" i="7" s="1"/>
  <c r="L52" i="7" s="1"/>
  <c r="L51" i="7" s="1"/>
  <c r="L50" i="7" s="1"/>
  <c r="L49" i="7" s="1"/>
  <c r="L48" i="7" s="1"/>
  <c r="L47" i="7" s="1"/>
  <c r="L46" i="7" s="1"/>
  <c r="L45" i="7" s="1"/>
  <c r="L44" i="7" s="1"/>
  <c r="L43" i="7" s="1"/>
  <c r="L42" i="7" s="1"/>
  <c r="L41" i="7" s="1"/>
  <c r="L40" i="7" s="1"/>
  <c r="L39" i="7" s="1"/>
  <c r="L38" i="7" s="1"/>
  <c r="L37" i="7" s="1"/>
  <c r="L36" i="7" s="1"/>
  <c r="L35" i="7" s="1"/>
  <c r="L34" i="7" s="1"/>
  <c r="L33" i="7" s="1"/>
  <c r="L32" i="7" s="1"/>
  <c r="L31" i="7" s="1"/>
  <c r="L30" i="7" s="1"/>
  <c r="L29" i="7" s="1"/>
  <c r="L28" i="7" s="1"/>
  <c r="L27" i="7" s="1"/>
  <c r="L26" i="7" s="1"/>
  <c r="L25" i="7" s="1"/>
  <c r="L24" i="7" s="1"/>
  <c r="L23" i="7" s="1"/>
  <c r="L22" i="7" s="1"/>
  <c r="L21" i="7" s="1"/>
  <c r="L20" i="7" s="1"/>
  <c r="L19" i="7" s="1"/>
  <c r="L18" i="7" s="1"/>
  <c r="L17" i="7" s="1"/>
  <c r="L16" i="7" s="1"/>
  <c r="L15" i="7" s="1"/>
  <c r="L14" i="7" s="1"/>
  <c r="L13" i="7" s="1"/>
  <c r="L12" i="7" s="1"/>
  <c r="L11" i="7" s="1"/>
  <c r="L10" i="7" s="1"/>
  <c r="L9" i="7" s="1"/>
  <c r="L8" i="7" s="1"/>
  <c r="L7" i="7" s="1"/>
  <c r="L6" i="7" s="1"/>
  <c r="L5" i="7" s="1"/>
  <c r="L4" i="7" s="1"/>
  <c r="L3" i="7" s="1"/>
  <c r="L69" i="7"/>
  <c r="L70" i="7" s="1"/>
  <c r="L71" i="7" s="1"/>
  <c r="L72" i="7" s="1"/>
  <c r="L73" i="7" s="1"/>
  <c r="L74" i="7" s="1"/>
  <c r="L75" i="7" s="1"/>
  <c r="L76" i="7" s="1"/>
  <c r="L77" i="7" s="1"/>
  <c r="L78" i="7" s="1"/>
  <c r="L79" i="7" s="1"/>
  <c r="L93" i="7"/>
  <c r="L94" i="7" s="1"/>
  <c r="L95" i="7" s="1"/>
  <c r="L96" i="7" s="1"/>
  <c r="L97" i="7" s="1"/>
  <c r="L98" i="7" s="1"/>
  <c r="L99" i="7" s="1"/>
  <c r="L100" i="7" s="1"/>
  <c r="L101" i="7" s="1"/>
  <c r="L102" i="7" s="1"/>
  <c r="L103" i="7" s="1"/>
  <c r="I275" i="30"/>
  <c r="G295" i="30"/>
  <c r="I244" i="30"/>
  <c r="I250" i="30" s="1"/>
  <c r="I249" i="30"/>
  <c r="I282" i="30" s="1"/>
  <c r="L14" i="17"/>
  <c r="L15" i="17"/>
  <c r="N16" i="17"/>
  <c r="L200" i="7" s="1"/>
  <c r="N15" i="17"/>
  <c r="L188" i="7" s="1"/>
  <c r="N14" i="17"/>
  <c r="L176" i="7" s="1"/>
  <c r="L165" i="7" s="1"/>
  <c r="L166" i="7" s="1"/>
  <c r="L167" i="7" s="1"/>
  <c r="L168" i="7" s="1"/>
  <c r="L169" i="7" s="1"/>
  <c r="L170" i="7" s="1"/>
  <c r="J213" i="7"/>
  <c r="A4" i="27"/>
  <c r="A5" i="27" s="1"/>
  <c r="A6" i="27" s="1"/>
  <c r="A7" i="27" s="1"/>
  <c r="A8" i="27" s="1"/>
  <c r="A9" i="27" s="1"/>
  <c r="A10" i="27" s="1"/>
  <c r="A11" i="27" s="1"/>
  <c r="A12" i="27"/>
  <c r="A13" i="27" s="1"/>
  <c r="A14" i="27" s="1"/>
  <c r="A15" i="27" s="1"/>
  <c r="A16" i="27" s="1"/>
  <c r="A17" i="27" s="1"/>
  <c r="A18" i="27" s="1"/>
  <c r="A19" i="27"/>
  <c r="A20" i="27" s="1"/>
  <c r="A21" i="27" s="1"/>
  <c r="A22" i="27" s="1"/>
  <c r="A23" i="27" s="1"/>
  <c r="A24" i="27" s="1"/>
  <c r="A25" i="27" s="1"/>
  <c r="A26" i="27" s="1"/>
  <c r="A27" i="27" s="1"/>
  <c r="A28" i="27" s="1"/>
  <c r="A29" i="27" s="1"/>
  <c r="A30" i="27" s="1"/>
  <c r="A31" i="27" s="1"/>
  <c r="A32" i="27" s="1"/>
  <c r="A33" i="27" s="1"/>
  <c r="A34" i="27" s="1"/>
  <c r="A35" i="27" s="1"/>
  <c r="A36" i="27" s="1"/>
  <c r="A37" i="27" s="1"/>
  <c r="A38" i="27" s="1"/>
  <c r="A39" i="27" s="1"/>
  <c r="A40" i="27" s="1"/>
  <c r="A41" i="27" s="1"/>
  <c r="A42" i="27" s="1"/>
  <c r="A43" i="27" s="1"/>
  <c r="A44" i="27" s="1"/>
  <c r="A45" i="27" s="1"/>
  <c r="A46" i="27" s="1"/>
  <c r="A47" i="27" s="1"/>
  <c r="A48" i="27" s="1"/>
  <c r="A49" i="27" s="1"/>
  <c r="A50" i="27" s="1"/>
  <c r="A51" i="27" s="1"/>
  <c r="A52" i="27" s="1"/>
  <c r="A53" i="27" s="1"/>
  <c r="A54" i="27" s="1"/>
  <c r="A55" i="27" s="1"/>
  <c r="A56" i="27" s="1"/>
  <c r="A57" i="27" s="1"/>
  <c r="A58" i="27" s="1"/>
  <c r="A59" i="27" s="1"/>
  <c r="A60" i="27" s="1"/>
  <c r="A61" i="27" s="1"/>
  <c r="A62" i="27" s="1"/>
  <c r="A63" i="27" s="1"/>
  <c r="A64" i="27" s="1"/>
  <c r="A65" i="27" s="1"/>
  <c r="A66" i="27" s="1"/>
  <c r="A67" i="27" s="1"/>
  <c r="A68" i="27" s="1"/>
  <c r="A69" i="27" s="1"/>
  <c r="A70" i="27" s="1"/>
  <c r="A71" i="27" s="1"/>
  <c r="A72" i="27" s="1"/>
  <c r="A73" i="27" s="1"/>
  <c r="A74" i="27" s="1"/>
  <c r="A75" i="27" s="1"/>
  <c r="A76" i="27" s="1"/>
  <c r="A77" i="27" s="1"/>
  <c r="A78" i="27" s="1"/>
  <c r="A79" i="27" s="1"/>
  <c r="A80" i="27" s="1"/>
  <c r="A81" i="27" s="1"/>
  <c r="A82" i="27" s="1"/>
  <c r="A83" i="27" s="1"/>
  <c r="A84" i="27" s="1"/>
  <c r="A85" i="27" s="1"/>
  <c r="A86" i="27" s="1"/>
  <c r="A87" i="27" s="1"/>
  <c r="A88" i="27" s="1"/>
  <c r="A89" i="27" s="1"/>
  <c r="A90" i="27" s="1"/>
  <c r="A91" i="27" s="1"/>
  <c r="A92" i="27" s="1"/>
  <c r="A93" i="27" s="1"/>
  <c r="A94" i="27" s="1"/>
  <c r="A95" i="27" s="1"/>
  <c r="A96" i="27" s="1"/>
  <c r="A97" i="27" s="1"/>
  <c r="A98" i="27" s="1"/>
  <c r="A99" i="27" s="1"/>
  <c r="A100" i="27" s="1"/>
  <c r="A101" i="27" s="1"/>
  <c r="A102" i="27" s="1"/>
  <c r="A103" i="27" s="1"/>
  <c r="A104" i="27" s="1"/>
  <c r="A105" i="27" s="1"/>
  <c r="A106" i="27" s="1"/>
  <c r="A107" i="27" s="1"/>
  <c r="A108" i="27" s="1"/>
  <c r="A109" i="27" s="1"/>
  <c r="A110" i="27" s="1"/>
  <c r="A111" i="27" s="1"/>
  <c r="A112" i="27" s="1"/>
  <c r="A113" i="27" s="1"/>
  <c r="A114" i="27" s="1"/>
  <c r="A115" i="27" s="1"/>
  <c r="A116" i="27" s="1"/>
  <c r="A117" i="27" s="1"/>
  <c r="A118" i="27" s="1"/>
  <c r="A119" i="27" s="1"/>
  <c r="A120" i="27" s="1"/>
  <c r="A121" i="27" s="1"/>
  <c r="A122" i="27" s="1"/>
  <c r="A123" i="27" s="1"/>
  <c r="A124" i="27" s="1"/>
  <c r="A125" i="27" s="1"/>
  <c r="A126" i="27" s="1"/>
  <c r="A127" i="27" s="1"/>
  <c r="A128" i="27" s="1"/>
  <c r="A129" i="27" s="1"/>
  <c r="A130" i="27" s="1"/>
  <c r="A131" i="27" s="1"/>
  <c r="A132" i="27" s="1"/>
  <c r="A133" i="27" s="1"/>
  <c r="A134" i="27" s="1"/>
  <c r="A135" i="27" s="1"/>
  <c r="A136" i="27" s="1"/>
  <c r="A137" i="27" s="1"/>
  <c r="A138" i="27" s="1"/>
  <c r="A139" i="27" s="1"/>
  <c r="A140" i="27" s="1"/>
  <c r="A141" i="27" s="1"/>
  <c r="A142" i="27" s="1"/>
  <c r="A143" i="27" s="1"/>
  <c r="A144" i="27" s="1"/>
  <c r="A145" i="27" s="1"/>
  <c r="A146" i="27" s="1"/>
  <c r="A147" i="27" s="1"/>
  <c r="A148" i="27" s="1"/>
  <c r="A149" i="27" s="1"/>
  <c r="A150" i="27" s="1"/>
  <c r="A151" i="27" s="1"/>
  <c r="A152" i="27" s="1"/>
  <c r="A153" i="27" s="1"/>
  <c r="A154" i="27" s="1"/>
  <c r="A155" i="27" s="1"/>
  <c r="A156" i="27" s="1"/>
  <c r="A157" i="27" s="1"/>
  <c r="A158" i="27" s="1"/>
  <c r="A159" i="27" s="1"/>
  <c r="A160" i="27" s="1"/>
  <c r="A161" i="27" s="1"/>
  <c r="A162" i="27" s="1"/>
  <c r="A163" i="27" s="1"/>
  <c r="A164" i="27" s="1"/>
  <c r="A165" i="27" s="1"/>
  <c r="A166" i="27" s="1"/>
  <c r="A167" i="27" s="1"/>
  <c r="A168" i="27" s="1"/>
  <c r="A169" i="27" s="1"/>
  <c r="A170" i="27" s="1"/>
  <c r="A171" i="27" s="1"/>
  <c r="A172" i="27" s="1"/>
  <c r="A173" i="27" s="1"/>
  <c r="A174" i="27" s="1"/>
  <c r="A175" i="27" s="1"/>
  <c r="A176" i="27" s="1"/>
  <c r="A177" i="27" s="1"/>
  <c r="A178" i="27" s="1"/>
  <c r="A179" i="27" s="1"/>
  <c r="A180" i="27" s="1"/>
  <c r="A181" i="27" s="1"/>
  <c r="A182" i="27" s="1"/>
  <c r="A183" i="27" s="1"/>
  <c r="A184" i="27" s="1"/>
  <c r="A185" i="27" s="1"/>
  <c r="A186" i="27" s="1"/>
  <c r="A187" i="27" s="1"/>
  <c r="A188" i="27" s="1"/>
  <c r="A189" i="27" s="1"/>
  <c r="A190" i="27" s="1"/>
  <c r="A191" i="27" s="1"/>
  <c r="A192" i="27" s="1"/>
  <c r="A193" i="27" s="1"/>
  <c r="A194" i="27" s="1"/>
  <c r="A195" i="27" s="1"/>
  <c r="A196" i="27" s="1"/>
  <c r="A197" i="27" s="1"/>
  <c r="A198" i="27" s="1"/>
  <c r="A199" i="27" s="1"/>
  <c r="A200" i="27" s="1"/>
  <c r="A201" i="27" s="1"/>
  <c r="A202" i="27" s="1"/>
  <c r="A203" i="27" s="1"/>
  <c r="A204" i="27" s="1"/>
  <c r="A205" i="27" s="1"/>
  <c r="A206" i="27" s="1"/>
  <c r="A207" i="27" s="1"/>
  <c r="A208" i="27" s="1"/>
  <c r="A209" i="27" s="1"/>
  <c r="A210" i="27" s="1"/>
  <c r="A211" i="27" s="1"/>
  <c r="A212" i="27" s="1"/>
  <c r="A213" i="27" s="1"/>
  <c r="A214" i="27" s="1"/>
  <c r="A215" i="27" s="1"/>
  <c r="A216" i="27" s="1"/>
  <c r="A217" i="27" s="1"/>
  <c r="A218" i="27" s="1"/>
  <c r="A219" i="27" s="1"/>
  <c r="A220" i="27" s="1"/>
  <c r="A221" i="27" s="1"/>
  <c r="A222" i="27" s="1"/>
  <c r="A223" i="27" s="1"/>
  <c r="A224" i="27" s="1"/>
  <c r="A225" i="27" s="1"/>
  <c r="A226" i="27" s="1"/>
  <c r="A227" i="27" s="1"/>
  <c r="A228" i="27" s="1"/>
  <c r="A229" i="27" s="1"/>
  <c r="A230" i="27" s="1"/>
  <c r="A231" i="27" s="1"/>
  <c r="A232" i="27" s="1"/>
  <c r="A233" i="27" s="1"/>
  <c r="A234" i="27" s="1"/>
  <c r="A235" i="27" s="1"/>
  <c r="A236" i="27" s="1"/>
  <c r="A237" i="27" s="1"/>
  <c r="A238" i="27" s="1"/>
  <c r="A239" i="27" s="1"/>
  <c r="A240" i="27" s="1"/>
  <c r="A241" i="27" s="1"/>
  <c r="A242" i="27" s="1"/>
  <c r="A243" i="27" s="1"/>
  <c r="A244" i="27" s="1"/>
  <c r="A245" i="27" s="1"/>
  <c r="A246" i="27" s="1"/>
  <c r="A247" i="27" s="1"/>
  <c r="A248" i="27" s="1"/>
  <c r="A249" i="27" s="1"/>
  <c r="A250" i="27" s="1"/>
  <c r="A251" i="27" s="1"/>
  <c r="A252" i="27" s="1"/>
  <c r="A253" i="27" s="1"/>
  <c r="A254" i="27" s="1"/>
  <c r="A255" i="27" s="1"/>
  <c r="A256" i="27" s="1"/>
  <c r="A257" i="27" s="1"/>
  <c r="A258" i="27" s="1"/>
  <c r="A259" i="27" s="1"/>
  <c r="A260" i="27" s="1"/>
  <c r="A261" i="27" s="1"/>
  <c r="A262" i="27" s="1"/>
  <c r="A263" i="27" s="1"/>
  <c r="A264" i="27" s="1"/>
  <c r="A265" i="27" s="1"/>
  <c r="A266" i="27" s="1"/>
  <c r="C266" i="27"/>
  <c r="U39" i="32" s="1"/>
  <c r="B266" i="27"/>
  <c r="U19" i="32" s="1"/>
  <c r="C265" i="27"/>
  <c r="U38" i="32" s="1"/>
  <c r="B265" i="27"/>
  <c r="U18" i="32" s="1"/>
  <c r="C264" i="27"/>
  <c r="U37" i="32" s="1"/>
  <c r="B264" i="27"/>
  <c r="U17" i="32" s="1"/>
  <c r="C263" i="27"/>
  <c r="U36" i="32" s="1"/>
  <c r="B263" i="27"/>
  <c r="U16" i="32" s="1"/>
  <c r="C262" i="27"/>
  <c r="U35" i="32" s="1"/>
  <c r="B262" i="27"/>
  <c r="U15" i="32" s="1"/>
  <c r="C261" i="27"/>
  <c r="U34" i="32" s="1"/>
  <c r="B261" i="27"/>
  <c r="U14" i="32" s="1"/>
  <c r="C260" i="27"/>
  <c r="U33" i="32" s="1"/>
  <c r="B260" i="27"/>
  <c r="U13" i="32" s="1"/>
  <c r="C259" i="27"/>
  <c r="U32" i="32" s="1"/>
  <c r="B259" i="27"/>
  <c r="U12" i="32" s="1"/>
  <c r="C258" i="27"/>
  <c r="U31" i="32" s="1"/>
  <c r="B258" i="27"/>
  <c r="U11" i="32" s="1"/>
  <c r="C257" i="27"/>
  <c r="U30" i="32" s="1"/>
  <c r="B257" i="27"/>
  <c r="U10" i="32" s="1"/>
  <c r="C256" i="27"/>
  <c r="U29" i="32" s="1"/>
  <c r="B256" i="27"/>
  <c r="U9" i="32" s="1"/>
  <c r="C255" i="27"/>
  <c r="B255" i="27"/>
  <c r="C254" i="27"/>
  <c r="T39" i="32" s="1"/>
  <c r="B254" i="27"/>
  <c r="T19" i="32" s="1"/>
  <c r="C253" i="27"/>
  <c r="T38" i="32" s="1"/>
  <c r="B253" i="27"/>
  <c r="T18" i="32" s="1"/>
  <c r="C252" i="27"/>
  <c r="T37" i="32" s="1"/>
  <c r="B252" i="27"/>
  <c r="T17" i="32" s="1"/>
  <c r="C251" i="27"/>
  <c r="T36" i="32" s="1"/>
  <c r="B251" i="27"/>
  <c r="T16" i="32" s="1"/>
  <c r="C250" i="27"/>
  <c r="T35" i="32" s="1"/>
  <c r="B250" i="27"/>
  <c r="T15" i="32" s="1"/>
  <c r="C249" i="27"/>
  <c r="T34" i="32" s="1"/>
  <c r="B249" i="27"/>
  <c r="T14" i="32" s="1"/>
  <c r="C248" i="27"/>
  <c r="T33" i="32" s="1"/>
  <c r="B248" i="27"/>
  <c r="T13" i="32" s="1"/>
  <c r="C247" i="27"/>
  <c r="T32" i="32" s="1"/>
  <c r="B247" i="27"/>
  <c r="T12" i="32" s="1"/>
  <c r="C246" i="27"/>
  <c r="T31" i="32" s="1"/>
  <c r="B246" i="27"/>
  <c r="T11" i="32" s="1"/>
  <c r="C245" i="27"/>
  <c r="T30" i="32" s="1"/>
  <c r="B245" i="27"/>
  <c r="T10" i="32" s="1"/>
  <c r="C244" i="27"/>
  <c r="T29" i="32" s="1"/>
  <c r="B244" i="27"/>
  <c r="T9" i="32" s="1"/>
  <c r="C243" i="27"/>
  <c r="B243" i="27"/>
  <c r="C242" i="27"/>
  <c r="S39" i="32" s="1"/>
  <c r="B242" i="27"/>
  <c r="S19" i="32" s="1"/>
  <c r="C241" i="27"/>
  <c r="S38" i="32" s="1"/>
  <c r="B241" i="27"/>
  <c r="S18" i="32" s="1"/>
  <c r="C240" i="27"/>
  <c r="S37" i="32" s="1"/>
  <c r="B240" i="27"/>
  <c r="S17" i="32" s="1"/>
  <c r="C239" i="27"/>
  <c r="S36" i="32" s="1"/>
  <c r="B239" i="27"/>
  <c r="S16" i="32" s="1"/>
  <c r="C238" i="27"/>
  <c r="S35" i="32" s="1"/>
  <c r="B238" i="27"/>
  <c r="S15" i="32" s="1"/>
  <c r="C237" i="27"/>
  <c r="S34" i="32" s="1"/>
  <c r="B237" i="27"/>
  <c r="S14" i="32" s="1"/>
  <c r="C236" i="27"/>
  <c r="S33" i="32" s="1"/>
  <c r="B236" i="27"/>
  <c r="S13" i="32" s="1"/>
  <c r="C235" i="27"/>
  <c r="S32" i="32" s="1"/>
  <c r="B235" i="27"/>
  <c r="S12" i="32" s="1"/>
  <c r="C234" i="27"/>
  <c r="S31" i="32" s="1"/>
  <c r="B234" i="27"/>
  <c r="S11" i="32" s="1"/>
  <c r="C233" i="27"/>
  <c r="S30" i="32" s="1"/>
  <c r="B233" i="27"/>
  <c r="S10" i="32" s="1"/>
  <c r="C232" i="27"/>
  <c r="S29" i="32" s="1"/>
  <c r="B232" i="27"/>
  <c r="S9" i="32" s="1"/>
  <c r="C231" i="27"/>
  <c r="B231" i="27"/>
  <c r="P16" i="26"/>
  <c r="J272" i="30" s="1"/>
  <c r="N14" i="26"/>
  <c r="T12" i="26"/>
  <c r="C12" i="26"/>
  <c r="B12" i="26"/>
  <c r="D11" i="26"/>
  <c r="E11" i="26" s="1"/>
  <c r="D10" i="26"/>
  <c r="E10" i="26" s="1"/>
  <c r="D9" i="26"/>
  <c r="E9" i="26" s="1"/>
  <c r="D8" i="26"/>
  <c r="E8" i="26" s="1"/>
  <c r="F7" i="26"/>
  <c r="N120" i="30" s="1"/>
  <c r="O120" i="30" s="1"/>
  <c r="D7" i="26"/>
  <c r="E7" i="26" s="1"/>
  <c r="S6" i="26"/>
  <c r="G262" i="30" s="1"/>
  <c r="G268" i="30" s="1"/>
  <c r="R6" i="26"/>
  <c r="F262" i="30" s="1"/>
  <c r="F268" i="30" s="1"/>
  <c r="Q6" i="26"/>
  <c r="E262" i="30" s="1"/>
  <c r="P6" i="26"/>
  <c r="F6" i="26"/>
  <c r="N119" i="30" s="1"/>
  <c r="O119" i="30" s="1"/>
  <c r="D6" i="26"/>
  <c r="E6" i="26" s="1"/>
  <c r="F5" i="26"/>
  <c r="N118" i="30" s="1"/>
  <c r="O118" i="30" s="1"/>
  <c r="D5" i="26"/>
  <c r="E5" i="26" s="1"/>
  <c r="F4" i="26"/>
  <c r="N117" i="30" s="1"/>
  <c r="O117" i="30" s="1"/>
  <c r="D4" i="26"/>
  <c r="E4" i="26" s="1"/>
  <c r="F16" i="26"/>
  <c r="H2" i="26"/>
  <c r="G2" i="26"/>
  <c r="D206" i="7"/>
  <c r="C206" i="7"/>
  <c r="D205" i="7"/>
  <c r="C205" i="7"/>
  <c r="D204" i="7"/>
  <c r="C204" i="7"/>
  <c r="D203" i="7"/>
  <c r="C203" i="7"/>
  <c r="D202" i="7"/>
  <c r="C202" i="7"/>
  <c r="D201" i="7"/>
  <c r="C201" i="7"/>
  <c r="D200" i="7"/>
  <c r="C200" i="7"/>
  <c r="D199" i="7"/>
  <c r="C199" i="7"/>
  <c r="D198" i="7"/>
  <c r="C198" i="7"/>
  <c r="D197" i="7"/>
  <c r="C197" i="7"/>
  <c r="D196" i="7"/>
  <c r="C196" i="7"/>
  <c r="D195" i="7"/>
  <c r="C195" i="7"/>
  <c r="D194" i="7"/>
  <c r="C194" i="7"/>
  <c r="D193" i="7"/>
  <c r="C193" i="7"/>
  <c r="D192" i="7"/>
  <c r="C192" i="7"/>
  <c r="D191" i="7"/>
  <c r="C191" i="7"/>
  <c r="D190" i="7"/>
  <c r="C190" i="7"/>
  <c r="D189" i="7"/>
  <c r="C189" i="7"/>
  <c r="D188" i="7"/>
  <c r="C188" i="7"/>
  <c r="D187" i="7"/>
  <c r="C187" i="7"/>
  <c r="D186" i="7"/>
  <c r="C186" i="7"/>
  <c r="D185" i="7"/>
  <c r="C185" i="7"/>
  <c r="D184" i="7"/>
  <c r="C184" i="7"/>
  <c r="D183" i="7"/>
  <c r="C183" i="7"/>
  <c r="D182" i="7"/>
  <c r="D218" i="7" s="1"/>
  <c r="D230" i="7" s="1"/>
  <c r="D181" i="7"/>
  <c r="D180" i="7"/>
  <c r="D179" i="7"/>
  <c r="D178" i="7"/>
  <c r="D177" i="7"/>
  <c r="D176" i="7"/>
  <c r="D175" i="7"/>
  <c r="C182" i="7"/>
  <c r="C181" i="7"/>
  <c r="C180" i="7"/>
  <c r="C179" i="7"/>
  <c r="C178" i="7"/>
  <c r="C177" i="7"/>
  <c r="C176" i="7"/>
  <c r="C175" i="7"/>
  <c r="D174" i="7"/>
  <c r="D210" i="7" s="1"/>
  <c r="D222" i="7" s="1"/>
  <c r="C174" i="7"/>
  <c r="D173" i="7"/>
  <c r="D209" i="7" s="1"/>
  <c r="D221" i="7" s="1"/>
  <c r="C173" i="7"/>
  <c r="D172" i="7"/>
  <c r="D208" i="7" s="1"/>
  <c r="D220" i="7" s="1"/>
  <c r="C172" i="7"/>
  <c r="D171" i="7"/>
  <c r="B14" i="18"/>
  <c r="D305" i="30" s="1"/>
  <c r="K23" i="9"/>
  <c r="M30" i="11" s="1"/>
  <c r="G15" i="18"/>
  <c r="D15" i="18"/>
  <c r="L25" i="11"/>
  <c r="N23" i="9"/>
  <c r="N45" i="9" s="1"/>
  <c r="P20" i="9"/>
  <c r="O21" i="9"/>
  <c r="O43" i="9" s="1"/>
  <c r="N20" i="9"/>
  <c r="N42" i="9" s="1"/>
  <c r="H20" i="9"/>
  <c r="J17" i="11" s="1"/>
  <c r="L56" i="30"/>
  <c r="J34" i="17"/>
  <c r="L57" i="30"/>
  <c r="G14" i="18"/>
  <c r="G13" i="18"/>
  <c r="G12" i="18"/>
  <c r="P23" i="9"/>
  <c r="P21" i="9"/>
  <c r="L67" i="11"/>
  <c r="C14" i="18"/>
  <c r="K68" i="11"/>
  <c r="F13" i="18"/>
  <c r="H304" i="30" s="1"/>
  <c r="K30" i="11"/>
  <c r="O20" i="9"/>
  <c r="J50" i="11" s="1"/>
  <c r="L20" i="9"/>
  <c r="J25" i="11"/>
  <c r="F37" i="30" s="1"/>
  <c r="I20" i="9"/>
  <c r="N69" i="11"/>
  <c r="O69" i="11"/>
  <c r="L68" i="11"/>
  <c r="F14" i="18"/>
  <c r="H305" i="30" s="1"/>
  <c r="K67" i="11"/>
  <c r="D13" i="18"/>
  <c r="F304" i="30" s="1"/>
  <c r="D22" i="18"/>
  <c r="D23" i="18"/>
  <c r="D24" i="18"/>
  <c r="F24" i="18"/>
  <c r="C13" i="18"/>
  <c r="E304" i="30" s="1"/>
  <c r="B13" i="18"/>
  <c r="H31" i="17"/>
  <c r="U195" i="30" s="1"/>
  <c r="L44" i="11"/>
  <c r="I33" i="17"/>
  <c r="V197" i="30" s="1"/>
  <c r="M34" i="11"/>
  <c r="M44" i="11"/>
  <c r="M16" i="11"/>
  <c r="I31" i="17"/>
  <c r="F31" i="17"/>
  <c r="E31" i="17"/>
  <c r="B31" i="17"/>
  <c r="G19" i="9"/>
  <c r="I10" i="11" s="1"/>
  <c r="I12" i="11" s="1"/>
  <c r="B24" i="9"/>
  <c r="B25" i="9"/>
  <c r="B249" i="7"/>
  <c r="B248" i="7"/>
  <c r="B247" i="7"/>
  <c r="G15" i="9"/>
  <c r="I39" i="9"/>
  <c r="J41" i="9"/>
  <c r="K41" i="9"/>
  <c r="B246" i="7"/>
  <c r="H41" i="9"/>
  <c r="H35" i="9"/>
  <c r="H34" i="9"/>
  <c r="H36" i="9"/>
  <c r="B27" i="17"/>
  <c r="H38" i="9"/>
  <c r="H39" i="9"/>
  <c r="B25" i="17"/>
  <c r="B29" i="17"/>
  <c r="B30" i="17"/>
  <c r="I41" i="9"/>
  <c r="I35" i="9"/>
  <c r="C24" i="17"/>
  <c r="C26" i="17"/>
  <c r="I37" i="9"/>
  <c r="I38" i="9"/>
  <c r="C28" i="17"/>
  <c r="C27" i="17"/>
  <c r="J34" i="9"/>
  <c r="J36" i="9"/>
  <c r="J37" i="9"/>
  <c r="D27" i="17"/>
  <c r="J40" i="9"/>
  <c r="D25" i="17"/>
  <c r="D26" i="17"/>
  <c r="D29" i="17"/>
  <c r="D30" i="17"/>
  <c r="K34" i="9"/>
  <c r="K36" i="9"/>
  <c r="K54" i="9" s="1"/>
  <c r="K37" i="9"/>
  <c r="K38" i="9"/>
  <c r="K39" i="9"/>
  <c r="K40" i="9"/>
  <c r="L35" i="9"/>
  <c r="L34" i="9"/>
  <c r="L36" i="9"/>
  <c r="L37" i="9"/>
  <c r="L54" i="9" s="1"/>
  <c r="L38" i="9"/>
  <c r="L39" i="9"/>
  <c r="L40" i="9"/>
  <c r="N41" i="9"/>
  <c r="N37" i="9"/>
  <c r="H27" i="17"/>
  <c r="N39" i="9"/>
  <c r="N40" i="9"/>
  <c r="H29" i="17"/>
  <c r="H30" i="17"/>
  <c r="O41" i="9"/>
  <c r="O40" i="9"/>
  <c r="O39" i="9"/>
  <c r="B235" i="7"/>
  <c r="B236" i="7"/>
  <c r="B237" i="7"/>
  <c r="B238" i="7"/>
  <c r="B239" i="7"/>
  <c r="B240" i="7"/>
  <c r="B241" i="7"/>
  <c r="B242" i="7"/>
  <c r="B243" i="7"/>
  <c r="B244" i="7"/>
  <c r="B245" i="7"/>
  <c r="B234" i="7"/>
  <c r="G12" i="9"/>
  <c r="G13" i="9"/>
  <c r="G14" i="9"/>
  <c r="D10" i="30" s="1"/>
  <c r="I45" i="11"/>
  <c r="J36" i="30" s="1"/>
  <c r="H45" i="11"/>
  <c r="J35" i="30" s="1"/>
  <c r="G45" i="11"/>
  <c r="J34" i="30" s="1"/>
  <c r="I50" i="11"/>
  <c r="K36" i="30" s="1"/>
  <c r="H50" i="11"/>
  <c r="K35" i="30" s="1"/>
  <c r="G50" i="11"/>
  <c r="K34" i="30" s="1"/>
  <c r="I35" i="11"/>
  <c r="H36" i="30" s="1"/>
  <c r="H35" i="11"/>
  <c r="G35" i="11"/>
  <c r="I30" i="11"/>
  <c r="H30" i="11"/>
  <c r="G30" i="11"/>
  <c r="I25" i="11"/>
  <c r="H25" i="11"/>
  <c r="G25" i="11"/>
  <c r="I21" i="11"/>
  <c r="H21" i="11"/>
  <c r="G21" i="11"/>
  <c r="I49" i="11"/>
  <c r="K55" i="30" s="1"/>
  <c r="H49" i="11"/>
  <c r="K54" i="30" s="1"/>
  <c r="G49" i="11"/>
  <c r="K53" i="30" s="1"/>
  <c r="I44" i="11"/>
  <c r="J55" i="30" s="1"/>
  <c r="H44" i="11"/>
  <c r="J54" i="30" s="1"/>
  <c r="G44" i="11"/>
  <c r="J53" i="30" s="1"/>
  <c r="I34" i="11"/>
  <c r="H55" i="30" s="1"/>
  <c r="H34" i="11"/>
  <c r="H54" i="30" s="1"/>
  <c r="G34" i="11"/>
  <c r="H53" i="30" s="1"/>
  <c r="I29" i="11"/>
  <c r="G55" i="30" s="1"/>
  <c r="H29" i="11"/>
  <c r="G54" i="30" s="1"/>
  <c r="G29" i="11"/>
  <c r="G53" i="30" s="1"/>
  <c r="I24" i="11"/>
  <c r="F55" i="30" s="1"/>
  <c r="H24" i="11"/>
  <c r="F54" i="30" s="1"/>
  <c r="G24" i="11"/>
  <c r="F53" i="30" s="1"/>
  <c r="I20" i="11"/>
  <c r="E55" i="30" s="1"/>
  <c r="H20" i="11"/>
  <c r="E54" i="30" s="1"/>
  <c r="G20" i="11"/>
  <c r="E53" i="30" s="1"/>
  <c r="I16" i="11"/>
  <c r="H16" i="11"/>
  <c r="G16" i="11"/>
  <c r="I17" i="11"/>
  <c r="H17" i="11"/>
  <c r="G17" i="11"/>
  <c r="A4" i="7"/>
  <c r="A5" i="7" s="1"/>
  <c r="A6" i="7" s="1"/>
  <c r="A7" i="7" s="1"/>
  <c r="A8" i="7" s="1"/>
  <c r="A9" i="7" s="1"/>
  <c r="A10" i="7" s="1"/>
  <c r="A11" i="7" s="1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A37" i="7" s="1"/>
  <c r="A38" i="7" s="1"/>
  <c r="A39" i="7" s="1"/>
  <c r="A40" i="7" s="1"/>
  <c r="A41" i="7" s="1"/>
  <c r="A42" i="7" s="1"/>
  <c r="A43" i="7" s="1"/>
  <c r="A44" i="7" s="1"/>
  <c r="A45" i="7" s="1"/>
  <c r="A46" i="7" s="1"/>
  <c r="A47" i="7" s="1"/>
  <c r="A48" i="7" s="1"/>
  <c r="A49" i="7" s="1"/>
  <c r="A50" i="7" s="1"/>
  <c r="A51" i="7" s="1"/>
  <c r="A52" i="7" s="1"/>
  <c r="A53" i="7" s="1"/>
  <c r="A54" i="7" s="1"/>
  <c r="A55" i="7" s="1"/>
  <c r="A56" i="7" s="1"/>
  <c r="A57" i="7" s="1"/>
  <c r="A58" i="7" s="1"/>
  <c r="A59" i="7" s="1"/>
  <c r="A60" i="7" s="1"/>
  <c r="A61" i="7" s="1"/>
  <c r="A62" i="7" s="1"/>
  <c r="A63" i="7" s="1"/>
  <c r="A64" i="7" s="1"/>
  <c r="A65" i="7" s="1"/>
  <c r="A66" i="7" s="1"/>
  <c r="A67" i="7" s="1"/>
  <c r="A68" i="7" s="1"/>
  <c r="A69" i="7" s="1"/>
  <c r="A70" i="7" s="1"/>
  <c r="A71" i="7" s="1"/>
  <c r="A72" i="7" s="1"/>
  <c r="A73" i="7" s="1"/>
  <c r="A74" i="7" s="1"/>
  <c r="A75" i="7" s="1"/>
  <c r="A76" i="7" s="1"/>
  <c r="A77" i="7" s="1"/>
  <c r="A78" i="7" s="1"/>
  <c r="A79" i="7" s="1"/>
  <c r="A80" i="7" s="1"/>
  <c r="A81" i="7" s="1"/>
  <c r="A82" i="7" s="1"/>
  <c r="A83" i="7" s="1"/>
  <c r="A84" i="7" s="1"/>
  <c r="A85" i="7" s="1"/>
  <c r="A86" i="7" s="1"/>
  <c r="A87" i="7" s="1"/>
  <c r="A88" i="7" s="1"/>
  <c r="A89" i="7" s="1"/>
  <c r="A90" i="7" s="1"/>
  <c r="A91" i="7" s="1"/>
  <c r="A92" i="7" s="1"/>
  <c r="A93" i="7" s="1"/>
  <c r="A94" i="7" s="1"/>
  <c r="A95" i="7" s="1"/>
  <c r="A96" i="7" s="1"/>
  <c r="A97" i="7" s="1"/>
  <c r="A98" i="7" s="1"/>
  <c r="A99" i="7" s="1"/>
  <c r="A100" i="7" s="1"/>
  <c r="A101" i="7" s="1"/>
  <c r="A102" i="7" s="1"/>
  <c r="A103" i="7" s="1"/>
  <c r="A104" i="7" s="1"/>
  <c r="A105" i="7" s="1"/>
  <c r="A106" i="7" s="1"/>
  <c r="A107" i="7" s="1"/>
  <c r="A108" i="7" s="1"/>
  <c r="A109" i="7" s="1"/>
  <c r="A110" i="7" s="1"/>
  <c r="A111" i="7" s="1"/>
  <c r="A112" i="7" s="1"/>
  <c r="A113" i="7" s="1"/>
  <c r="A114" i="7" s="1"/>
  <c r="A115" i="7" s="1"/>
  <c r="A116" i="7" s="1"/>
  <c r="A117" i="7" s="1"/>
  <c r="A118" i="7" s="1"/>
  <c r="A119" i="7" s="1"/>
  <c r="A120" i="7" s="1"/>
  <c r="A121" i="7" s="1"/>
  <c r="A122" i="7" s="1"/>
  <c r="A123" i="7" s="1"/>
  <c r="A124" i="7" s="1"/>
  <c r="A125" i="7" s="1"/>
  <c r="A126" i="7" s="1"/>
  <c r="A127" i="7" s="1"/>
  <c r="A128" i="7" s="1"/>
  <c r="A129" i="7" s="1"/>
  <c r="A130" i="7" s="1"/>
  <c r="A131" i="7" s="1"/>
  <c r="A132" i="7" s="1"/>
  <c r="A133" i="7" s="1"/>
  <c r="A134" i="7" s="1"/>
  <c r="A135" i="7" s="1"/>
  <c r="A136" i="7" s="1"/>
  <c r="A137" i="7" s="1"/>
  <c r="A138" i="7" s="1"/>
  <c r="A139" i="7" s="1"/>
  <c r="A140" i="7" s="1"/>
  <c r="A141" i="7" s="1"/>
  <c r="A142" i="7" s="1"/>
  <c r="A143" i="7" s="1"/>
  <c r="A144" i="7" s="1"/>
  <c r="A145" i="7" s="1"/>
  <c r="A146" i="7" s="1"/>
  <c r="A147" i="7" s="1"/>
  <c r="A148" i="7" s="1"/>
  <c r="A149" i="7" s="1"/>
  <c r="A150" i="7" s="1"/>
  <c r="A151" i="7" s="1"/>
  <c r="A152" i="7" s="1"/>
  <c r="A153" i="7" s="1"/>
  <c r="A154" i="7" s="1"/>
  <c r="A155" i="7" s="1"/>
  <c r="A156" i="7" s="1"/>
  <c r="A157" i="7" s="1"/>
  <c r="A158" i="7" s="1"/>
  <c r="A159" i="7" s="1"/>
  <c r="A160" i="7" s="1"/>
  <c r="A161" i="7" s="1"/>
  <c r="A162" i="7" s="1"/>
  <c r="A163" i="7" s="1"/>
  <c r="A164" i="7" s="1"/>
  <c r="A165" i="7" s="1"/>
  <c r="A166" i="7" s="1"/>
  <c r="A167" i="7" s="1"/>
  <c r="A168" i="7" s="1"/>
  <c r="A169" i="7" s="1"/>
  <c r="A170" i="7" s="1"/>
  <c r="A171" i="7" s="1"/>
  <c r="A172" i="7" s="1"/>
  <c r="A173" i="7" s="1"/>
  <c r="A174" i="7" s="1"/>
  <c r="A175" i="7" s="1"/>
  <c r="A176" i="7" s="1"/>
  <c r="A177" i="7" s="1"/>
  <c r="A178" i="7" s="1"/>
  <c r="A179" i="7" s="1"/>
  <c r="A180" i="7" s="1"/>
  <c r="A181" i="7" s="1"/>
  <c r="A182" i="7" s="1"/>
  <c r="A183" i="7" s="1"/>
  <c r="A184" i="7" s="1"/>
  <c r="A185" i="7" s="1"/>
  <c r="A186" i="7" s="1"/>
  <c r="A187" i="7" s="1"/>
  <c r="A188" i="7" s="1"/>
  <c r="A189" i="7" s="1"/>
  <c r="A190" i="7" s="1"/>
  <c r="A191" i="7" s="1"/>
  <c r="A192" i="7" s="1"/>
  <c r="A193" i="7" s="1"/>
  <c r="A194" i="7" s="1"/>
  <c r="A195" i="7" s="1"/>
  <c r="A196" i="7" s="1"/>
  <c r="A197" i="7" s="1"/>
  <c r="A198" i="7" s="1"/>
  <c r="A199" i="7" s="1"/>
  <c r="A200" i="7" s="1"/>
  <c r="A201" i="7" s="1"/>
  <c r="A202" i="7" s="1"/>
  <c r="A203" i="7" s="1"/>
  <c r="A204" i="7" s="1"/>
  <c r="A205" i="7" s="1"/>
  <c r="A206" i="7" s="1"/>
  <c r="A207" i="7" s="1"/>
  <c r="A208" i="7" s="1"/>
  <c r="A209" i="7" s="1"/>
  <c r="A210" i="7" s="1"/>
  <c r="A211" i="7" s="1"/>
  <c r="A212" i="7" s="1"/>
  <c r="A213" i="7" s="1"/>
  <c r="A214" i="7" s="1"/>
  <c r="A215" i="7" s="1"/>
  <c r="A216" i="7" s="1"/>
  <c r="A217" i="7" s="1"/>
  <c r="A218" i="7" s="1"/>
  <c r="A219" i="7" s="1"/>
  <c r="A220" i="7" s="1"/>
  <c r="A221" i="7" s="1"/>
  <c r="A222" i="7" s="1"/>
  <c r="A223" i="7" s="1"/>
  <c r="A224" i="7" s="1"/>
  <c r="A225" i="7" s="1"/>
  <c r="A226" i="7" s="1"/>
  <c r="A227" i="7" s="1"/>
  <c r="A228" i="7" s="1"/>
  <c r="A229" i="7" s="1"/>
  <c r="A230" i="7" s="1"/>
  <c r="C62" i="11"/>
  <c r="E62" i="11"/>
  <c r="F49" i="11"/>
  <c r="K52" i="30" s="1"/>
  <c r="B62" i="11"/>
  <c r="D62" i="11"/>
  <c r="F62" i="11"/>
  <c r="N35" i="9"/>
  <c r="A13" i="9"/>
  <c r="A35" i="9" s="1"/>
  <c r="A14" i="9"/>
  <c r="A36" i="9" s="1"/>
  <c r="A15" i="9"/>
  <c r="A37" i="9" s="1"/>
  <c r="A16" i="9"/>
  <c r="A38" i="9" s="1"/>
  <c r="A17" i="9"/>
  <c r="A39" i="9" s="1"/>
  <c r="A18" i="9"/>
  <c r="A40" i="9" s="1"/>
  <c r="A19" i="9"/>
  <c r="A41" i="9" s="1"/>
  <c r="A12" i="9"/>
  <c r="A34" i="9" s="1"/>
  <c r="E24" i="17"/>
  <c r="E25" i="17"/>
  <c r="E26" i="17"/>
  <c r="E27" i="17"/>
  <c r="E28" i="17"/>
  <c r="E29" i="17"/>
  <c r="E30" i="17"/>
  <c r="F24" i="17"/>
  <c r="F25" i="17"/>
  <c r="F26" i="17"/>
  <c r="F27" i="17"/>
  <c r="F28" i="17"/>
  <c r="F29" i="17"/>
  <c r="F30" i="17"/>
  <c r="J16" i="11"/>
  <c r="J29" i="11"/>
  <c r="G56" i="30" s="1"/>
  <c r="J34" i="11"/>
  <c r="H56" i="30" s="1"/>
  <c r="J49" i="11"/>
  <c r="B22" i="18"/>
  <c r="B23" i="18"/>
  <c r="B11" i="18"/>
  <c r="F11" i="18"/>
  <c r="F29" i="18" s="1"/>
  <c r="D11" i="18"/>
  <c r="C11" i="18"/>
  <c r="C29" i="18"/>
  <c r="E316" i="30" s="1"/>
  <c r="F10" i="18"/>
  <c r="F28" i="18" s="1"/>
  <c r="D10" i="18"/>
  <c r="C10" i="18"/>
  <c r="B10" i="18"/>
  <c r="B9" i="18"/>
  <c r="F9" i="18"/>
  <c r="F27" i="18"/>
  <c r="D9" i="18"/>
  <c r="D27" i="18"/>
  <c r="C9" i="18"/>
  <c r="F8" i="18"/>
  <c r="D8" i="18"/>
  <c r="D26" i="18" s="1"/>
  <c r="C8" i="18"/>
  <c r="F7" i="18"/>
  <c r="F25" i="18" s="1"/>
  <c r="C7" i="18"/>
  <c r="E31" i="11"/>
  <c r="D7" i="18"/>
  <c r="D25" i="18" s="1"/>
  <c r="B6" i="18"/>
  <c r="C6" i="18"/>
  <c r="H33" i="9"/>
  <c r="I33" i="9"/>
  <c r="K33" i="9"/>
  <c r="L33" i="9"/>
  <c r="C22" i="18"/>
  <c r="C23" i="18"/>
  <c r="C2" i="17"/>
  <c r="D2" i="17"/>
  <c r="B1" i="18" s="1"/>
  <c r="E2" i="17"/>
  <c r="C1" i="18" s="1"/>
  <c r="F2" i="17"/>
  <c r="D1" i="18" s="1"/>
  <c r="H2" i="17"/>
  <c r="I2" i="17"/>
  <c r="B2" i="17"/>
  <c r="L73" i="17"/>
  <c r="L74" i="17"/>
  <c r="B73" i="17"/>
  <c r="I73" i="17"/>
  <c r="I83" i="17" s="1"/>
  <c r="B74" i="17"/>
  <c r="B84" i="17" s="1"/>
  <c r="J84" i="17" s="1"/>
  <c r="I74" i="17"/>
  <c r="I84" i="17" s="1"/>
  <c r="H73" i="17"/>
  <c r="H83" i="17" s="1"/>
  <c r="F73" i="17"/>
  <c r="F74" i="17"/>
  <c r="F84" i="17" s="1"/>
  <c r="E73" i="17"/>
  <c r="E83" i="17" s="1"/>
  <c r="E74" i="17"/>
  <c r="D72" i="17"/>
  <c r="D82" i="17" s="1"/>
  <c r="C73" i="17"/>
  <c r="C83" i="17" s="1"/>
  <c r="A21" i="9"/>
  <c r="A43" i="9" s="1"/>
  <c r="A10" i="9"/>
  <c r="A11" i="9"/>
  <c r="A33" i="9" s="1"/>
  <c r="A20" i="9"/>
  <c r="A42" i="9" s="1"/>
  <c r="A8" i="9"/>
  <c r="A9" i="9"/>
  <c r="A7" i="9"/>
  <c r="H4" i="18"/>
  <c r="H5" i="18"/>
  <c r="C64" i="11" s="1"/>
  <c r="H3" i="18"/>
  <c r="A48" i="11"/>
  <c r="K24" i="30" s="1"/>
  <c r="K64" i="30" s="1"/>
  <c r="K169" i="30" s="1"/>
  <c r="A43" i="11"/>
  <c r="J24" i="30" s="1"/>
  <c r="J64" i="30" s="1"/>
  <c r="J169" i="30" s="1"/>
  <c r="A33" i="11"/>
  <c r="H24" i="30" s="1"/>
  <c r="H64" i="30" s="1"/>
  <c r="H169" i="30" s="1"/>
  <c r="A28" i="11"/>
  <c r="G24" i="30" s="1"/>
  <c r="A23" i="11"/>
  <c r="A19" i="11"/>
  <c r="E24" i="30" s="1"/>
  <c r="A15" i="11"/>
  <c r="D24" i="30" s="1"/>
  <c r="D64" i="30" s="1"/>
  <c r="D169" i="30" s="1"/>
  <c r="B64" i="11"/>
  <c r="B16" i="11"/>
  <c r="B20" i="11"/>
  <c r="E48" i="30" s="1"/>
  <c r="B24" i="11"/>
  <c r="F48" i="30" s="1"/>
  <c r="B29" i="11"/>
  <c r="G48" i="30" s="1"/>
  <c r="B34" i="11"/>
  <c r="H48" i="30" s="1"/>
  <c r="B44" i="11"/>
  <c r="J48" i="30" s="1"/>
  <c r="B49" i="11"/>
  <c r="K48" i="30" s="1"/>
  <c r="C16" i="11"/>
  <c r="C20" i="11"/>
  <c r="E49" i="30" s="1"/>
  <c r="C24" i="11"/>
  <c r="F49" i="30" s="1"/>
  <c r="C29" i="11"/>
  <c r="G49" i="30" s="1"/>
  <c r="C34" i="11"/>
  <c r="H49" i="30" s="1"/>
  <c r="C44" i="11"/>
  <c r="J49" i="30" s="1"/>
  <c r="D16" i="11"/>
  <c r="D20" i="11"/>
  <c r="E50" i="30" s="1"/>
  <c r="D24" i="11"/>
  <c r="F50" i="30" s="1"/>
  <c r="D29" i="11"/>
  <c r="G50" i="30" s="1"/>
  <c r="D34" i="11"/>
  <c r="H50" i="30" s="1"/>
  <c r="D44" i="11"/>
  <c r="J50" i="30" s="1"/>
  <c r="D49" i="11"/>
  <c r="K50" i="30" s="1"/>
  <c r="E16" i="11"/>
  <c r="E20" i="11"/>
  <c r="E51" i="30" s="1"/>
  <c r="E24" i="11"/>
  <c r="F51" i="30" s="1"/>
  <c r="E29" i="11"/>
  <c r="G51" i="30" s="1"/>
  <c r="E34" i="11"/>
  <c r="H51" i="30" s="1"/>
  <c r="E44" i="11"/>
  <c r="J51" i="30" s="1"/>
  <c r="F16" i="11"/>
  <c r="F20" i="11"/>
  <c r="E52" i="30" s="1"/>
  <c r="F24" i="11"/>
  <c r="F52" i="30" s="1"/>
  <c r="F29" i="11"/>
  <c r="G52" i="30" s="1"/>
  <c r="F34" i="11"/>
  <c r="H52" i="30" s="1"/>
  <c r="F44" i="11"/>
  <c r="J52" i="30" s="1"/>
  <c r="B17" i="11"/>
  <c r="B21" i="11"/>
  <c r="E29" i="30" s="1"/>
  <c r="E69" i="30" s="1"/>
  <c r="E210" i="30" s="1"/>
  <c r="B25" i="11"/>
  <c r="F29" i="30" s="1"/>
  <c r="F69" i="30" s="1"/>
  <c r="F210" i="30" s="1"/>
  <c r="B30" i="11"/>
  <c r="B35" i="11"/>
  <c r="H29" i="30" s="1"/>
  <c r="H69" i="30" s="1"/>
  <c r="H210" i="30" s="1"/>
  <c r="B45" i="11"/>
  <c r="J29" i="30" s="1"/>
  <c r="B50" i="11"/>
  <c r="K29" i="30" s="1"/>
  <c r="C17" i="11"/>
  <c r="C21" i="11"/>
  <c r="E30" i="30" s="1"/>
  <c r="E70" i="30" s="1"/>
  <c r="E211" i="30" s="1"/>
  <c r="C25" i="11"/>
  <c r="F30" i="30" s="1"/>
  <c r="F70" i="30" s="1"/>
  <c r="F211" i="30" s="1"/>
  <c r="C30" i="11"/>
  <c r="C35" i="11"/>
  <c r="H30" i="30" s="1"/>
  <c r="H70" i="30" s="1"/>
  <c r="H211" i="30" s="1"/>
  <c r="C45" i="11"/>
  <c r="J30" i="30" s="1"/>
  <c r="C50" i="11"/>
  <c r="K30" i="30" s="1"/>
  <c r="D17" i="11"/>
  <c r="D21" i="11"/>
  <c r="E31" i="30" s="1"/>
  <c r="D25" i="11"/>
  <c r="F31" i="30" s="1"/>
  <c r="D30" i="11"/>
  <c r="G31" i="30" s="1"/>
  <c r="D35" i="11"/>
  <c r="H31" i="30" s="1"/>
  <c r="D45" i="11"/>
  <c r="J31" i="30" s="1"/>
  <c r="D50" i="11"/>
  <c r="K31" i="30" s="1"/>
  <c r="E17" i="11"/>
  <c r="E21" i="11"/>
  <c r="E32" i="30" s="1"/>
  <c r="E25" i="11"/>
  <c r="F32" i="30" s="1"/>
  <c r="E30" i="11"/>
  <c r="G32" i="30" s="1"/>
  <c r="E35" i="11"/>
  <c r="H32" i="30" s="1"/>
  <c r="E45" i="11"/>
  <c r="J32" i="30" s="1"/>
  <c r="E50" i="11"/>
  <c r="K32" i="30" s="1"/>
  <c r="F17" i="11"/>
  <c r="F21" i="11"/>
  <c r="E33" i="30" s="1"/>
  <c r="F25" i="11"/>
  <c r="F33" i="30" s="1"/>
  <c r="F30" i="11"/>
  <c r="G33" i="30" s="1"/>
  <c r="F35" i="11"/>
  <c r="H33" i="30" s="1"/>
  <c r="F45" i="11"/>
  <c r="J33" i="30" s="1"/>
  <c r="F50" i="11"/>
  <c r="K33" i="30" s="1"/>
  <c r="B26" i="11"/>
  <c r="B31" i="11"/>
  <c r="B36" i="11"/>
  <c r="B46" i="11"/>
  <c r="C26" i="11"/>
  <c r="C31" i="11"/>
  <c r="C36" i="11"/>
  <c r="C46" i="11"/>
  <c r="D31" i="11"/>
  <c r="D36" i="11"/>
  <c r="D46" i="11"/>
  <c r="E36" i="11"/>
  <c r="F36" i="11"/>
  <c r="G31" i="11"/>
  <c r="G46" i="11"/>
  <c r="H31" i="11"/>
  <c r="I31" i="11"/>
  <c r="I46" i="11"/>
  <c r="F4" i="11"/>
  <c r="H46" i="11"/>
  <c r="C25" i="18"/>
  <c r="G36" i="11"/>
  <c r="L4" i="17"/>
  <c r="B27" i="18"/>
  <c r="D314" i="30" s="1"/>
  <c r="G26" i="11"/>
  <c r="E46" i="11"/>
  <c r="J20" i="11"/>
  <c r="E56" i="30" s="1"/>
  <c r="E49" i="11"/>
  <c r="K51" i="30" s="1"/>
  <c r="C49" i="11"/>
  <c r="K49" i="30" s="1"/>
  <c r="H28" i="17"/>
  <c r="D28" i="17"/>
  <c r="J39" i="9"/>
  <c r="H37" i="9"/>
  <c r="B26" i="17"/>
  <c r="L41" i="9"/>
  <c r="G16" i="9"/>
  <c r="F63" i="11" s="1"/>
  <c r="J38" i="9"/>
  <c r="N38" i="9"/>
  <c r="K35" i="9"/>
  <c r="J35" i="9"/>
  <c r="D24" i="17"/>
  <c r="I36" i="9"/>
  <c r="C25" i="17"/>
  <c r="G17" i="9"/>
  <c r="N36" i="9"/>
  <c r="C29" i="17"/>
  <c r="I40" i="9"/>
  <c r="H40" i="9"/>
  <c r="G18" i="9"/>
  <c r="I29" i="17"/>
  <c r="I30" i="17"/>
  <c r="I34" i="9"/>
  <c r="H26" i="17"/>
  <c r="C30" i="17"/>
  <c r="B28" i="17"/>
  <c r="B24" i="17"/>
  <c r="C63" i="11"/>
  <c r="E63" i="11"/>
  <c r="D9" i="30"/>
  <c r="D63" i="11"/>
  <c r="H62" i="11"/>
  <c r="I56" i="9"/>
  <c r="H34" i="17"/>
  <c r="U198" i="30" s="1"/>
  <c r="H74" i="17"/>
  <c r="H84" i="17" s="1"/>
  <c r="M20" i="11"/>
  <c r="L49" i="11"/>
  <c r="N21" i="9"/>
  <c r="K45" i="11" s="1"/>
  <c r="E370" i="30" s="1"/>
  <c r="L21" i="9"/>
  <c r="K35" i="11" s="1"/>
  <c r="J43" i="9"/>
  <c r="I21" i="9"/>
  <c r="I43" i="9" s="1"/>
  <c r="H21" i="9"/>
  <c r="K17" i="11" s="1"/>
  <c r="K36" i="11"/>
  <c r="E361" i="30" s="1"/>
  <c r="F34" i="17"/>
  <c r="S198" i="30" s="1"/>
  <c r="I32" i="17"/>
  <c r="V196" i="30" s="1"/>
  <c r="K49" i="11"/>
  <c r="E374" i="30" s="1"/>
  <c r="K24" i="11"/>
  <c r="J67" i="11"/>
  <c r="J68" i="11"/>
  <c r="D12" i="18"/>
  <c r="C12" i="18"/>
  <c r="E303" i="30" s="1"/>
  <c r="F12" i="18"/>
  <c r="H303" i="30" s="1"/>
  <c r="B12" i="18"/>
  <c r="F15" i="18"/>
  <c r="C15" i="18"/>
  <c r="E306" i="30" s="1"/>
  <c r="M68" i="11"/>
  <c r="M25" i="11"/>
  <c r="H23" i="9"/>
  <c r="M17" i="11" s="1"/>
  <c r="O23" i="9"/>
  <c r="O45" i="9" s="1"/>
  <c r="I23" i="9"/>
  <c r="M21" i="11" s="1"/>
  <c r="B15" i="18"/>
  <c r="D306" i="30" s="1"/>
  <c r="D14" i="18"/>
  <c r="F305" i="30" s="1"/>
  <c r="K34" i="11"/>
  <c r="C33" i="17"/>
  <c r="P197" i="30" s="1"/>
  <c r="B32" i="17"/>
  <c r="O196" i="30" s="1"/>
  <c r="K44" i="11"/>
  <c r="E369" i="30" s="1"/>
  <c r="C24" i="18"/>
  <c r="B7" i="18"/>
  <c r="C27" i="18"/>
  <c r="E314" i="30" s="1"/>
  <c r="F26" i="18"/>
  <c r="K29" i="11"/>
  <c r="B25" i="18"/>
  <c r="H7" i="18"/>
  <c r="E64" i="11" s="1"/>
  <c r="J32" i="17"/>
  <c r="B34" i="17"/>
  <c r="O198" i="30" s="1"/>
  <c r="J44" i="11"/>
  <c r="J56" i="30" s="1"/>
  <c r="M67" i="11"/>
  <c r="H22" i="9"/>
  <c r="L17" i="11" s="1"/>
  <c r="P22" i="9"/>
  <c r="L35" i="11"/>
  <c r="L30" i="11"/>
  <c r="I22" i="9"/>
  <c r="L21" i="11" s="1"/>
  <c r="O22" i="9"/>
  <c r="N22" i="9"/>
  <c r="L45" i="11" s="1"/>
  <c r="B4" i="11"/>
  <c r="B14" i="9"/>
  <c r="N239" i="7"/>
  <c r="N235" i="7"/>
  <c r="N234" i="7"/>
  <c r="N236" i="7"/>
  <c r="N241" i="7"/>
  <c r="N242" i="7"/>
  <c r="N243" i="7"/>
  <c r="N240" i="7"/>
  <c r="N237" i="7"/>
  <c r="N238" i="7"/>
  <c r="M29" i="11"/>
  <c r="H33" i="17"/>
  <c r="U197" i="30" s="1"/>
  <c r="H32" i="17"/>
  <c r="U196" i="30" s="1"/>
  <c r="D34" i="17"/>
  <c r="Q198" i="30" s="1"/>
  <c r="L24" i="11"/>
  <c r="K16" i="11"/>
  <c r="L16" i="11"/>
  <c r="B33" i="17"/>
  <c r="O197" i="30" s="1"/>
  <c r="I34" i="17"/>
  <c r="V198" i="30" s="1"/>
  <c r="M49" i="11"/>
  <c r="L34" i="11"/>
  <c r="C34" i="17"/>
  <c r="P198" i="30" s="1"/>
  <c r="L20" i="11"/>
  <c r="K43" i="9"/>
  <c r="L59" i="30"/>
  <c r="C32" i="17"/>
  <c r="P196" i="30" s="1"/>
  <c r="K20" i="11"/>
  <c r="J30" i="11"/>
  <c r="G37" i="30" s="1"/>
  <c r="P10" i="26" l="1"/>
  <c r="D262" i="30"/>
  <c r="H262" i="30" s="1"/>
  <c r="E263" i="30" s="1"/>
  <c r="E266" i="30" s="1"/>
  <c r="N43" i="9"/>
  <c r="N60" i="9" s="1"/>
  <c r="T235" i="30" s="1"/>
  <c r="L26" i="11"/>
  <c r="F351" i="30" s="1"/>
  <c r="E268" i="30"/>
  <c r="K59" i="30"/>
  <c r="G374" i="30"/>
  <c r="D57" i="30"/>
  <c r="E341" i="30"/>
  <c r="E40" i="30"/>
  <c r="G346" i="30"/>
  <c r="E57" i="30"/>
  <c r="E345" i="30"/>
  <c r="E58" i="30"/>
  <c r="F345" i="30"/>
  <c r="F58" i="30"/>
  <c r="F349" i="30"/>
  <c r="G57" i="30"/>
  <c r="E354" i="30"/>
  <c r="H57" i="30"/>
  <c r="E359" i="30"/>
  <c r="F57" i="30"/>
  <c r="E349" i="30"/>
  <c r="H38" i="30"/>
  <c r="E360" i="30"/>
  <c r="G59" i="30"/>
  <c r="G354" i="30"/>
  <c r="E39" i="30"/>
  <c r="F346" i="30"/>
  <c r="D39" i="30"/>
  <c r="F342" i="30"/>
  <c r="D40" i="30"/>
  <c r="G342" i="30"/>
  <c r="M46" i="11"/>
  <c r="G371" i="30" s="1"/>
  <c r="H306" i="30"/>
  <c r="J36" i="11"/>
  <c r="F303" i="30"/>
  <c r="D38" i="30"/>
  <c r="E342" i="30"/>
  <c r="H58" i="30"/>
  <c r="F359" i="30"/>
  <c r="D58" i="30"/>
  <c r="F341" i="30"/>
  <c r="J39" i="30"/>
  <c r="F370" i="30"/>
  <c r="G39" i="30"/>
  <c r="F355" i="30"/>
  <c r="F40" i="30"/>
  <c r="G350" i="30"/>
  <c r="J26" i="11"/>
  <c r="D303" i="30"/>
  <c r="K58" i="30"/>
  <c r="F374" i="30"/>
  <c r="J59" i="30"/>
  <c r="G369" i="30"/>
  <c r="L31" i="11"/>
  <c r="F356" i="30" s="1"/>
  <c r="E305" i="30"/>
  <c r="J55" i="11"/>
  <c r="I303" i="30"/>
  <c r="M36" i="11"/>
  <c r="G361" i="30" s="1"/>
  <c r="F306" i="30"/>
  <c r="D242" i="27"/>
  <c r="S8" i="32"/>
  <c r="S21" i="32" s="1"/>
  <c r="Y10" i="32"/>
  <c r="X10" i="32"/>
  <c r="W10" i="32"/>
  <c r="C277" i="7" s="1"/>
  <c r="V10" i="32"/>
  <c r="C263" i="7" s="1"/>
  <c r="V12" i="32"/>
  <c r="C265" i="7" s="1"/>
  <c r="Y12" i="32"/>
  <c r="X12" i="32"/>
  <c r="W12" i="32"/>
  <c r="C279" i="7" s="1"/>
  <c r="V14" i="32"/>
  <c r="C267" i="7" s="1"/>
  <c r="Y14" i="32"/>
  <c r="X14" i="32"/>
  <c r="W14" i="32"/>
  <c r="C281" i="7" s="1"/>
  <c r="V16" i="32"/>
  <c r="C269" i="7" s="1"/>
  <c r="Y16" i="32"/>
  <c r="X16" i="32"/>
  <c r="W16" i="32"/>
  <c r="C283" i="7" s="1"/>
  <c r="Y18" i="32"/>
  <c r="X18" i="32"/>
  <c r="W18" i="32"/>
  <c r="C285" i="7" s="1"/>
  <c r="V18" i="32"/>
  <c r="C271" i="7" s="1"/>
  <c r="D254" i="27"/>
  <c r="T8" i="32"/>
  <c r="T21" i="32" s="1"/>
  <c r="U8" i="32"/>
  <c r="U21" i="32" s="1"/>
  <c r="D266" i="27"/>
  <c r="D198" i="30"/>
  <c r="M182" i="30"/>
  <c r="H39" i="30"/>
  <c r="H79" i="30" s="1"/>
  <c r="H220" i="30" s="1"/>
  <c r="F360" i="30"/>
  <c r="E59" i="30"/>
  <c r="G345" i="30"/>
  <c r="H59" i="30"/>
  <c r="G359" i="30"/>
  <c r="K26" i="11"/>
  <c r="E351" i="30" s="1"/>
  <c r="D304" i="30"/>
  <c r="G38" i="30"/>
  <c r="G78" i="30" s="1"/>
  <c r="G219" i="30" s="1"/>
  <c r="E355" i="30"/>
  <c r="K55" i="11"/>
  <c r="E380" i="30" s="1"/>
  <c r="I304" i="30"/>
  <c r="M55" i="11"/>
  <c r="G380" i="30" s="1"/>
  <c r="I306" i="30"/>
  <c r="S28" i="32"/>
  <c r="E242" i="27"/>
  <c r="Y30" i="32"/>
  <c r="W30" i="32"/>
  <c r="D277" i="7" s="1"/>
  <c r="X30" i="32"/>
  <c r="V30" i="32"/>
  <c r="D263" i="7" s="1"/>
  <c r="Y32" i="32"/>
  <c r="V32" i="32"/>
  <c r="D265" i="7" s="1"/>
  <c r="X32" i="32"/>
  <c r="W32" i="32"/>
  <c r="D279" i="7" s="1"/>
  <c r="Y34" i="32"/>
  <c r="W34" i="32"/>
  <c r="D281" i="7" s="1"/>
  <c r="X34" i="32"/>
  <c r="V34" i="32"/>
  <c r="D267" i="7" s="1"/>
  <c r="Y36" i="32"/>
  <c r="V36" i="32"/>
  <c r="D269" i="7" s="1"/>
  <c r="W36" i="32"/>
  <c r="D283" i="7" s="1"/>
  <c r="X36" i="32"/>
  <c r="Y38" i="32"/>
  <c r="W38" i="32"/>
  <c r="D285" i="7" s="1"/>
  <c r="X38" i="32"/>
  <c r="V38" i="32"/>
  <c r="D271" i="7" s="1"/>
  <c r="T28" i="32"/>
  <c r="T41" i="32" s="1"/>
  <c r="E254" i="27"/>
  <c r="U28" i="32"/>
  <c r="U41" i="32" s="1"/>
  <c r="E266" i="27"/>
  <c r="L55" i="11"/>
  <c r="F380" i="30" s="1"/>
  <c r="I305" i="30"/>
  <c r="G40" i="30"/>
  <c r="G355" i="30"/>
  <c r="V9" i="32"/>
  <c r="C262" i="7" s="1"/>
  <c r="W9" i="32"/>
  <c r="C276" i="7" s="1"/>
  <c r="Y9" i="32"/>
  <c r="X9" i="32"/>
  <c r="Y11" i="32"/>
  <c r="X11" i="32"/>
  <c r="W11" i="32"/>
  <c r="C278" i="7" s="1"/>
  <c r="V11" i="32"/>
  <c r="C264" i="7" s="1"/>
  <c r="V13" i="32"/>
  <c r="C266" i="7" s="1"/>
  <c r="Y13" i="32"/>
  <c r="X13" i="32"/>
  <c r="W13" i="32"/>
  <c r="C280" i="7" s="1"/>
  <c r="Y15" i="32"/>
  <c r="X15" i="32"/>
  <c r="W15" i="32"/>
  <c r="C282" i="7" s="1"/>
  <c r="V15" i="32"/>
  <c r="C268" i="7" s="1"/>
  <c r="W17" i="32"/>
  <c r="C284" i="7" s="1"/>
  <c r="V17" i="32"/>
  <c r="C270" i="7" s="1"/>
  <c r="Y17" i="32"/>
  <c r="X17" i="32"/>
  <c r="Y19" i="32"/>
  <c r="X19" i="32"/>
  <c r="W19" i="32"/>
  <c r="C286" i="7" s="1"/>
  <c r="V19" i="32"/>
  <c r="C272" i="7" s="1"/>
  <c r="D59" i="30"/>
  <c r="D80" i="30" s="1"/>
  <c r="D221" i="30" s="1"/>
  <c r="G341" i="30"/>
  <c r="J58" i="30"/>
  <c r="F369" i="30"/>
  <c r="F39" i="30"/>
  <c r="F79" i="30" s="1"/>
  <c r="F220" i="30" s="1"/>
  <c r="F350" i="30"/>
  <c r="Y29" i="32"/>
  <c r="X29" i="32"/>
  <c r="W29" i="32"/>
  <c r="D276" i="7" s="1"/>
  <c r="V29" i="32"/>
  <c r="D262" i="7" s="1"/>
  <c r="W31" i="32"/>
  <c r="D278" i="7" s="1"/>
  <c r="V31" i="32"/>
  <c r="D264" i="7" s="1"/>
  <c r="Y31" i="32"/>
  <c r="X31" i="32"/>
  <c r="Y33" i="32"/>
  <c r="X33" i="32"/>
  <c r="W33" i="32"/>
  <c r="D280" i="7" s="1"/>
  <c r="V33" i="32"/>
  <c r="D266" i="7" s="1"/>
  <c r="W35" i="32"/>
  <c r="D282" i="7" s="1"/>
  <c r="V35" i="32"/>
  <c r="D268" i="7" s="1"/>
  <c r="Y35" i="32"/>
  <c r="X35" i="32"/>
  <c r="Y37" i="32"/>
  <c r="X37" i="32"/>
  <c r="W37" i="32"/>
  <c r="D284" i="7" s="1"/>
  <c r="V37" i="32"/>
  <c r="D270" i="7" s="1"/>
  <c r="V39" i="32"/>
  <c r="D272" i="7" s="1"/>
  <c r="Y39" i="32"/>
  <c r="W39" i="32"/>
  <c r="D286" i="7" s="1"/>
  <c r="X39" i="32"/>
  <c r="H4" i="11"/>
  <c r="D155" i="30"/>
  <c r="B17" i="23"/>
  <c r="B60" i="23" s="1"/>
  <c r="B56" i="23"/>
  <c r="D151" i="30"/>
  <c r="B13" i="23"/>
  <c r="D147" i="30"/>
  <c r="B9" i="23"/>
  <c r="B52" i="23" s="1"/>
  <c r="B22" i="9"/>
  <c r="D159" i="30"/>
  <c r="B21" i="23"/>
  <c r="L4" i="11"/>
  <c r="F333" i="30" s="1"/>
  <c r="B16" i="9"/>
  <c r="D153" i="30"/>
  <c r="B15" i="23"/>
  <c r="B58" i="23" s="1"/>
  <c r="D149" i="30"/>
  <c r="B11" i="23"/>
  <c r="B8" i="9"/>
  <c r="D145" i="30"/>
  <c r="B7" i="23"/>
  <c r="B50" i="23" s="1"/>
  <c r="B20" i="9"/>
  <c r="D157" i="30"/>
  <c r="B19" i="23"/>
  <c r="B62" i="23" s="1"/>
  <c r="J4" i="11"/>
  <c r="B7" i="9"/>
  <c r="D144" i="30"/>
  <c r="B6" i="23"/>
  <c r="B49" i="23" s="1"/>
  <c r="E4" i="11"/>
  <c r="D152" i="30"/>
  <c r="B14" i="23"/>
  <c r="B11" i="9"/>
  <c r="D148" i="30"/>
  <c r="B10" i="23"/>
  <c r="K4" i="11"/>
  <c r="E333" i="30" s="1"/>
  <c r="D158" i="30"/>
  <c r="B20" i="23"/>
  <c r="B63" i="23" s="1"/>
  <c r="D154" i="30"/>
  <c r="B16" i="23"/>
  <c r="D150" i="30"/>
  <c r="B12" i="23"/>
  <c r="B55" i="23" s="1"/>
  <c r="B9" i="9"/>
  <c r="D146" i="30"/>
  <c r="B8" i="23"/>
  <c r="B51" i="23" s="1"/>
  <c r="I4" i="11"/>
  <c r="D156" i="30"/>
  <c r="B18" i="23"/>
  <c r="D215" i="7"/>
  <c r="D227" i="7" s="1"/>
  <c r="D212" i="7"/>
  <c r="D224" i="7" s="1"/>
  <c r="D217" i="7"/>
  <c r="D229" i="7" s="1"/>
  <c r="D213" i="7"/>
  <c r="D225" i="7" s="1"/>
  <c r="D211" i="7"/>
  <c r="D223" i="7" s="1"/>
  <c r="D216" i="7"/>
  <c r="D228" i="7" s="1"/>
  <c r="C207" i="7"/>
  <c r="G309" i="30"/>
  <c r="G324" i="30"/>
  <c r="I283" i="30"/>
  <c r="F227" i="30"/>
  <c r="E227" i="30"/>
  <c r="H227" i="30"/>
  <c r="H185" i="30"/>
  <c r="H202" i="30"/>
  <c r="H208" i="30" s="1"/>
  <c r="H224" i="30" s="1"/>
  <c r="H241" i="30" s="1"/>
  <c r="H247" i="30" s="1"/>
  <c r="H253" i="30" s="1"/>
  <c r="H280" i="30" s="1"/>
  <c r="J185" i="30"/>
  <c r="J202" i="30"/>
  <c r="J208" i="30" s="1"/>
  <c r="J224" i="30" s="1"/>
  <c r="J241" i="30" s="1"/>
  <c r="J247" i="30" s="1"/>
  <c r="J253" i="30" s="1"/>
  <c r="J280" i="30" s="1"/>
  <c r="K185" i="30"/>
  <c r="K202" i="30"/>
  <c r="K208" i="30" s="1"/>
  <c r="K224" i="30" s="1"/>
  <c r="K241" i="30" s="1"/>
  <c r="K247" i="30" s="1"/>
  <c r="K253" i="30" s="1"/>
  <c r="K280" i="30" s="1"/>
  <c r="K275" i="30" s="1"/>
  <c r="G72" i="30"/>
  <c r="G213" i="30" s="1"/>
  <c r="J72" i="30"/>
  <c r="J213" i="30" s="1"/>
  <c r="E72" i="30"/>
  <c r="E213" i="30" s="1"/>
  <c r="H71" i="30"/>
  <c r="E5" i="11"/>
  <c r="E152" i="30"/>
  <c r="F152" i="30" s="1"/>
  <c r="C14" i="23"/>
  <c r="C57" i="23" s="1"/>
  <c r="C9" i="23"/>
  <c r="C52" i="23" s="1"/>
  <c r="E147" i="30"/>
  <c r="F147" i="30" s="1"/>
  <c r="C13" i="23"/>
  <c r="C56" i="23" s="1"/>
  <c r="D56" i="23" s="1"/>
  <c r="E151" i="30"/>
  <c r="F151" i="30" s="1"/>
  <c r="C11" i="23"/>
  <c r="C54" i="23" s="1"/>
  <c r="E149" i="30"/>
  <c r="C11" i="9"/>
  <c r="D11" i="9" s="1"/>
  <c r="E11" i="9" s="1"/>
  <c r="E148" i="30"/>
  <c r="C10" i="23"/>
  <c r="C53" i="23" s="1"/>
  <c r="C7" i="23"/>
  <c r="C50" i="23" s="1"/>
  <c r="E145" i="30"/>
  <c r="F145" i="30" s="1"/>
  <c r="E150" i="30"/>
  <c r="C12" i="23"/>
  <c r="C55" i="23" s="1"/>
  <c r="E146" i="30"/>
  <c r="F146" i="30" s="1"/>
  <c r="C8" i="23"/>
  <c r="C51" i="23" s="1"/>
  <c r="C15" i="23"/>
  <c r="C58" i="23" s="1"/>
  <c r="E153" i="30"/>
  <c r="F153" i="30" s="1"/>
  <c r="C6" i="23"/>
  <c r="C49" i="23" s="1"/>
  <c r="E144" i="30"/>
  <c r="F144" i="30" s="1"/>
  <c r="F71" i="30"/>
  <c r="E89" i="30"/>
  <c r="G73" i="30"/>
  <c r="G214" i="30" s="1"/>
  <c r="F89" i="30"/>
  <c r="K74" i="30"/>
  <c r="K215" i="30" s="1"/>
  <c r="J75" i="30"/>
  <c r="J216" i="30" s="1"/>
  <c r="H73" i="30"/>
  <c r="H214" i="30" s="1"/>
  <c r="H89" i="30"/>
  <c r="K76" i="30"/>
  <c r="K217" i="30" s="1"/>
  <c r="L189" i="7"/>
  <c r="L190" i="7" s="1"/>
  <c r="L191" i="7" s="1"/>
  <c r="L192" i="7" s="1"/>
  <c r="L193" i="7" s="1"/>
  <c r="L194" i="7" s="1"/>
  <c r="L195" i="7" s="1"/>
  <c r="L196" i="7" s="1"/>
  <c r="L197" i="7" s="1"/>
  <c r="L198" i="7" s="1"/>
  <c r="L199" i="7" s="1"/>
  <c r="R20" i="9"/>
  <c r="J11" i="11" s="1"/>
  <c r="G10" i="11"/>
  <c r="G12" i="11" s="1"/>
  <c r="H10" i="11"/>
  <c r="H12" i="11" s="1"/>
  <c r="F73" i="30"/>
  <c r="F214" i="30" s="1"/>
  <c r="J73" i="30"/>
  <c r="E73" i="30"/>
  <c r="G77" i="30"/>
  <c r="G218" i="30" s="1"/>
  <c r="F72" i="30"/>
  <c r="F213" i="30" s="1"/>
  <c r="J71" i="30"/>
  <c r="J212" i="30" s="1"/>
  <c r="E71" i="30"/>
  <c r="K75" i="30"/>
  <c r="K216" i="30" s="1"/>
  <c r="J76" i="30"/>
  <c r="J217" i="30" s="1"/>
  <c r="H72" i="30"/>
  <c r="H213" i="30" s="1"/>
  <c r="G71" i="30"/>
  <c r="G212" i="30" s="1"/>
  <c r="H76" i="30"/>
  <c r="H217" i="30" s="1"/>
  <c r="J74" i="30"/>
  <c r="J215" i="30" s="1"/>
  <c r="G64" i="30"/>
  <c r="G169" i="30" s="1"/>
  <c r="E64" i="30"/>
  <c r="E169" i="30" s="1"/>
  <c r="R23" i="9"/>
  <c r="M11" i="11" s="1"/>
  <c r="G29" i="30"/>
  <c r="G69" i="30" s="1"/>
  <c r="G210" i="30" s="1"/>
  <c r="J38" i="30"/>
  <c r="G30" i="30"/>
  <c r="G70" i="30" s="1"/>
  <c r="G211" i="30" s="1"/>
  <c r="D185" i="30"/>
  <c r="D202" i="30"/>
  <c r="D208" i="30" s="1"/>
  <c r="D224" i="30" s="1"/>
  <c r="D241" i="30" s="1"/>
  <c r="D247" i="30" s="1"/>
  <c r="D253" i="30" s="1"/>
  <c r="D280" i="30" s="1"/>
  <c r="D275" i="30" s="1"/>
  <c r="R22" i="9"/>
  <c r="L11" i="11" s="1"/>
  <c r="K37" i="30"/>
  <c r="R21" i="9"/>
  <c r="K11" i="11" s="1"/>
  <c r="G34" i="30"/>
  <c r="G74" i="30" s="1"/>
  <c r="G215" i="30" s="1"/>
  <c r="G36" i="30"/>
  <c r="G76" i="30" s="1"/>
  <c r="G217" i="30" s="1"/>
  <c r="G35" i="30"/>
  <c r="G75" i="30" s="1"/>
  <c r="G216" i="30" s="1"/>
  <c r="K56" i="30"/>
  <c r="K57" i="30"/>
  <c r="N57" i="9"/>
  <c r="J57" i="30"/>
  <c r="K55" i="9"/>
  <c r="J54" i="9"/>
  <c r="H52" i="9"/>
  <c r="I57" i="9"/>
  <c r="E10" i="30"/>
  <c r="F10" i="30" s="1"/>
  <c r="D11" i="30"/>
  <c r="E11" i="30" s="1"/>
  <c r="F11" i="30" s="1"/>
  <c r="D32" i="30"/>
  <c r="E59" i="11"/>
  <c r="E73" i="11" s="1"/>
  <c r="D50" i="30"/>
  <c r="M50" i="30" s="1"/>
  <c r="D58" i="11"/>
  <c r="D36" i="30"/>
  <c r="E36" i="30"/>
  <c r="E76" i="30" s="1"/>
  <c r="E217" i="30" s="1"/>
  <c r="H35" i="30"/>
  <c r="H75" i="30" s="1"/>
  <c r="H216" i="30" s="1"/>
  <c r="D37" i="30"/>
  <c r="D33" i="30"/>
  <c r="F59" i="11"/>
  <c r="F73" i="11" s="1"/>
  <c r="D29" i="30"/>
  <c r="B59" i="11"/>
  <c r="D51" i="30"/>
  <c r="M51" i="30" s="1"/>
  <c r="E58" i="11"/>
  <c r="G11" i="30" s="1"/>
  <c r="D48" i="30"/>
  <c r="M48" i="30" s="1"/>
  <c r="B58" i="11"/>
  <c r="A348" i="30"/>
  <c r="F24" i="30"/>
  <c r="D53" i="30"/>
  <c r="M53" i="30" s="1"/>
  <c r="G58" i="11"/>
  <c r="G13" i="30" s="1"/>
  <c r="F34" i="30"/>
  <c r="F74" i="30" s="1"/>
  <c r="F215" i="30" s="1"/>
  <c r="G60" i="11"/>
  <c r="C60" i="11"/>
  <c r="C74" i="11" s="1"/>
  <c r="B60" i="11"/>
  <c r="B74" i="11" s="1"/>
  <c r="D30" i="30"/>
  <c r="C59" i="11"/>
  <c r="C73" i="11" s="1"/>
  <c r="D49" i="30"/>
  <c r="M49" i="30" s="1"/>
  <c r="C58" i="11"/>
  <c r="G9" i="30" s="1"/>
  <c r="A353" i="30"/>
  <c r="D56" i="30"/>
  <c r="D34" i="30"/>
  <c r="D54" i="30"/>
  <c r="M54" i="30" s="1"/>
  <c r="H58" i="11"/>
  <c r="G14" i="30" s="1"/>
  <c r="E34" i="30"/>
  <c r="E74" i="30" s="1"/>
  <c r="E215" i="30" s="1"/>
  <c r="H59" i="11"/>
  <c r="F35" i="30"/>
  <c r="F75" i="30" s="1"/>
  <c r="F216" i="30" s="1"/>
  <c r="D31" i="30"/>
  <c r="D59" i="11"/>
  <c r="D73" i="11" s="1"/>
  <c r="D52" i="30"/>
  <c r="M52" i="30" s="1"/>
  <c r="F58" i="11"/>
  <c r="D35" i="30"/>
  <c r="D55" i="30"/>
  <c r="M55" i="30" s="1"/>
  <c r="I58" i="11"/>
  <c r="E35" i="30"/>
  <c r="E75" i="30" s="1"/>
  <c r="F36" i="30"/>
  <c r="F76" i="30" s="1"/>
  <c r="F217" i="30" s="1"/>
  <c r="H34" i="30"/>
  <c r="H74" i="30" s="1"/>
  <c r="H215" i="30" s="1"/>
  <c r="D33" i="18"/>
  <c r="F320" i="30" s="1"/>
  <c r="L201" i="7"/>
  <c r="L202" i="7" s="1"/>
  <c r="L203" i="7" s="1"/>
  <c r="L204" i="7" s="1"/>
  <c r="L205" i="7" s="1"/>
  <c r="L206" i="7" s="1"/>
  <c r="I59" i="11"/>
  <c r="G59" i="11"/>
  <c r="I62" i="11"/>
  <c r="D214" i="7"/>
  <c r="D226" i="7" s="1"/>
  <c r="H42" i="9"/>
  <c r="K58" i="11"/>
  <c r="G17" i="30" s="1"/>
  <c r="D207" i="7"/>
  <c r="D219" i="7" s="1"/>
  <c r="K58" i="9"/>
  <c r="Q233" i="30" s="1"/>
  <c r="I54" i="9"/>
  <c r="K57" i="9"/>
  <c r="Q232" i="30" s="1"/>
  <c r="H58" i="9"/>
  <c r="J57" i="9"/>
  <c r="P232" i="30" s="1"/>
  <c r="L177" i="7"/>
  <c r="L178" i="7" s="1"/>
  <c r="L179" i="7" s="1"/>
  <c r="L180" i="7" s="1"/>
  <c r="L181" i="7" s="1"/>
  <c r="L182" i="7" s="1"/>
  <c r="L183" i="7" s="1"/>
  <c r="L184" i="7" s="1"/>
  <c r="L185" i="7" s="1"/>
  <c r="L186" i="7" s="1"/>
  <c r="L187" i="7" s="1"/>
  <c r="L171" i="7"/>
  <c r="L172" i="7" s="1"/>
  <c r="L173" i="7" s="1"/>
  <c r="L174" i="7" s="1"/>
  <c r="L175" i="7" s="1"/>
  <c r="K46" i="11"/>
  <c r="E371" i="30" s="1"/>
  <c r="O42" i="9"/>
  <c r="O59" i="9" s="1"/>
  <c r="U234" i="30" s="1"/>
  <c r="P42" i="9"/>
  <c r="J46" i="11"/>
  <c r="P43" i="9"/>
  <c r="B31" i="18"/>
  <c r="D318" i="30" s="1"/>
  <c r="K50" i="11"/>
  <c r="E375" i="30" s="1"/>
  <c r="C209" i="7"/>
  <c r="C211" i="7"/>
  <c r="C213" i="7"/>
  <c r="C215" i="7"/>
  <c r="C217" i="7"/>
  <c r="L45" i="9"/>
  <c r="K45" i="9"/>
  <c r="H15" i="18"/>
  <c r="M69" i="11"/>
  <c r="C208" i="7"/>
  <c r="C210" i="7"/>
  <c r="C212" i="7"/>
  <c r="C214" i="7"/>
  <c r="C216" i="7"/>
  <c r="C218" i="7"/>
  <c r="H43" i="9"/>
  <c r="I44" i="9"/>
  <c r="I61" i="9" s="1"/>
  <c r="O236" i="30" s="1"/>
  <c r="J55" i="9"/>
  <c r="P44" i="9"/>
  <c r="F31" i="18"/>
  <c r="H318" i="30" s="1"/>
  <c r="N44" i="9"/>
  <c r="D31" i="18"/>
  <c r="F318" i="30" s="1"/>
  <c r="M35" i="11"/>
  <c r="L44" i="9"/>
  <c r="K25" i="11"/>
  <c r="H44" i="9"/>
  <c r="I53" i="9"/>
  <c r="G63" i="11"/>
  <c r="C32" i="18"/>
  <c r="E319" i="30" s="1"/>
  <c r="H45" i="9"/>
  <c r="I45" i="9"/>
  <c r="J214" i="7"/>
  <c r="H54" i="9"/>
  <c r="I58" i="9"/>
  <c r="L53" i="9"/>
  <c r="N58" i="9"/>
  <c r="H57" i="9"/>
  <c r="H53" i="9"/>
  <c r="J52" i="9"/>
  <c r="J58" i="9"/>
  <c r="P233" i="30" s="1"/>
  <c r="N55" i="9"/>
  <c r="N54" i="9"/>
  <c r="N56" i="9"/>
  <c r="J74" i="17"/>
  <c r="M74" i="17" s="1"/>
  <c r="G4" i="11"/>
  <c r="B61" i="23"/>
  <c r="B17" i="9"/>
  <c r="O234" i="7"/>
  <c r="P234" i="7" s="1"/>
  <c r="B59" i="23"/>
  <c r="O237" i="7"/>
  <c r="P237" i="7" s="1"/>
  <c r="C15" i="9"/>
  <c r="O236" i="7"/>
  <c r="P236" i="7" s="1"/>
  <c r="O239" i="7"/>
  <c r="P239" i="7" s="1"/>
  <c r="B21" i="9"/>
  <c r="C7" i="9"/>
  <c r="D7" i="9" s="1"/>
  <c r="E7" i="9" s="1"/>
  <c r="C16" i="9"/>
  <c r="D16" i="9" s="1"/>
  <c r="E16" i="9" s="1"/>
  <c r="O238" i="7"/>
  <c r="P238" i="7" s="1"/>
  <c r="B53" i="23"/>
  <c r="C14" i="9"/>
  <c r="D14" i="9" s="1"/>
  <c r="E14" i="9" s="1"/>
  <c r="O240" i="7"/>
  <c r="P240" i="7" s="1"/>
  <c r="B15" i="9"/>
  <c r="O235" i="7"/>
  <c r="P235" i="7" s="1"/>
  <c r="C10" i="9"/>
  <c r="C8" i="9"/>
  <c r="D8" i="9" s="1"/>
  <c r="E8" i="9" s="1"/>
  <c r="C5" i="11"/>
  <c r="C13" i="9"/>
  <c r="F16" i="9"/>
  <c r="B19" i="9"/>
  <c r="F5" i="11"/>
  <c r="F6" i="11" s="1"/>
  <c r="O243" i="7"/>
  <c r="P243" i="7" s="1"/>
  <c r="C9" i="9"/>
  <c r="D9" i="9" s="1"/>
  <c r="E9" i="9" s="1"/>
  <c r="O242" i="7"/>
  <c r="P242" i="7" s="1"/>
  <c r="D4" i="11"/>
  <c r="B57" i="23"/>
  <c r="N59" i="9"/>
  <c r="T234" i="30" s="1"/>
  <c r="O44" i="9"/>
  <c r="O62" i="9" s="1"/>
  <c r="U237" i="30" s="1"/>
  <c r="L50" i="11"/>
  <c r="F375" i="30" s="1"/>
  <c r="K52" i="9"/>
  <c r="J56" i="9"/>
  <c r="P231" i="30" s="1"/>
  <c r="K31" i="11"/>
  <c r="E356" i="30" s="1"/>
  <c r="H13" i="18"/>
  <c r="L304" i="30" s="1"/>
  <c r="C31" i="18"/>
  <c r="E318" i="30" s="1"/>
  <c r="J35" i="11"/>
  <c r="H37" i="30" s="1"/>
  <c r="D30" i="18"/>
  <c r="F317" i="30" s="1"/>
  <c r="P45" i="9"/>
  <c r="J31" i="11"/>
  <c r="F46" i="11"/>
  <c r="H10" i="18"/>
  <c r="L301" i="30" s="1"/>
  <c r="H26" i="11"/>
  <c r="B28" i="18"/>
  <c r="D315" i="30" s="1"/>
  <c r="G62" i="11"/>
  <c r="L42" i="9"/>
  <c r="D5" i="11"/>
  <c r="O241" i="7"/>
  <c r="P241" i="7" s="1"/>
  <c r="M50" i="11"/>
  <c r="B30" i="18"/>
  <c r="D317" i="30" s="1"/>
  <c r="H12" i="18"/>
  <c r="L303" i="30" s="1"/>
  <c r="B12" i="9"/>
  <c r="B54" i="23"/>
  <c r="O58" i="9"/>
  <c r="L55" i="9"/>
  <c r="K53" i="9"/>
  <c r="H55" i="9"/>
  <c r="H56" i="9"/>
  <c r="I38" i="17"/>
  <c r="K199" i="30" s="1"/>
  <c r="K204" i="30" s="1"/>
  <c r="K205" i="30" s="1"/>
  <c r="H11" i="18"/>
  <c r="L302" i="30" s="1"/>
  <c r="I26" i="11"/>
  <c r="B29" i="18"/>
  <c r="D316" i="30" s="1"/>
  <c r="D31" i="17"/>
  <c r="D73" i="17"/>
  <c r="J42" i="9"/>
  <c r="J60" i="9" s="1"/>
  <c r="P235" i="30" s="1"/>
  <c r="J24" i="11"/>
  <c r="F56" i="30" s="1"/>
  <c r="F77" i="30" s="1"/>
  <c r="F218" i="30" s="1"/>
  <c r="I123" i="7"/>
  <c r="F17" i="26"/>
  <c r="T6" i="26"/>
  <c r="C12" i="9"/>
  <c r="B5" i="11"/>
  <c r="B6" i="11" s="1"/>
  <c r="E26" i="11"/>
  <c r="I36" i="11"/>
  <c r="D29" i="18"/>
  <c r="H63" i="11"/>
  <c r="L58" i="9"/>
  <c r="E84" i="17"/>
  <c r="F83" i="17"/>
  <c r="B8" i="18"/>
  <c r="C26" i="18"/>
  <c r="F31" i="11"/>
  <c r="C28" i="18"/>
  <c r="E315" i="30" s="1"/>
  <c r="B18" i="9"/>
  <c r="L43" i="9"/>
  <c r="F32" i="17"/>
  <c r="S196" i="30" s="1"/>
  <c r="F33" i="17"/>
  <c r="S197" i="30" s="1"/>
  <c r="J45" i="11"/>
  <c r="F30" i="18"/>
  <c r="H317" i="30" s="1"/>
  <c r="M45" i="11"/>
  <c r="F33" i="18"/>
  <c r="H320" i="30" s="1"/>
  <c r="H38" i="17"/>
  <c r="J199" i="30" s="1"/>
  <c r="J204" i="30" s="1"/>
  <c r="B83" i="17"/>
  <c r="J73" i="17"/>
  <c r="M73" i="17" s="1"/>
  <c r="D26" i="11"/>
  <c r="D60" i="11" s="1"/>
  <c r="H9" i="18"/>
  <c r="L300" i="30" s="1"/>
  <c r="D28" i="18"/>
  <c r="H36" i="11"/>
  <c r="D8" i="30"/>
  <c r="B63" i="11"/>
  <c r="L56" i="9"/>
  <c r="L57" i="9"/>
  <c r="K56" i="9"/>
  <c r="Q231" i="30" s="1"/>
  <c r="I52" i="9"/>
  <c r="H6" i="18"/>
  <c r="D64" i="11" s="1"/>
  <c r="D12" i="26"/>
  <c r="E12" i="26" s="1"/>
  <c r="B38" i="17"/>
  <c r="D199" i="30" s="1"/>
  <c r="D204" i="30" s="1"/>
  <c r="D205" i="30" s="1"/>
  <c r="J69" i="11"/>
  <c r="O57" i="9"/>
  <c r="I63" i="11"/>
  <c r="B24" i="18"/>
  <c r="C31" i="17"/>
  <c r="C38" i="17" s="1"/>
  <c r="E199" i="30" s="1"/>
  <c r="E204" i="30" s="1"/>
  <c r="E205" i="30" s="1"/>
  <c r="C74" i="17"/>
  <c r="I55" i="9"/>
  <c r="K69" i="11"/>
  <c r="B10" i="9"/>
  <c r="L52" i="9"/>
  <c r="J53" i="9"/>
  <c r="F1" i="18"/>
  <c r="L69" i="11"/>
  <c r="F14" i="9"/>
  <c r="M4" i="11"/>
  <c r="G333" i="30" s="1"/>
  <c r="B23" i="9"/>
  <c r="C4" i="11"/>
  <c r="B254" i="7"/>
  <c r="B13" i="9"/>
  <c r="K42" i="9"/>
  <c r="C30" i="18"/>
  <c r="E317" i="30" s="1"/>
  <c r="M26" i="11"/>
  <c r="G351" i="30" s="1"/>
  <c r="B33" i="18"/>
  <c r="D320" i="30" s="1"/>
  <c r="D32" i="17"/>
  <c r="Q196" i="30" s="1"/>
  <c r="D33" i="17"/>
  <c r="Q197" i="30" s="1"/>
  <c r="M31" i="11"/>
  <c r="G356" i="30" s="1"/>
  <c r="C33" i="18"/>
  <c r="E320" i="30" s="1"/>
  <c r="L29" i="11"/>
  <c r="E33" i="17"/>
  <c r="R197" i="30" s="1"/>
  <c r="E34" i="17"/>
  <c r="R198" i="30" s="1"/>
  <c r="K44" i="9"/>
  <c r="L62" i="11"/>
  <c r="F387" i="30" s="1"/>
  <c r="F32" i="18"/>
  <c r="H319" i="30" s="1"/>
  <c r="L46" i="11"/>
  <c r="F371" i="30" s="1"/>
  <c r="L36" i="11"/>
  <c r="F361" i="30" s="1"/>
  <c r="D32" i="18"/>
  <c r="F319" i="30" s="1"/>
  <c r="G23" i="9"/>
  <c r="M10" i="11" s="1"/>
  <c r="J45" i="9"/>
  <c r="H14" i="18"/>
  <c r="E32" i="17"/>
  <c r="R196" i="30" s="1"/>
  <c r="K21" i="11"/>
  <c r="G21" i="9"/>
  <c r="K10" i="11" s="1"/>
  <c r="M24" i="11"/>
  <c r="G349" i="30" s="1"/>
  <c r="M62" i="11"/>
  <c r="G387" i="30" s="1"/>
  <c r="I42" i="9"/>
  <c r="J21" i="11"/>
  <c r="E37" i="30" s="1"/>
  <c r="E77" i="30" s="1"/>
  <c r="E218" i="30" s="1"/>
  <c r="G20" i="9"/>
  <c r="J10" i="11" s="1"/>
  <c r="J33" i="17"/>
  <c r="J38" i="17" s="1"/>
  <c r="L58" i="30"/>
  <c r="J44" i="9"/>
  <c r="J61" i="9" s="1"/>
  <c r="P236" i="30" s="1"/>
  <c r="B32" i="18"/>
  <c r="D319" i="30" s="1"/>
  <c r="G22" i="9"/>
  <c r="L10" i="11" s="1"/>
  <c r="N61" i="9" l="1"/>
  <c r="T236" i="30" s="1"/>
  <c r="D79" i="30"/>
  <c r="D220" i="30" s="1"/>
  <c r="D237" i="30" s="1"/>
  <c r="I73" i="11"/>
  <c r="G80" i="30"/>
  <c r="G221" i="30" s="1"/>
  <c r="E80" i="30"/>
  <c r="E221" i="30" s="1"/>
  <c r="D266" i="30"/>
  <c r="D268" i="30"/>
  <c r="D272" i="30" s="1"/>
  <c r="E383" i="30"/>
  <c r="J79" i="30"/>
  <c r="J220" i="30" s="1"/>
  <c r="F385" i="30"/>
  <c r="J12" i="11"/>
  <c r="H78" i="30"/>
  <c r="H219" i="30" s="1"/>
  <c r="J305" i="30"/>
  <c r="E79" i="30"/>
  <c r="E220" i="30" s="1"/>
  <c r="E237" i="30" s="1"/>
  <c r="J306" i="30"/>
  <c r="G235" i="30"/>
  <c r="U22" i="32"/>
  <c r="D268" i="27" s="1"/>
  <c r="D78" i="30"/>
  <c r="D219" i="30" s="1"/>
  <c r="H268" i="30"/>
  <c r="Q10" i="26"/>
  <c r="E109" i="30"/>
  <c r="F263" i="30"/>
  <c r="E269" i="30"/>
  <c r="E272" i="30" s="1"/>
  <c r="L12" i="11"/>
  <c r="D18" i="30" s="1"/>
  <c r="G58" i="30"/>
  <c r="G79" i="30" s="1"/>
  <c r="G220" i="30" s="1"/>
  <c r="G236" i="30" s="1"/>
  <c r="F354" i="30"/>
  <c r="F383" i="30" s="1"/>
  <c r="F391" i="30" s="1"/>
  <c r="K40" i="30"/>
  <c r="K80" i="30" s="1"/>
  <c r="K221" i="30" s="1"/>
  <c r="G375" i="30"/>
  <c r="F38" i="30"/>
  <c r="F78" i="30" s="1"/>
  <c r="F219" i="30" s="1"/>
  <c r="F235" i="30" s="1"/>
  <c r="E350" i="30"/>
  <c r="Y28" i="32"/>
  <c r="V28" i="32"/>
  <c r="D261" i="7" s="1"/>
  <c r="X28" i="32"/>
  <c r="W28" i="32"/>
  <c r="D275" i="7" s="1"/>
  <c r="E385" i="30"/>
  <c r="V8" i="32"/>
  <c r="C261" i="7" s="1"/>
  <c r="W8" i="32"/>
  <c r="C275" i="7" s="1"/>
  <c r="Y8" i="32"/>
  <c r="X8" i="32"/>
  <c r="J303" i="30"/>
  <c r="M64" i="11"/>
  <c r="G389" i="30" s="1"/>
  <c r="L306" i="30"/>
  <c r="G385" i="30"/>
  <c r="J40" i="30"/>
  <c r="J80" i="30" s="1"/>
  <c r="G370" i="30"/>
  <c r="H40" i="30"/>
  <c r="H80" i="30" s="1"/>
  <c r="H221" i="30" s="1"/>
  <c r="H237" i="30" s="1"/>
  <c r="G360" i="30"/>
  <c r="E267" i="27"/>
  <c r="S41" i="32"/>
  <c r="U42" i="32" s="1"/>
  <c r="E268" i="27" s="1"/>
  <c r="L64" i="11"/>
  <c r="F389" i="30" s="1"/>
  <c r="F393" i="30" s="1"/>
  <c r="L305" i="30"/>
  <c r="E38" i="30"/>
  <c r="E78" i="30" s="1"/>
  <c r="E219" i="30" s="1"/>
  <c r="E235" i="30" s="1"/>
  <c r="E346" i="30"/>
  <c r="G383" i="30"/>
  <c r="G391" i="30" s="1"/>
  <c r="J304" i="30"/>
  <c r="D267" i="27"/>
  <c r="J205" i="30"/>
  <c r="F149" i="30"/>
  <c r="E6" i="11"/>
  <c r="F150" i="30"/>
  <c r="F148" i="30"/>
  <c r="N123" i="7"/>
  <c r="O123" i="7" s="1"/>
  <c r="P123" i="7" s="1"/>
  <c r="Q123" i="7" s="1"/>
  <c r="H231" i="30"/>
  <c r="F233" i="30"/>
  <c r="G231" i="30"/>
  <c r="G232" i="30"/>
  <c r="G227" i="30"/>
  <c r="H236" i="30"/>
  <c r="J233" i="30"/>
  <c r="E234" i="30"/>
  <c r="F231" i="30"/>
  <c r="J275" i="30"/>
  <c r="H295" i="30"/>
  <c r="G233" i="30"/>
  <c r="K233" i="30"/>
  <c r="H275" i="30"/>
  <c r="F295" i="30"/>
  <c r="F234" i="30"/>
  <c r="G228" i="30"/>
  <c r="H230" i="30"/>
  <c r="G230" i="30"/>
  <c r="K232" i="30"/>
  <c r="J229" i="30"/>
  <c r="F232" i="30"/>
  <c r="F230" i="30"/>
  <c r="J232" i="30"/>
  <c r="G229" i="30"/>
  <c r="G234" i="30"/>
  <c r="H232" i="30"/>
  <c r="H233" i="30"/>
  <c r="E90" i="30"/>
  <c r="E212" i="30"/>
  <c r="E228" i="30" s="1"/>
  <c r="J221" i="30"/>
  <c r="F90" i="30"/>
  <c r="F212" i="30"/>
  <c r="F228" i="30" s="1"/>
  <c r="H90" i="30"/>
  <c r="H212" i="30"/>
  <c r="H228" i="30" s="1"/>
  <c r="E92" i="30"/>
  <c r="E214" i="30"/>
  <c r="E230" i="30" s="1"/>
  <c r="E94" i="30"/>
  <c r="E216" i="30"/>
  <c r="E232" i="30" s="1"/>
  <c r="J92" i="30"/>
  <c r="J214" i="30"/>
  <c r="J230" i="30" s="1"/>
  <c r="E93" i="30"/>
  <c r="G92" i="30"/>
  <c r="E185" i="30"/>
  <c r="E202" i="30"/>
  <c r="G185" i="30"/>
  <c r="G202" i="30"/>
  <c r="J91" i="30"/>
  <c r="H91" i="30"/>
  <c r="Q242" i="7"/>
  <c r="H152" i="30"/>
  <c r="H145" i="30"/>
  <c r="Q235" i="7"/>
  <c r="D58" i="23"/>
  <c r="H144" i="30"/>
  <c r="Q234" i="7"/>
  <c r="D50" i="23"/>
  <c r="Q238" i="7"/>
  <c r="H148" i="30"/>
  <c r="H147" i="30"/>
  <c r="Q237" i="7"/>
  <c r="Q236" i="7"/>
  <c r="H146" i="30"/>
  <c r="D55" i="23"/>
  <c r="H151" i="30"/>
  <c r="Q241" i="7"/>
  <c r="H153" i="30"/>
  <c r="Q243" i="7"/>
  <c r="Q240" i="7"/>
  <c r="H150" i="30"/>
  <c r="H149" i="30"/>
  <c r="Q239" i="7"/>
  <c r="F91" i="30"/>
  <c r="K94" i="30"/>
  <c r="H92" i="30"/>
  <c r="J93" i="30"/>
  <c r="K95" i="30"/>
  <c r="E91" i="30"/>
  <c r="E96" i="30"/>
  <c r="F93" i="30"/>
  <c r="G89" i="30"/>
  <c r="G93" i="30"/>
  <c r="G90" i="30"/>
  <c r="F96" i="30"/>
  <c r="J94" i="30"/>
  <c r="E95" i="30"/>
  <c r="F92" i="30"/>
  <c r="G91" i="30"/>
  <c r="H93" i="30"/>
  <c r="H94" i="30"/>
  <c r="H95" i="30"/>
  <c r="J95" i="30"/>
  <c r="G96" i="30"/>
  <c r="F95" i="30"/>
  <c r="G95" i="30"/>
  <c r="J54" i="11"/>
  <c r="L37" i="30" s="1"/>
  <c r="L77" i="30" s="1"/>
  <c r="L218" i="30" s="1"/>
  <c r="H98" i="30"/>
  <c r="K12" i="11"/>
  <c r="G86" i="30"/>
  <c r="G97" i="30"/>
  <c r="F94" i="30"/>
  <c r="G94" i="30"/>
  <c r="M12" i="11"/>
  <c r="D19" i="30" s="1"/>
  <c r="G30" i="18"/>
  <c r="I317" i="30" s="1"/>
  <c r="D75" i="30"/>
  <c r="D216" i="30" s="1"/>
  <c r="K77" i="30"/>
  <c r="D74" i="30"/>
  <c r="D215" i="30" s="1"/>
  <c r="J78" i="30"/>
  <c r="J219" i="30" s="1"/>
  <c r="H77" i="30"/>
  <c r="M31" i="30"/>
  <c r="D71" i="30"/>
  <c r="D212" i="30" s="1"/>
  <c r="D76" i="30"/>
  <c r="D217" i="30" s="1"/>
  <c r="M33" i="30"/>
  <c r="D73" i="30"/>
  <c r="D214" i="30" s="1"/>
  <c r="D77" i="30"/>
  <c r="D218" i="30" s="1"/>
  <c r="M32" i="30"/>
  <c r="D72" i="30"/>
  <c r="D213" i="30" s="1"/>
  <c r="M57" i="30"/>
  <c r="M29" i="30"/>
  <c r="F64" i="30"/>
  <c r="F169" i="30" s="1"/>
  <c r="M56" i="30"/>
  <c r="H72" i="11"/>
  <c r="K39" i="30"/>
  <c r="K79" i="30" s="1"/>
  <c r="K220" i="30" s="1"/>
  <c r="L54" i="11"/>
  <c r="G32" i="18"/>
  <c r="I319" i="30" s="1"/>
  <c r="G31" i="18"/>
  <c r="I318" i="30" s="1"/>
  <c r="K54" i="11"/>
  <c r="M54" i="11"/>
  <c r="G33" i="18"/>
  <c r="I320" i="30" s="1"/>
  <c r="K38" i="30"/>
  <c r="K78" i="30" s="1"/>
  <c r="K219" i="30" s="1"/>
  <c r="J37" i="30"/>
  <c r="M30" i="30"/>
  <c r="F20" i="9"/>
  <c r="J63" i="11"/>
  <c r="M63" i="11"/>
  <c r="G388" i="30" s="1"/>
  <c r="F22" i="9"/>
  <c r="L63" i="11"/>
  <c r="F388" i="30" s="1"/>
  <c r="K63" i="11"/>
  <c r="E388" i="30" s="1"/>
  <c r="F72" i="11"/>
  <c r="G12" i="30"/>
  <c r="H12" i="30" s="1"/>
  <c r="I12" i="30" s="1"/>
  <c r="D72" i="11"/>
  <c r="G10" i="30"/>
  <c r="H10" i="30" s="1"/>
  <c r="I10" i="30" s="1"/>
  <c r="O60" i="9"/>
  <c r="U235" i="30" s="1"/>
  <c r="B72" i="11"/>
  <c r="G8" i="30"/>
  <c r="H9" i="30" s="1"/>
  <c r="I9" i="30" s="1"/>
  <c r="M58" i="11"/>
  <c r="G19" i="30" s="1"/>
  <c r="F59" i="30"/>
  <c r="C72" i="11"/>
  <c r="E72" i="11"/>
  <c r="I72" i="11"/>
  <c r="G15" i="30"/>
  <c r="H15" i="30" s="1"/>
  <c r="I15" i="30" s="1"/>
  <c r="H14" i="30"/>
  <c r="I14" i="30" s="1"/>
  <c r="M35" i="30"/>
  <c r="M34" i="30"/>
  <c r="M36" i="30"/>
  <c r="D15" i="30"/>
  <c r="I60" i="11"/>
  <c r="D70" i="30"/>
  <c r="D211" i="30" s="1"/>
  <c r="D69" i="30"/>
  <c r="D210" i="30" s="1"/>
  <c r="E60" i="11"/>
  <c r="E74" i="11" s="1"/>
  <c r="D13" i="30"/>
  <c r="E9" i="30"/>
  <c r="F9" i="30" s="1"/>
  <c r="D14" i="30"/>
  <c r="H73" i="11"/>
  <c r="H60" i="11"/>
  <c r="G73" i="11"/>
  <c r="D12" i="30"/>
  <c r="E12" i="30" s="1"/>
  <c r="F12" i="30" s="1"/>
  <c r="J58" i="11"/>
  <c r="G16" i="30" s="1"/>
  <c r="H59" i="9"/>
  <c r="N234" i="30" s="1"/>
  <c r="J60" i="11"/>
  <c r="K60" i="11"/>
  <c r="P60" i="9"/>
  <c r="V235" i="30" s="1"/>
  <c r="C222" i="7"/>
  <c r="C225" i="7"/>
  <c r="C220" i="7"/>
  <c r="C223" i="7"/>
  <c r="L58" i="11"/>
  <c r="G18" i="30" s="1"/>
  <c r="C221" i="7"/>
  <c r="L60" i="11"/>
  <c r="C219" i="7"/>
  <c r="C230" i="7"/>
  <c r="C228" i="7"/>
  <c r="C226" i="7"/>
  <c r="C229" i="7"/>
  <c r="C224" i="7"/>
  <c r="C227" i="7"/>
  <c r="L61" i="9"/>
  <c r="R236" i="30" s="1"/>
  <c r="M60" i="11"/>
  <c r="B73" i="11"/>
  <c r="D74" i="11"/>
  <c r="P61" i="9"/>
  <c r="V236" i="30" s="1"/>
  <c r="H60" i="9"/>
  <c r="N235" i="30" s="1"/>
  <c r="G72" i="11"/>
  <c r="L62" i="9"/>
  <c r="R237" i="30" s="1"/>
  <c r="H62" i="9"/>
  <c r="N237" i="30" s="1"/>
  <c r="H61" i="9"/>
  <c r="N236" i="30" s="1"/>
  <c r="F35" i="18"/>
  <c r="H321" i="30" s="1"/>
  <c r="P62" i="9"/>
  <c r="V237" i="30" s="1"/>
  <c r="I62" i="9"/>
  <c r="O237" i="30" s="1"/>
  <c r="J64" i="11"/>
  <c r="N62" i="9"/>
  <c r="O61" i="9"/>
  <c r="L60" i="9"/>
  <c r="R235" i="30" s="1"/>
  <c r="F23" i="9"/>
  <c r="E89" i="17"/>
  <c r="E94" i="17" s="1"/>
  <c r="E99" i="17" s="1"/>
  <c r="F17" i="9"/>
  <c r="F21" i="9"/>
  <c r="J215" i="7"/>
  <c r="D51" i="23"/>
  <c r="B89" i="17"/>
  <c r="B94" i="17" s="1"/>
  <c r="I89" i="17"/>
  <c r="I94" i="17" s="1"/>
  <c r="I99" i="17" s="1"/>
  <c r="H89" i="17"/>
  <c r="H94" i="17" s="1"/>
  <c r="H99" i="17" s="1"/>
  <c r="F89" i="17"/>
  <c r="F94" i="17" s="1"/>
  <c r="F99" i="17" s="1"/>
  <c r="B40" i="17"/>
  <c r="D10" i="9"/>
  <c r="E10" i="9" s="1"/>
  <c r="F15" i="9"/>
  <c r="D54" i="23"/>
  <c r="D15" i="9"/>
  <c r="E15" i="9" s="1"/>
  <c r="D53" i="23"/>
  <c r="D49" i="23"/>
  <c r="C6" i="11"/>
  <c r="D12" i="9"/>
  <c r="E12" i="9" s="1"/>
  <c r="F12" i="9"/>
  <c r="D52" i="23"/>
  <c r="D6" i="11"/>
  <c r="D57" i="23"/>
  <c r="F19" i="9"/>
  <c r="C36" i="17"/>
  <c r="C17" i="17" s="1"/>
  <c r="C40" i="17"/>
  <c r="J62" i="11"/>
  <c r="E38" i="17"/>
  <c r="B36" i="17"/>
  <c r="B17" i="17" s="1"/>
  <c r="N16" i="11" s="1"/>
  <c r="C84" i="17"/>
  <c r="C89" i="17" s="1"/>
  <c r="C94" i="17" s="1"/>
  <c r="C99" i="17" s="1"/>
  <c r="G64" i="11"/>
  <c r="G74" i="11" s="1"/>
  <c r="H36" i="17"/>
  <c r="H17" i="17" s="1"/>
  <c r="H40" i="17"/>
  <c r="F38" i="17"/>
  <c r="H199" i="30" s="1"/>
  <c r="F18" i="9"/>
  <c r="I64" i="11"/>
  <c r="H64" i="11"/>
  <c r="K64" i="11"/>
  <c r="E389" i="30" s="1"/>
  <c r="D35" i="18"/>
  <c r="F321" i="30" s="1"/>
  <c r="D38" i="17"/>
  <c r="J83" i="17"/>
  <c r="F88" i="17" s="1"/>
  <c r="F93" i="17" s="1"/>
  <c r="F98" i="17" s="1"/>
  <c r="J59" i="9"/>
  <c r="P234" i="30" s="1"/>
  <c r="H8" i="18"/>
  <c r="F64" i="11" s="1"/>
  <c r="B26" i="18"/>
  <c r="F26" i="11"/>
  <c r="F60" i="11" s="1"/>
  <c r="I36" i="17"/>
  <c r="I17" i="17" s="1"/>
  <c r="I40" i="17"/>
  <c r="L59" i="9"/>
  <c r="R234" i="30" s="1"/>
  <c r="C35" i="18"/>
  <c r="E321" i="30" s="1"/>
  <c r="I124" i="7"/>
  <c r="F18" i="26"/>
  <c r="B35" i="18"/>
  <c r="D321" i="30" s="1"/>
  <c r="D83" i="17"/>
  <c r="D88" i="17" s="1"/>
  <c r="D93" i="17" s="1"/>
  <c r="D98" i="17" s="1"/>
  <c r="F13" i="9"/>
  <c r="D13" i="9"/>
  <c r="E13" i="9" s="1"/>
  <c r="I59" i="9"/>
  <c r="O234" i="30" s="1"/>
  <c r="I60" i="9"/>
  <c r="O235" i="30" s="1"/>
  <c r="K60" i="9"/>
  <c r="Q235" i="30" s="1"/>
  <c r="K59" i="9"/>
  <c r="Q234" i="30" s="1"/>
  <c r="J36" i="17"/>
  <c r="J17" i="17" s="1"/>
  <c r="J40" i="17"/>
  <c r="K61" i="9"/>
  <c r="Q236" i="30" s="1"/>
  <c r="K62" i="9"/>
  <c r="Q237" i="30" s="1"/>
  <c r="K62" i="11"/>
  <c r="E387" i="30" s="1"/>
  <c r="E391" i="30" s="1"/>
  <c r="J62" i="9"/>
  <c r="P237" i="30" s="1"/>
  <c r="F98" i="30" l="1"/>
  <c r="H86" i="30"/>
  <c r="D236" i="30"/>
  <c r="D99" i="30"/>
  <c r="J99" i="30"/>
  <c r="L74" i="11"/>
  <c r="D86" i="30"/>
  <c r="D98" i="30"/>
  <c r="K237" i="30"/>
  <c r="M74" i="11"/>
  <c r="E99" i="30"/>
  <c r="E86" i="30"/>
  <c r="E236" i="30"/>
  <c r="E98" i="30"/>
  <c r="E97" i="30"/>
  <c r="H99" i="30"/>
  <c r="F109" i="30"/>
  <c r="G109" i="30" s="1"/>
  <c r="H109" i="30"/>
  <c r="K269" i="30"/>
  <c r="E113" i="30"/>
  <c r="F269" i="30"/>
  <c r="F264" i="30"/>
  <c r="G263" i="30"/>
  <c r="H263" i="30" s="1"/>
  <c r="L40" i="30"/>
  <c r="M40" i="30" s="1"/>
  <c r="G379" i="30"/>
  <c r="G384" i="30" s="1"/>
  <c r="G392" i="30" s="1"/>
  <c r="D36" i="17"/>
  <c r="D17" i="17" s="1"/>
  <c r="N24" i="11" s="1"/>
  <c r="F199" i="30"/>
  <c r="F204" i="30" s="1"/>
  <c r="E40" i="17"/>
  <c r="G199" i="30"/>
  <c r="G204" i="30" s="1"/>
  <c r="G205" i="30" s="1"/>
  <c r="N66" i="9"/>
  <c r="J238" i="30" s="1"/>
  <c r="J243" i="30" s="1"/>
  <c r="T237" i="30"/>
  <c r="F236" i="30"/>
  <c r="V238" i="30"/>
  <c r="M58" i="30"/>
  <c r="L38" i="30"/>
  <c r="L78" i="30" s="1"/>
  <c r="L219" i="30" s="1"/>
  <c r="L235" i="30" s="1"/>
  <c r="W235" i="30" s="1"/>
  <c r="E379" i="30"/>
  <c r="E384" i="30" s="1"/>
  <c r="E392" i="30" s="1"/>
  <c r="F97" i="30"/>
  <c r="G99" i="30"/>
  <c r="G237" i="30"/>
  <c r="G393" i="30"/>
  <c r="L39" i="30"/>
  <c r="L79" i="30" s="1"/>
  <c r="L220" i="30" s="1"/>
  <c r="F379" i="30"/>
  <c r="F384" i="30" s="1"/>
  <c r="F392" i="30" s="1"/>
  <c r="D60" i="30"/>
  <c r="H341" i="30"/>
  <c r="O66" i="9"/>
  <c r="K238" i="30" s="1"/>
  <c r="K243" i="30" s="1"/>
  <c r="K249" i="30" s="1"/>
  <c r="K282" i="30" s="1"/>
  <c r="U236" i="30"/>
  <c r="J59" i="11"/>
  <c r="J73" i="11" s="1"/>
  <c r="F86" i="30"/>
  <c r="G98" i="30"/>
  <c r="E393" i="30"/>
  <c r="N124" i="7"/>
  <c r="O124" i="7" s="1"/>
  <c r="P124" i="7" s="1"/>
  <c r="Q124" i="7" s="1"/>
  <c r="F309" i="30"/>
  <c r="F324" i="30"/>
  <c r="H309" i="30"/>
  <c r="H324" i="30"/>
  <c r="D230" i="30"/>
  <c r="D227" i="30"/>
  <c r="E229" i="30"/>
  <c r="J231" i="30"/>
  <c r="J236" i="30"/>
  <c r="E233" i="30"/>
  <c r="F229" i="30"/>
  <c r="E231" i="30"/>
  <c r="J237" i="30"/>
  <c r="H229" i="30"/>
  <c r="K236" i="30"/>
  <c r="D228" i="30"/>
  <c r="D229" i="30"/>
  <c r="D232" i="30"/>
  <c r="H96" i="30"/>
  <c r="H218" i="30"/>
  <c r="D233" i="30"/>
  <c r="G208" i="30"/>
  <c r="G224" i="30" s="1"/>
  <c r="K96" i="30"/>
  <c r="K218" i="30"/>
  <c r="K234" i="30" s="1"/>
  <c r="E208" i="30"/>
  <c r="E224" i="30" s="1"/>
  <c r="D234" i="30"/>
  <c r="D231" i="30"/>
  <c r="D235" i="30"/>
  <c r="F185" i="30"/>
  <c r="F202" i="30"/>
  <c r="F208" i="30" s="1"/>
  <c r="F224" i="30" s="1"/>
  <c r="D92" i="30"/>
  <c r="D95" i="30"/>
  <c r="D91" i="30"/>
  <c r="D96" i="30"/>
  <c r="D93" i="30"/>
  <c r="D94" i="30"/>
  <c r="H97" i="30"/>
  <c r="K98" i="30"/>
  <c r="G35" i="18"/>
  <c r="I321" i="30" s="1"/>
  <c r="J86" i="30"/>
  <c r="J98" i="30"/>
  <c r="D97" i="30"/>
  <c r="K86" i="30"/>
  <c r="K97" i="30"/>
  <c r="K99" i="30"/>
  <c r="M59" i="30"/>
  <c r="F80" i="30"/>
  <c r="M37" i="30"/>
  <c r="J77" i="30"/>
  <c r="M59" i="11"/>
  <c r="M73" i="11" s="1"/>
  <c r="M72" i="11"/>
  <c r="H13" i="30"/>
  <c r="I13" i="30" s="1"/>
  <c r="H11" i="30"/>
  <c r="I11" i="30" s="1"/>
  <c r="K59" i="11"/>
  <c r="K73" i="11" s="1"/>
  <c r="L59" i="11"/>
  <c r="L73" i="11" s="1"/>
  <c r="L72" i="11"/>
  <c r="H19" i="30"/>
  <c r="I19" i="30" s="1"/>
  <c r="H18" i="30"/>
  <c r="I18" i="30" s="1"/>
  <c r="H16" i="30"/>
  <c r="I16" i="30" s="1"/>
  <c r="H17" i="30"/>
  <c r="I17" i="30" s="1"/>
  <c r="E19" i="30"/>
  <c r="F19" i="30" s="1"/>
  <c r="E14" i="30"/>
  <c r="F14" i="30" s="1"/>
  <c r="E13" i="30"/>
  <c r="F13" i="30" s="1"/>
  <c r="E15" i="30"/>
  <c r="F15" i="30" s="1"/>
  <c r="D89" i="30"/>
  <c r="D16" i="30"/>
  <c r="E16" i="30" s="1"/>
  <c r="F16" i="30" s="1"/>
  <c r="D17" i="30"/>
  <c r="D90" i="30"/>
  <c r="K74" i="11"/>
  <c r="J72" i="11"/>
  <c r="L66" i="9"/>
  <c r="H66" i="9"/>
  <c r="F74" i="11"/>
  <c r="J74" i="11"/>
  <c r="P66" i="9"/>
  <c r="I74" i="11"/>
  <c r="H74" i="11"/>
  <c r="F27" i="9"/>
  <c r="K72" i="11"/>
  <c r="J216" i="7"/>
  <c r="T13" i="26"/>
  <c r="Q16" i="26"/>
  <c r="K272" i="30" s="1"/>
  <c r="J66" i="9"/>
  <c r="D40" i="17"/>
  <c r="E36" i="17"/>
  <c r="E17" i="17" s="1"/>
  <c r="N29" i="11" s="1"/>
  <c r="J94" i="17"/>
  <c r="L94" i="17" s="1"/>
  <c r="B99" i="17"/>
  <c r="B18" i="17"/>
  <c r="O16" i="11" s="1"/>
  <c r="C18" i="17"/>
  <c r="O20" i="11" s="1"/>
  <c r="N20" i="11"/>
  <c r="H18" i="17"/>
  <c r="N44" i="11"/>
  <c r="I125" i="7"/>
  <c r="F19" i="26"/>
  <c r="N49" i="11"/>
  <c r="I18" i="17"/>
  <c r="O49" i="11" s="1"/>
  <c r="F17" i="17"/>
  <c r="F40" i="17"/>
  <c r="D87" i="17"/>
  <c r="D92" i="17" s="1"/>
  <c r="D97" i="17" s="1"/>
  <c r="E88" i="17"/>
  <c r="E93" i="17" s="1"/>
  <c r="E98" i="17" s="1"/>
  <c r="H88" i="17"/>
  <c r="H93" i="17" s="1"/>
  <c r="H98" i="17" s="1"/>
  <c r="I88" i="17"/>
  <c r="I93" i="17" s="1"/>
  <c r="I98" i="17" s="1"/>
  <c r="C88" i="17"/>
  <c r="C93" i="17" s="1"/>
  <c r="C98" i="17" s="1"/>
  <c r="B88" i="17"/>
  <c r="B93" i="17" s="1"/>
  <c r="K66" i="9"/>
  <c r="G238" i="30" s="1"/>
  <c r="G243" i="30" s="1"/>
  <c r="I66" i="9"/>
  <c r="E238" i="30" s="1"/>
  <c r="E243" i="30" s="1"/>
  <c r="E244" i="30" s="1"/>
  <c r="E250" i="30" s="1"/>
  <c r="J18" i="17"/>
  <c r="L60" i="30"/>
  <c r="I345" i="30" l="1"/>
  <c r="G249" i="30"/>
  <c r="G282" i="30" s="1"/>
  <c r="I374" i="30"/>
  <c r="I341" i="30"/>
  <c r="M38" i="30"/>
  <c r="L236" i="30"/>
  <c r="W236" i="30" s="1"/>
  <c r="L97" i="30"/>
  <c r="L86" i="30"/>
  <c r="L80" i="30"/>
  <c r="L99" i="30" s="1"/>
  <c r="M39" i="30"/>
  <c r="L98" i="30"/>
  <c r="G244" i="30"/>
  <c r="G250" i="30" s="1"/>
  <c r="G283" i="30" s="1"/>
  <c r="N124" i="30"/>
  <c r="M269" i="30"/>
  <c r="G113" i="30"/>
  <c r="L124" i="30" s="1"/>
  <c r="M124" i="30" s="1"/>
  <c r="L122" i="30"/>
  <c r="M122" i="30" s="1"/>
  <c r="N122" i="30"/>
  <c r="N123" i="30"/>
  <c r="L269" i="30"/>
  <c r="F113" i="30"/>
  <c r="L123" i="30" s="1"/>
  <c r="M123" i="30" s="1"/>
  <c r="G269" i="30"/>
  <c r="G264" i="30"/>
  <c r="F266" i="30"/>
  <c r="F270" i="30"/>
  <c r="F272" i="30" s="1"/>
  <c r="T7" i="26"/>
  <c r="L270" i="30" s="1"/>
  <c r="F60" i="30"/>
  <c r="H349" i="30"/>
  <c r="D18" i="17"/>
  <c r="O24" i="11" s="1"/>
  <c r="O64" i="9"/>
  <c r="O46" i="9" s="1"/>
  <c r="O47" i="9" s="1"/>
  <c r="O70" i="9" s="1"/>
  <c r="K60" i="30"/>
  <c r="H374" i="30"/>
  <c r="J64" i="9"/>
  <c r="J46" i="9" s="1"/>
  <c r="J69" i="9" s="1"/>
  <c r="F238" i="30"/>
  <c r="N64" i="9"/>
  <c r="N46" i="9" s="1"/>
  <c r="N47" i="9" s="1"/>
  <c r="N70" i="9" s="1"/>
  <c r="E249" i="30"/>
  <c r="E282" i="30" s="1"/>
  <c r="E60" i="30"/>
  <c r="H345" i="30"/>
  <c r="H64" i="9"/>
  <c r="H46" i="9" s="1"/>
  <c r="H69" i="9" s="1"/>
  <c r="H77" i="9" s="1"/>
  <c r="D238" i="30"/>
  <c r="D243" i="30" s="1"/>
  <c r="K244" i="30"/>
  <c r="K250" i="30" s="1"/>
  <c r="K283" i="30" s="1"/>
  <c r="G60" i="30"/>
  <c r="H354" i="30"/>
  <c r="L64" i="9"/>
  <c r="L46" i="9" s="1"/>
  <c r="L47" i="9" s="1"/>
  <c r="H238" i="30"/>
  <c r="H243" i="30" s="1"/>
  <c r="F205" i="30"/>
  <c r="M205" i="30" s="1"/>
  <c r="M204" i="30"/>
  <c r="J60" i="30"/>
  <c r="H369" i="30"/>
  <c r="N125" i="7"/>
  <c r="O125" i="7" s="1"/>
  <c r="P125" i="7" s="1"/>
  <c r="Q125" i="7" s="1"/>
  <c r="K235" i="30"/>
  <c r="E283" i="30"/>
  <c r="G241" i="30"/>
  <c r="G247" i="30" s="1"/>
  <c r="G253" i="30" s="1"/>
  <c r="G280" i="30" s="1"/>
  <c r="E241" i="30"/>
  <c r="E247" i="30" s="1"/>
  <c r="E253" i="30" s="1"/>
  <c r="E280" i="30" s="1"/>
  <c r="E275" i="30" s="1"/>
  <c r="H234" i="30"/>
  <c r="H235" i="30"/>
  <c r="J244" i="30"/>
  <c r="J250" i="30" s="1"/>
  <c r="J249" i="30"/>
  <c r="J282" i="30" s="1"/>
  <c r="F241" i="30"/>
  <c r="F247" i="30" s="1"/>
  <c r="F253" i="30" s="1"/>
  <c r="F280" i="30" s="1"/>
  <c r="F275" i="30" s="1"/>
  <c r="F99" i="30"/>
  <c r="F221" i="30"/>
  <c r="J96" i="30"/>
  <c r="J218" i="30"/>
  <c r="L221" i="30"/>
  <c r="P64" i="9"/>
  <c r="P46" i="9" s="1"/>
  <c r="P47" i="9" s="1"/>
  <c r="P70" i="9" s="1"/>
  <c r="P89" i="9"/>
  <c r="L17" i="17"/>
  <c r="N62" i="11" s="1"/>
  <c r="H387" i="30" s="1"/>
  <c r="J97" i="30"/>
  <c r="E61" i="30"/>
  <c r="K61" i="30"/>
  <c r="D61" i="30"/>
  <c r="O44" i="11"/>
  <c r="E17" i="30"/>
  <c r="F17" i="30" s="1"/>
  <c r="E18" i="30"/>
  <c r="F18" i="30" s="1"/>
  <c r="E18" i="17"/>
  <c r="O29" i="11" s="1"/>
  <c r="J217" i="7"/>
  <c r="F20" i="26"/>
  <c r="I126" i="7"/>
  <c r="B98" i="17"/>
  <c r="J93" i="17"/>
  <c r="L93" i="17" s="1"/>
  <c r="F18" i="17"/>
  <c r="O34" i="11" s="1"/>
  <c r="N34" i="11"/>
  <c r="H359" i="30" s="1"/>
  <c r="I64" i="9"/>
  <c r="I46" i="9" s="1"/>
  <c r="K64" i="9"/>
  <c r="K46" i="9" s="1"/>
  <c r="L61" i="30"/>
  <c r="I359" i="30" l="1"/>
  <c r="I383" i="30" s="1"/>
  <c r="I349" i="30"/>
  <c r="I369" i="30"/>
  <c r="I354" i="30"/>
  <c r="H47" i="9"/>
  <c r="H70" i="9" s="1"/>
  <c r="H78" i="9" s="1"/>
  <c r="O124" i="30"/>
  <c r="O69" i="9"/>
  <c r="O77" i="9" s="1"/>
  <c r="L69" i="9"/>
  <c r="L77" i="9" s="1"/>
  <c r="R10" i="26"/>
  <c r="R16" i="26"/>
  <c r="L272" i="30" s="1"/>
  <c r="O123" i="30"/>
  <c r="F12" i="26"/>
  <c r="G85" i="9"/>
  <c r="N7" i="11" s="1"/>
  <c r="H336" i="30" s="1"/>
  <c r="H264" i="30"/>
  <c r="G265" i="30"/>
  <c r="G270" i="30"/>
  <c r="H270" i="30" s="1"/>
  <c r="H113" i="30"/>
  <c r="H269" i="30"/>
  <c r="O122" i="30"/>
  <c r="M125" i="30"/>
  <c r="N69" i="9"/>
  <c r="N77" i="9" s="1"/>
  <c r="J47" i="9"/>
  <c r="J70" i="9" s="1"/>
  <c r="J78" i="9" s="1"/>
  <c r="P69" i="9"/>
  <c r="P77" i="9" s="1"/>
  <c r="F61" i="30"/>
  <c r="H249" i="30"/>
  <c r="H282" i="30" s="1"/>
  <c r="H244" i="30"/>
  <c r="H250" i="30" s="1"/>
  <c r="H283" i="30" s="1"/>
  <c r="D244" i="30"/>
  <c r="D250" i="30" s="1"/>
  <c r="D283" i="30" s="1"/>
  <c r="D249" i="30"/>
  <c r="D282" i="30" s="1"/>
  <c r="H383" i="30"/>
  <c r="H391" i="30" s="1"/>
  <c r="N126" i="7"/>
  <c r="O126" i="7" s="1"/>
  <c r="P126" i="7" s="1"/>
  <c r="Q126" i="7" s="1"/>
  <c r="G275" i="30"/>
  <c r="E295" i="30"/>
  <c r="E324" i="30" s="1"/>
  <c r="J283" i="30"/>
  <c r="A344" i="30"/>
  <c r="D295" i="30"/>
  <c r="D324" i="30" s="1"/>
  <c r="J234" i="30"/>
  <c r="J235" i="30"/>
  <c r="F243" i="30"/>
  <c r="F237" i="30"/>
  <c r="L237" i="30"/>
  <c r="W237" i="30" s="1"/>
  <c r="W238" i="30" s="1"/>
  <c r="L238" i="30" s="1"/>
  <c r="L243" i="30"/>
  <c r="N11" i="11"/>
  <c r="P90" i="9"/>
  <c r="S73" i="9"/>
  <c r="L18" i="17"/>
  <c r="O62" i="11" s="1"/>
  <c r="I387" i="30" s="1"/>
  <c r="G61" i="30"/>
  <c r="J61" i="30"/>
  <c r="H61" i="30"/>
  <c r="N58" i="11"/>
  <c r="H60" i="30"/>
  <c r="M60" i="30" s="1"/>
  <c r="O58" i="11"/>
  <c r="N78" i="9"/>
  <c r="J218" i="7"/>
  <c r="F21" i="26"/>
  <c r="I127" i="7"/>
  <c r="L70" i="9"/>
  <c r="K47" i="9"/>
  <c r="K70" i="9" s="1"/>
  <c r="K69" i="9"/>
  <c r="O78" i="9"/>
  <c r="P78" i="9"/>
  <c r="I47" i="9"/>
  <c r="I70" i="9" s="1"/>
  <c r="I69" i="9"/>
  <c r="J77" i="9"/>
  <c r="I391" i="30" l="1"/>
  <c r="M270" i="30"/>
  <c r="S8" i="26"/>
  <c r="T8" i="26" s="1"/>
  <c r="S9" i="26"/>
  <c r="T9" i="26" s="1"/>
  <c r="T14" i="26"/>
  <c r="T15" i="26"/>
  <c r="M271" i="30"/>
  <c r="G272" i="30"/>
  <c r="H272" i="30" s="1"/>
  <c r="H265" i="30"/>
  <c r="G271" i="30"/>
  <c r="H271" i="30" s="1"/>
  <c r="G266" i="30"/>
  <c r="H266" i="30" s="1"/>
  <c r="G86" i="9"/>
  <c r="O7" i="11" s="1"/>
  <c r="I336" i="30" s="1"/>
  <c r="G21" i="30"/>
  <c r="O205" i="30"/>
  <c r="G20" i="30"/>
  <c r="H20" i="30" s="1"/>
  <c r="I20" i="30" s="1"/>
  <c r="O204" i="30"/>
  <c r="N127" i="7"/>
  <c r="O127" i="7" s="1"/>
  <c r="P127" i="7" s="1"/>
  <c r="Q127" i="7" s="1"/>
  <c r="E309" i="30"/>
  <c r="D309" i="30"/>
  <c r="F244" i="30"/>
  <c r="F250" i="30" s="1"/>
  <c r="F249" i="30"/>
  <c r="F282" i="30" s="1"/>
  <c r="L249" i="30"/>
  <c r="L282" i="30" s="1"/>
  <c r="L244" i="30"/>
  <c r="L250" i="30" s="1"/>
  <c r="L283" i="30" s="1"/>
  <c r="S74" i="9"/>
  <c r="O11" i="11"/>
  <c r="M61" i="30"/>
  <c r="N72" i="11"/>
  <c r="O72" i="11"/>
  <c r="L78" i="9"/>
  <c r="S16" i="26"/>
  <c r="J219" i="7"/>
  <c r="J261" i="7" s="1"/>
  <c r="I128" i="7"/>
  <c r="F22" i="26"/>
  <c r="I77" i="9"/>
  <c r="G69" i="9"/>
  <c r="K77" i="9"/>
  <c r="I78" i="9"/>
  <c r="G70" i="9"/>
  <c r="K78" i="9"/>
  <c r="S10" i="26" l="1"/>
  <c r="T10" i="26" s="1"/>
  <c r="M86" i="9"/>
  <c r="I289" i="30" s="1"/>
  <c r="T16" i="26"/>
  <c r="M272" i="30"/>
  <c r="H21" i="30"/>
  <c r="I21" i="30" s="1"/>
  <c r="M85" i="9"/>
  <c r="I288" i="30" s="1"/>
  <c r="G89" i="9"/>
  <c r="J275" i="7"/>
  <c r="J276" i="7" s="1"/>
  <c r="J277" i="7" s="1"/>
  <c r="J278" i="7" s="1"/>
  <c r="J279" i="7" s="1"/>
  <c r="J280" i="7" s="1"/>
  <c r="J281" i="7" s="1"/>
  <c r="J282" i="7" s="1"/>
  <c r="J283" i="7" s="1"/>
  <c r="J284" i="7" s="1"/>
  <c r="J285" i="7" s="1"/>
  <c r="J286" i="7" s="1"/>
  <c r="J262" i="7"/>
  <c r="J263" i="7" s="1"/>
  <c r="J264" i="7" s="1"/>
  <c r="J265" i="7" s="1"/>
  <c r="J266" i="7" s="1"/>
  <c r="J267" i="7" s="1"/>
  <c r="J268" i="7" s="1"/>
  <c r="J269" i="7" s="1"/>
  <c r="J270" i="7" s="1"/>
  <c r="J271" i="7" s="1"/>
  <c r="J272" i="7" s="1"/>
  <c r="N128" i="7"/>
  <c r="O128" i="7" s="1"/>
  <c r="P128" i="7" s="1"/>
  <c r="Q128" i="7" s="1"/>
  <c r="F283" i="30"/>
  <c r="M282" i="30"/>
  <c r="M249" i="30"/>
  <c r="M250" i="30"/>
  <c r="K86" i="9"/>
  <c r="G289" i="30" s="1"/>
  <c r="N85" i="9"/>
  <c r="J288" i="30" s="1"/>
  <c r="H85" i="9"/>
  <c r="D288" i="30" s="1"/>
  <c r="J85" i="9"/>
  <c r="F288" i="30" s="1"/>
  <c r="O85" i="9"/>
  <c r="K288" i="30" s="1"/>
  <c r="L85" i="9"/>
  <c r="H288" i="30" s="1"/>
  <c r="O86" i="9"/>
  <c r="K289" i="30" s="1"/>
  <c r="N86" i="9"/>
  <c r="J289" i="30" s="1"/>
  <c r="J86" i="9"/>
  <c r="F289" i="30" s="1"/>
  <c r="H86" i="9"/>
  <c r="D289" i="30" s="1"/>
  <c r="L86" i="9"/>
  <c r="H289" i="30" s="1"/>
  <c r="I86" i="9"/>
  <c r="E289" i="30" s="1"/>
  <c r="I85" i="9"/>
  <c r="E288" i="30" s="1"/>
  <c r="K85" i="9"/>
  <c r="G288" i="30" s="1"/>
  <c r="J220" i="7"/>
  <c r="I129" i="7"/>
  <c r="F23" i="26"/>
  <c r="Q78" i="9"/>
  <c r="Q77" i="9"/>
  <c r="M288" i="30" l="1"/>
  <c r="M289" i="30"/>
  <c r="N129" i="7"/>
  <c r="O129" i="7" s="1"/>
  <c r="P129" i="7" s="1"/>
  <c r="Q129" i="7" s="1"/>
  <c r="M283" i="30"/>
  <c r="I276" i="30"/>
  <c r="I277" i="30" s="1"/>
  <c r="D276" i="30"/>
  <c r="H276" i="30"/>
  <c r="H277" i="30" s="1"/>
  <c r="K276" i="30"/>
  <c r="G276" i="30"/>
  <c r="G277" i="30" s="1"/>
  <c r="E276" i="30"/>
  <c r="J276" i="30"/>
  <c r="J277" i="30" s="1"/>
  <c r="F276" i="30"/>
  <c r="F277" i="30" s="1"/>
  <c r="Q86" i="9"/>
  <c r="Q85" i="9"/>
  <c r="J221" i="7"/>
  <c r="F24" i="26"/>
  <c r="I130" i="7"/>
  <c r="N130" i="7" l="1"/>
  <c r="O130" i="7" s="1"/>
  <c r="P130" i="7" s="1"/>
  <c r="Q130" i="7" s="1"/>
  <c r="M277" i="30"/>
  <c r="M276" i="30"/>
  <c r="J222" i="7"/>
  <c r="I131" i="7"/>
  <c r="F25" i="26"/>
  <c r="N131" i="7" l="1"/>
  <c r="O131" i="7" s="1"/>
  <c r="P131" i="7" s="1"/>
  <c r="Q131" i="7" s="1"/>
  <c r="J223" i="7"/>
  <c r="I132" i="7"/>
  <c r="F26" i="26"/>
  <c r="N132" i="7" l="1"/>
  <c r="O132" i="7" s="1"/>
  <c r="P132" i="7" s="1"/>
  <c r="Q132" i="7" s="1"/>
  <c r="J224" i="7"/>
  <c r="I133" i="7"/>
  <c r="F27" i="26"/>
  <c r="N133" i="7" l="1"/>
  <c r="O133" i="7" s="1"/>
  <c r="P133" i="7" s="1"/>
  <c r="Q133" i="7" s="1"/>
  <c r="J225" i="7"/>
  <c r="I134" i="7"/>
  <c r="N134" i="7" s="1"/>
  <c r="H27" i="26"/>
  <c r="G27" i="26"/>
  <c r="J3" i="26" s="1"/>
  <c r="K3" i="26" l="1"/>
  <c r="G4" i="26"/>
  <c r="H4" i="26" s="1"/>
  <c r="F28" i="26" s="1"/>
  <c r="O134" i="7"/>
  <c r="P134" i="7" s="1"/>
  <c r="Q134" i="7" s="1"/>
  <c r="N244" i="7"/>
  <c r="J226" i="7"/>
  <c r="I135" i="7" l="1"/>
  <c r="N135" i="7" s="1"/>
  <c r="O135" i="7" s="1"/>
  <c r="P135" i="7" s="1"/>
  <c r="Q135" i="7" s="1"/>
  <c r="F29" i="26"/>
  <c r="I136" i="7" s="1"/>
  <c r="E154" i="30"/>
  <c r="F154" i="30" s="1"/>
  <c r="C16" i="23"/>
  <c r="C59" i="23" s="1"/>
  <c r="D59" i="23" s="1"/>
  <c r="O244" i="7"/>
  <c r="P244" i="7" s="1"/>
  <c r="G5" i="11"/>
  <c r="C17" i="9"/>
  <c r="D17" i="9" s="1"/>
  <c r="E17" i="9" s="1"/>
  <c r="J227" i="7"/>
  <c r="F30" i="26"/>
  <c r="N136" i="7" l="1"/>
  <c r="O136" i="7" s="1"/>
  <c r="P136" i="7" s="1"/>
  <c r="Q136" i="7" s="1"/>
  <c r="Q244" i="7"/>
  <c r="H154" i="30"/>
  <c r="G6" i="11"/>
  <c r="J228" i="7"/>
  <c r="I137" i="7"/>
  <c r="F31" i="26"/>
  <c r="N137" i="7" l="1"/>
  <c r="O137" i="7" s="1"/>
  <c r="P137" i="7" s="1"/>
  <c r="Q137" i="7" s="1"/>
  <c r="J229" i="7"/>
  <c r="I138" i="7"/>
  <c r="F32" i="26"/>
  <c r="N138" i="7" l="1"/>
  <c r="O138" i="7" s="1"/>
  <c r="P138" i="7" s="1"/>
  <c r="Q138" i="7" s="1"/>
  <c r="J230" i="7"/>
  <c r="I139" i="7"/>
  <c r="F33" i="26"/>
  <c r="N139" i="7" l="1"/>
  <c r="O139" i="7" s="1"/>
  <c r="P139" i="7" s="1"/>
  <c r="Q139" i="7" s="1"/>
  <c r="I140" i="7"/>
  <c r="F34" i="26"/>
  <c r="N140" i="7" l="1"/>
  <c r="O140" i="7" s="1"/>
  <c r="P140" i="7" s="1"/>
  <c r="Q140" i="7" s="1"/>
  <c r="I141" i="7"/>
  <c r="F35" i="26"/>
  <c r="N141" i="7" l="1"/>
  <c r="O141" i="7" s="1"/>
  <c r="P141" i="7" s="1"/>
  <c r="Q141" i="7" s="1"/>
  <c r="I142" i="7"/>
  <c r="F36" i="26"/>
  <c r="N142" i="7" l="1"/>
  <c r="O142" i="7" s="1"/>
  <c r="P142" i="7" s="1"/>
  <c r="Q142" i="7" s="1"/>
  <c r="I143" i="7"/>
  <c r="F37" i="26"/>
  <c r="N143" i="7" l="1"/>
  <c r="O143" i="7" s="1"/>
  <c r="P143" i="7" s="1"/>
  <c r="Q143" i="7" s="1"/>
  <c r="I144" i="7"/>
  <c r="F38" i="26"/>
  <c r="N144" i="7" l="1"/>
  <c r="O144" i="7" s="1"/>
  <c r="P144" i="7" s="1"/>
  <c r="Q144" i="7" s="1"/>
  <c r="I145" i="7"/>
  <c r="F39" i="26"/>
  <c r="N145" i="7" l="1"/>
  <c r="O145" i="7" s="1"/>
  <c r="P145" i="7" s="1"/>
  <c r="Q145" i="7" s="1"/>
  <c r="H39" i="26"/>
  <c r="I146" i="7"/>
  <c r="N146" i="7" s="1"/>
  <c r="G39" i="26"/>
  <c r="J4" i="26" s="1"/>
  <c r="K4" i="26" l="1"/>
  <c r="G5" i="26"/>
  <c r="H5" i="26" s="1"/>
  <c r="F40" i="26" s="1"/>
  <c r="O146" i="7"/>
  <c r="P146" i="7" s="1"/>
  <c r="Q146" i="7" s="1"/>
  <c r="N245" i="7"/>
  <c r="F41" i="26" l="1"/>
  <c r="I147" i="7"/>
  <c r="N147" i="7" s="1"/>
  <c r="O147" i="7" s="1"/>
  <c r="P147" i="7" s="1"/>
  <c r="Q147" i="7" s="1"/>
  <c r="C17" i="23"/>
  <c r="C60" i="23" s="1"/>
  <c r="D60" i="23" s="1"/>
  <c r="E155" i="30"/>
  <c r="F155" i="30" s="1"/>
  <c r="C18" i="9"/>
  <c r="D18" i="9" s="1"/>
  <c r="E18" i="9" s="1"/>
  <c r="O245" i="7"/>
  <c r="P245" i="7" s="1"/>
  <c r="H5" i="11"/>
  <c r="I148" i="7"/>
  <c r="F42" i="26"/>
  <c r="N148" i="7" l="1"/>
  <c r="O148" i="7" s="1"/>
  <c r="P148" i="7" s="1"/>
  <c r="Q148" i="7" s="1"/>
  <c r="H155" i="30"/>
  <c r="Q245" i="7"/>
  <c r="H6" i="11"/>
  <c r="I149" i="7"/>
  <c r="F43" i="26"/>
  <c r="N149" i="7" l="1"/>
  <c r="O149" i="7" s="1"/>
  <c r="P149" i="7" s="1"/>
  <c r="Q149" i="7" s="1"/>
  <c r="I150" i="7"/>
  <c r="F44" i="26"/>
  <c r="N150" i="7" l="1"/>
  <c r="O150" i="7" s="1"/>
  <c r="P150" i="7" s="1"/>
  <c r="Q150" i="7" s="1"/>
  <c r="I151" i="7"/>
  <c r="F45" i="26"/>
  <c r="N151" i="7" l="1"/>
  <c r="O151" i="7" s="1"/>
  <c r="P151" i="7" s="1"/>
  <c r="Q151" i="7" s="1"/>
  <c r="I152" i="7"/>
  <c r="F46" i="26"/>
  <c r="N152" i="7" l="1"/>
  <c r="O152" i="7" s="1"/>
  <c r="P152" i="7" s="1"/>
  <c r="Q152" i="7" s="1"/>
  <c r="I153" i="7"/>
  <c r="F47" i="26"/>
  <c r="N153" i="7" l="1"/>
  <c r="O153" i="7" s="1"/>
  <c r="P153" i="7" s="1"/>
  <c r="Q153" i="7" s="1"/>
  <c r="F48" i="26"/>
  <c r="I154" i="7"/>
  <c r="N154" i="7" l="1"/>
  <c r="O154" i="7" s="1"/>
  <c r="P154" i="7" s="1"/>
  <c r="Q154" i="7" s="1"/>
  <c r="I155" i="7"/>
  <c r="F49" i="26"/>
  <c r="N155" i="7" l="1"/>
  <c r="O155" i="7" s="1"/>
  <c r="P155" i="7" s="1"/>
  <c r="Q155" i="7" s="1"/>
  <c r="I156" i="7"/>
  <c r="F50" i="26"/>
  <c r="N156" i="7" l="1"/>
  <c r="O156" i="7" s="1"/>
  <c r="P156" i="7" s="1"/>
  <c r="Q156" i="7" s="1"/>
  <c r="I157" i="7"/>
  <c r="F51" i="26"/>
  <c r="N157" i="7" l="1"/>
  <c r="O157" i="7" s="1"/>
  <c r="P157" i="7" s="1"/>
  <c r="Q157" i="7" s="1"/>
  <c r="H51" i="26"/>
  <c r="I158" i="7"/>
  <c r="N158" i="7" s="1"/>
  <c r="G51" i="26"/>
  <c r="J5" i="26" s="1"/>
  <c r="G6" i="26" l="1"/>
  <c r="H6" i="26" s="1"/>
  <c r="F52" i="26" s="1"/>
  <c r="K5" i="26"/>
  <c r="O158" i="7"/>
  <c r="P158" i="7" s="1"/>
  <c r="Q158" i="7" s="1"/>
  <c r="N246" i="7"/>
  <c r="I159" i="7" l="1"/>
  <c r="N159" i="7" s="1"/>
  <c r="O159" i="7" s="1"/>
  <c r="P159" i="7" s="1"/>
  <c r="Q159" i="7" s="1"/>
  <c r="F53" i="26"/>
  <c r="F54" i="26" s="1"/>
  <c r="E156" i="30"/>
  <c r="F156" i="30" s="1"/>
  <c r="C18" i="23"/>
  <c r="C61" i="23" s="1"/>
  <c r="D61" i="23" s="1"/>
  <c r="I5" i="11"/>
  <c r="O246" i="7"/>
  <c r="P246" i="7" s="1"/>
  <c r="C19" i="9"/>
  <c r="D19" i="9" s="1"/>
  <c r="E19" i="9" s="1"/>
  <c r="I160" i="7"/>
  <c r="N160" i="7" l="1"/>
  <c r="O160" i="7" s="1"/>
  <c r="P160" i="7" s="1"/>
  <c r="Q160" i="7" s="1"/>
  <c r="Q246" i="7"/>
  <c r="H156" i="30"/>
  <c r="I6" i="11"/>
  <c r="I161" i="7"/>
  <c r="N161" i="7" s="1"/>
  <c r="F55" i="26"/>
  <c r="O161" i="7" l="1"/>
  <c r="P161" i="7" s="1"/>
  <c r="Q161" i="7" s="1"/>
  <c r="F56" i="26"/>
  <c r="I162" i="7"/>
  <c r="N162" i="7" l="1"/>
  <c r="O162" i="7" s="1"/>
  <c r="P162" i="7" s="1"/>
  <c r="Q162" i="7" s="1"/>
  <c r="I163" i="7"/>
  <c r="F57" i="26"/>
  <c r="N163" i="7" l="1"/>
  <c r="O163" i="7" s="1"/>
  <c r="P163" i="7" s="1"/>
  <c r="Q163" i="7" s="1"/>
  <c r="I164" i="7"/>
  <c r="F58" i="26"/>
  <c r="N164" i="7" l="1"/>
  <c r="O164" i="7" s="1"/>
  <c r="P164" i="7" s="1"/>
  <c r="Q164" i="7" s="1"/>
  <c r="I165" i="7"/>
  <c r="F59" i="26"/>
  <c r="N165" i="7" l="1"/>
  <c r="O165" i="7" s="1"/>
  <c r="P165" i="7" s="1"/>
  <c r="Q165" i="7" s="1"/>
  <c r="I166" i="7"/>
  <c r="F60" i="26"/>
  <c r="N166" i="7" l="1"/>
  <c r="O166" i="7" s="1"/>
  <c r="P166" i="7" s="1"/>
  <c r="Q166" i="7" s="1"/>
  <c r="I167" i="7"/>
  <c r="F61" i="26"/>
  <c r="N167" i="7" l="1"/>
  <c r="O167" i="7" s="1"/>
  <c r="P167" i="7" s="1"/>
  <c r="Q167" i="7" s="1"/>
  <c r="I168" i="7"/>
  <c r="F62" i="26"/>
  <c r="N168" i="7" l="1"/>
  <c r="O168" i="7" s="1"/>
  <c r="P168" i="7" s="1"/>
  <c r="Q168" i="7" s="1"/>
  <c r="I169" i="7"/>
  <c r="F63" i="26"/>
  <c r="N169" i="7" l="1"/>
  <c r="O169" i="7" s="1"/>
  <c r="P169" i="7" s="1"/>
  <c r="Q169" i="7" s="1"/>
  <c r="H63" i="26"/>
  <c r="I170" i="7"/>
  <c r="N170" i="7" s="1"/>
  <c r="G63" i="26"/>
  <c r="J6" i="26" s="1"/>
  <c r="G7" i="26" l="1"/>
  <c r="H7" i="26" s="1"/>
  <c r="F64" i="26" s="1"/>
  <c r="K6" i="26"/>
  <c r="O170" i="7"/>
  <c r="P170" i="7" s="1"/>
  <c r="Q170" i="7" s="1"/>
  <c r="N247" i="7"/>
  <c r="F65" i="26" l="1"/>
  <c r="I171" i="7"/>
  <c r="N171" i="7" s="1"/>
  <c r="O171" i="7" s="1"/>
  <c r="P171" i="7" s="1"/>
  <c r="Q171" i="7" s="1"/>
  <c r="C19" i="23"/>
  <c r="C62" i="23" s="1"/>
  <c r="E157" i="30"/>
  <c r="F157" i="30" s="1"/>
  <c r="J5" i="11"/>
  <c r="C20" i="9"/>
  <c r="O247" i="7"/>
  <c r="P247" i="7" s="1"/>
  <c r="I172" i="7"/>
  <c r="F66" i="26"/>
  <c r="N172" i="7" l="1"/>
  <c r="O172" i="7" s="1"/>
  <c r="P172" i="7" s="1"/>
  <c r="Q172" i="7" s="1"/>
  <c r="H157" i="30"/>
  <c r="Q247" i="7"/>
  <c r="J6" i="11"/>
  <c r="D20" i="9"/>
  <c r="E20" i="9" s="1"/>
  <c r="I173" i="7"/>
  <c r="N173" i="7" s="1"/>
  <c r="F67" i="26"/>
  <c r="O173" i="7" l="1"/>
  <c r="P173" i="7" s="1"/>
  <c r="Q173" i="7" s="1"/>
  <c r="I174" i="7"/>
  <c r="F68" i="26"/>
  <c r="N174" i="7" l="1"/>
  <c r="O174" i="7" s="1"/>
  <c r="P174" i="7" s="1"/>
  <c r="Q174" i="7" s="1"/>
  <c r="F69" i="26"/>
  <c r="I175" i="7"/>
  <c r="N175" i="7" l="1"/>
  <c r="O175" i="7" s="1"/>
  <c r="P175" i="7" s="1"/>
  <c r="Q175" i="7" s="1"/>
  <c r="I176" i="7"/>
  <c r="F70" i="26"/>
  <c r="N176" i="7" l="1"/>
  <c r="O176" i="7" s="1"/>
  <c r="P176" i="7" s="1"/>
  <c r="Q176" i="7" s="1"/>
  <c r="I177" i="7"/>
  <c r="F71" i="26"/>
  <c r="N177" i="7" l="1"/>
  <c r="O177" i="7" s="1"/>
  <c r="P177" i="7" s="1"/>
  <c r="Q177" i="7" s="1"/>
  <c r="F72" i="26"/>
  <c r="I178" i="7"/>
  <c r="N178" i="7" l="1"/>
  <c r="O178" i="7" s="1"/>
  <c r="P178" i="7" s="1"/>
  <c r="Q178" i="7" s="1"/>
  <c r="I179" i="7"/>
  <c r="F73" i="26"/>
  <c r="N179" i="7" l="1"/>
  <c r="O179" i="7" s="1"/>
  <c r="P179" i="7" s="1"/>
  <c r="Q179" i="7" s="1"/>
  <c r="I180" i="7"/>
  <c r="F74" i="26"/>
  <c r="N180" i="7" l="1"/>
  <c r="O180" i="7" s="1"/>
  <c r="P180" i="7" s="1"/>
  <c r="Q180" i="7" s="1"/>
  <c r="I181" i="7"/>
  <c r="F75" i="26"/>
  <c r="N181" i="7" l="1"/>
  <c r="O181" i="7" s="1"/>
  <c r="P181" i="7" s="1"/>
  <c r="Q181" i="7" s="1"/>
  <c r="H75" i="26"/>
  <c r="I182" i="7"/>
  <c r="N182" i="7" s="1"/>
  <c r="G75" i="26"/>
  <c r="J7" i="26" s="1"/>
  <c r="K7" i="26" l="1"/>
  <c r="G8" i="26"/>
  <c r="H8" i="26" s="1"/>
  <c r="F76" i="26" s="1"/>
  <c r="O182" i="7"/>
  <c r="P182" i="7" s="1"/>
  <c r="Q182" i="7" s="1"/>
  <c r="N248" i="7"/>
  <c r="F77" i="26" l="1"/>
  <c r="F78" i="26" s="1"/>
  <c r="I183" i="7"/>
  <c r="N183" i="7" s="1"/>
  <c r="O183" i="7" s="1"/>
  <c r="P183" i="7" s="1"/>
  <c r="Q183" i="7" s="1"/>
  <c r="E158" i="30"/>
  <c r="F158" i="30" s="1"/>
  <c r="C20" i="23"/>
  <c r="C63" i="23" s="1"/>
  <c r="K5" i="11"/>
  <c r="E334" i="30" s="1"/>
  <c r="E335" i="30" s="1"/>
  <c r="O248" i="7"/>
  <c r="P248" i="7" s="1"/>
  <c r="C21" i="9"/>
  <c r="I184" i="7" l="1"/>
  <c r="N184" i="7" s="1"/>
  <c r="O184" i="7" s="1"/>
  <c r="P184" i="7" s="1"/>
  <c r="Q184" i="7" s="1"/>
  <c r="Q248" i="7"/>
  <c r="H158" i="30"/>
  <c r="K6" i="11"/>
  <c r="D21" i="9"/>
  <c r="E21" i="9" s="1"/>
  <c r="I185" i="7"/>
  <c r="N185" i="7" s="1"/>
  <c r="F79" i="26"/>
  <c r="O185" i="7" l="1"/>
  <c r="P185" i="7" s="1"/>
  <c r="Q185" i="7" s="1"/>
  <c r="F80" i="26"/>
  <c r="I186" i="7"/>
  <c r="N186" i="7" l="1"/>
  <c r="O186" i="7" s="1"/>
  <c r="P186" i="7" s="1"/>
  <c r="Q186" i="7" s="1"/>
  <c r="I187" i="7"/>
  <c r="N187" i="7" s="1"/>
  <c r="F81" i="26"/>
  <c r="O187" i="7" l="1"/>
  <c r="P187" i="7" s="1"/>
  <c r="Q187" i="7" s="1"/>
  <c r="I188" i="7"/>
  <c r="F82" i="26"/>
  <c r="N188" i="7" l="1"/>
  <c r="O188" i="7" s="1"/>
  <c r="P188" i="7" s="1"/>
  <c r="Q188" i="7" s="1"/>
  <c r="I189" i="7"/>
  <c r="N189" i="7" s="1"/>
  <c r="F83" i="26"/>
  <c r="O189" i="7" l="1"/>
  <c r="P189" i="7" s="1"/>
  <c r="Q189" i="7" s="1"/>
  <c r="I190" i="7"/>
  <c r="F84" i="26"/>
  <c r="N190" i="7" l="1"/>
  <c r="O190" i="7" s="1"/>
  <c r="P190" i="7" s="1"/>
  <c r="Q190" i="7" s="1"/>
  <c r="I191" i="7"/>
  <c r="N191" i="7" s="1"/>
  <c r="F85" i="26"/>
  <c r="O191" i="7" l="1"/>
  <c r="P191" i="7" s="1"/>
  <c r="Q191" i="7" s="1"/>
  <c r="I192" i="7"/>
  <c r="F86" i="26"/>
  <c r="N192" i="7" l="1"/>
  <c r="O192" i="7" s="1"/>
  <c r="P192" i="7" s="1"/>
  <c r="Q192" i="7" s="1"/>
  <c r="I193" i="7"/>
  <c r="F87" i="26"/>
  <c r="N193" i="7" l="1"/>
  <c r="O193" i="7" s="1"/>
  <c r="P193" i="7" s="1"/>
  <c r="Q193" i="7" s="1"/>
  <c r="H87" i="26"/>
  <c r="I194" i="7"/>
  <c r="N194" i="7" s="1"/>
  <c r="G87" i="26"/>
  <c r="J8" i="26" s="1"/>
  <c r="K8" i="26" s="1"/>
  <c r="G9" i="26" l="1"/>
  <c r="H9" i="26" s="1"/>
  <c r="F88" i="26" s="1"/>
  <c r="O194" i="7"/>
  <c r="P194" i="7" s="1"/>
  <c r="Q194" i="7" s="1"/>
  <c r="N249" i="7"/>
  <c r="F89" i="26" l="1"/>
  <c r="I196" i="7" s="1"/>
  <c r="I195" i="7"/>
  <c r="N195" i="7" s="1"/>
  <c r="O195" i="7" s="1"/>
  <c r="P195" i="7" s="1"/>
  <c r="Q195" i="7" s="1"/>
  <c r="E159" i="30"/>
  <c r="F159" i="30" s="1"/>
  <c r="C21" i="23"/>
  <c r="L5" i="11"/>
  <c r="O249" i="7"/>
  <c r="P249" i="7" s="1"/>
  <c r="C22" i="9"/>
  <c r="D22" i="9" s="1"/>
  <c r="E22" i="9" s="1"/>
  <c r="F90" i="26"/>
  <c r="H159" i="30" l="1"/>
  <c r="Q249" i="7"/>
  <c r="N196" i="7"/>
  <c r="O196" i="7" s="1"/>
  <c r="P196" i="7" s="1"/>
  <c r="Q196" i="7" s="1"/>
  <c r="L6" i="11"/>
  <c r="F334" i="30"/>
  <c r="F335" i="30" s="1"/>
  <c r="I197" i="7"/>
  <c r="N197" i="7" s="1"/>
  <c r="F91" i="26"/>
  <c r="O197" i="7" l="1"/>
  <c r="P197" i="7" s="1"/>
  <c r="Q197" i="7" s="1"/>
  <c r="F92" i="26"/>
  <c r="I198" i="7"/>
  <c r="N198" i="7" l="1"/>
  <c r="O198" i="7" s="1"/>
  <c r="P198" i="7" s="1"/>
  <c r="Q198" i="7" s="1"/>
  <c r="F93" i="26"/>
  <c r="I199" i="7"/>
  <c r="N199" i="7" l="1"/>
  <c r="O199" i="7" s="1"/>
  <c r="P199" i="7" s="1"/>
  <c r="Q199" i="7" s="1"/>
  <c r="I200" i="7"/>
  <c r="F94" i="26"/>
  <c r="N200" i="7" l="1"/>
  <c r="O200" i="7" s="1"/>
  <c r="P200" i="7" s="1"/>
  <c r="Q200" i="7" s="1"/>
  <c r="I201" i="7"/>
  <c r="F95" i="26"/>
  <c r="N201" i="7" l="1"/>
  <c r="O201" i="7" s="1"/>
  <c r="P201" i="7" s="1"/>
  <c r="Q201" i="7" s="1"/>
  <c r="F96" i="26"/>
  <c r="I202" i="7"/>
  <c r="N202" i="7" l="1"/>
  <c r="O202" i="7" s="1"/>
  <c r="P202" i="7" s="1"/>
  <c r="Q202" i="7" s="1"/>
  <c r="I203" i="7"/>
  <c r="F97" i="26"/>
  <c r="N203" i="7" l="1"/>
  <c r="O203" i="7" s="1"/>
  <c r="P203" i="7" s="1"/>
  <c r="Q203" i="7" s="1"/>
  <c r="I204" i="7"/>
  <c r="F98" i="26"/>
  <c r="N204" i="7" l="1"/>
  <c r="O204" i="7" s="1"/>
  <c r="P204" i="7" s="1"/>
  <c r="Q204" i="7" s="1"/>
  <c r="I205" i="7"/>
  <c r="F99" i="26"/>
  <c r="N205" i="7" l="1"/>
  <c r="O205" i="7" s="1"/>
  <c r="P205" i="7" s="1"/>
  <c r="Q205" i="7" s="1"/>
  <c r="I206" i="7"/>
  <c r="N206" i="7" s="1"/>
  <c r="H99" i="26"/>
  <c r="G99" i="26"/>
  <c r="J9" i="26" s="1"/>
  <c r="K9" i="26" s="1"/>
  <c r="G10" i="26" l="1"/>
  <c r="H10" i="26" s="1"/>
  <c r="F100" i="26" s="1"/>
  <c r="O206" i="7"/>
  <c r="P206" i="7" s="1"/>
  <c r="Q206" i="7" s="1"/>
  <c r="Q207" i="7" s="1"/>
  <c r="D126" i="30" s="1"/>
  <c r="N250" i="7"/>
  <c r="F101" i="26" l="1"/>
  <c r="I207" i="7"/>
  <c r="N207" i="7" s="1"/>
  <c r="E160" i="30"/>
  <c r="F160" i="30" s="1"/>
  <c r="C22" i="23"/>
  <c r="C23" i="9"/>
  <c r="O250" i="7"/>
  <c r="P250" i="7" s="1"/>
  <c r="M5" i="11"/>
  <c r="N254" i="7"/>
  <c r="O254" i="7" s="1"/>
  <c r="I208" i="7"/>
  <c r="N208" i="7" s="1"/>
  <c r="F102" i="26"/>
  <c r="Q250" i="7" l="1"/>
  <c r="Q251" i="7" s="1"/>
  <c r="D125" i="30" s="1"/>
  <c r="H160" i="30"/>
  <c r="M6" i="11"/>
  <c r="G334" i="30"/>
  <c r="G335" i="30" s="1"/>
  <c r="D23" i="9"/>
  <c r="E23" i="9" s="1"/>
  <c r="I209" i="7"/>
  <c r="N209" i="7" s="1"/>
  <c r="F103" i="26"/>
  <c r="F104" i="26" l="1"/>
  <c r="I210" i="7"/>
  <c r="N210" i="7" s="1"/>
  <c r="I211" i="7" l="1"/>
  <c r="N211" i="7" s="1"/>
  <c r="F105" i="26"/>
  <c r="I212" i="7" l="1"/>
  <c r="N212" i="7" s="1"/>
  <c r="F106" i="26"/>
  <c r="I213" i="7" l="1"/>
  <c r="N213" i="7" s="1"/>
  <c r="F107" i="26"/>
  <c r="I214" i="7" l="1"/>
  <c r="N214" i="7" s="1"/>
  <c r="F108" i="26"/>
  <c r="I215" i="7" l="1"/>
  <c r="N215" i="7" s="1"/>
  <c r="F109" i="26"/>
  <c r="I216" i="7" l="1"/>
  <c r="N216" i="7" s="1"/>
  <c r="F110" i="26"/>
  <c r="I217" i="7" l="1"/>
  <c r="N217" i="7" s="1"/>
  <c r="F111" i="26"/>
  <c r="I218" i="7" l="1"/>
  <c r="H111" i="26"/>
  <c r="G111" i="26"/>
  <c r="J10" i="26" s="1"/>
  <c r="K10" i="26" s="1"/>
  <c r="G11" i="26" l="1"/>
  <c r="H11" i="26" s="1"/>
  <c r="F112" i="26" s="1"/>
  <c r="N218" i="7"/>
  <c r="N251" i="7" s="1"/>
  <c r="I219" i="7" l="1"/>
  <c r="F113" i="26"/>
  <c r="I220" i="7" s="1"/>
  <c r="E161" i="30"/>
  <c r="N5" i="11"/>
  <c r="C24" i="9"/>
  <c r="I261" i="7"/>
  <c r="N219" i="7"/>
  <c r="F114" i="26" l="1"/>
  <c r="I221" i="7" s="1"/>
  <c r="I262" i="7"/>
  <c r="N220" i="7"/>
  <c r="I275" i="7"/>
  <c r="N275" i="7" s="1"/>
  <c r="N261" i="7"/>
  <c r="N8" i="11"/>
  <c r="H334" i="30"/>
  <c r="H337" i="30" s="1"/>
  <c r="F115" i="26" l="1"/>
  <c r="I222" i="7" s="1"/>
  <c r="I263" i="7"/>
  <c r="N221" i="7"/>
  <c r="I276" i="7"/>
  <c r="N276" i="7" s="1"/>
  <c r="N262" i="7"/>
  <c r="F116" i="26"/>
  <c r="I264" i="7" l="1"/>
  <c r="N222" i="7"/>
  <c r="I277" i="7"/>
  <c r="N277" i="7" s="1"/>
  <c r="N263" i="7"/>
  <c r="F117" i="26"/>
  <c r="I223" i="7"/>
  <c r="I265" i="7" l="1"/>
  <c r="N223" i="7"/>
  <c r="I278" i="7"/>
  <c r="N278" i="7" s="1"/>
  <c r="N264" i="7"/>
  <c r="I224" i="7"/>
  <c r="F118" i="26"/>
  <c r="I266" i="7" l="1"/>
  <c r="N224" i="7"/>
  <c r="I279" i="7"/>
  <c r="N279" i="7" s="1"/>
  <c r="N265" i="7"/>
  <c r="I225" i="7"/>
  <c r="F119" i="26"/>
  <c r="I267" i="7" l="1"/>
  <c r="N225" i="7"/>
  <c r="I280" i="7"/>
  <c r="N280" i="7" s="1"/>
  <c r="N266" i="7"/>
  <c r="F120" i="26"/>
  <c r="I226" i="7"/>
  <c r="I268" i="7" l="1"/>
  <c r="N226" i="7"/>
  <c r="I281" i="7"/>
  <c r="N281" i="7" s="1"/>
  <c r="N267" i="7"/>
  <c r="I227" i="7"/>
  <c r="F121" i="26"/>
  <c r="I269" i="7" l="1"/>
  <c r="N227" i="7"/>
  <c r="I282" i="7"/>
  <c r="N282" i="7" s="1"/>
  <c r="N268" i="7"/>
  <c r="I228" i="7"/>
  <c r="F122" i="26"/>
  <c r="I270" i="7" l="1"/>
  <c r="N228" i="7"/>
  <c r="I283" i="7"/>
  <c r="N283" i="7" s="1"/>
  <c r="N269" i="7"/>
  <c r="I229" i="7"/>
  <c r="F123" i="26"/>
  <c r="F124" i="26" s="1"/>
  <c r="I271" i="7" l="1"/>
  <c r="N229" i="7"/>
  <c r="I284" i="7"/>
  <c r="N284" i="7" s="1"/>
  <c r="N270" i="7"/>
  <c r="H123" i="26"/>
  <c r="I230" i="7"/>
  <c r="G123" i="26"/>
  <c r="J11" i="26" s="1"/>
  <c r="K11" i="26" l="1"/>
  <c r="K12" i="26" s="1"/>
  <c r="J12" i="26"/>
  <c r="I272" i="7"/>
  <c r="N230" i="7"/>
  <c r="N252" i="7" s="1"/>
  <c r="I232" i="7"/>
  <c r="I285" i="7"/>
  <c r="N285" i="7" s="1"/>
  <c r="N271" i="7"/>
  <c r="N232" i="7" l="1"/>
  <c r="I286" i="7"/>
  <c r="N286" i="7" s="1"/>
  <c r="O286" i="7" s="1"/>
  <c r="E164" i="30" s="1"/>
  <c r="N272" i="7"/>
  <c r="O272" i="7" s="1"/>
  <c r="E163" i="30" s="1"/>
  <c r="E162" i="30"/>
  <c r="C25" i="9"/>
  <c r="G25" i="9" s="1"/>
  <c r="O10" i="11" s="1"/>
  <c r="O12" i="11" s="1"/>
  <c r="O5" i="11"/>
  <c r="N256" i="7"/>
  <c r="G24" i="9"/>
  <c r="O256" i="7" l="1"/>
  <c r="O8" i="11"/>
  <c r="I334" i="30"/>
  <c r="I337" i="30" s="1"/>
  <c r="G73" i="9"/>
  <c r="N10" i="11"/>
  <c r="N12" i="11" s="1"/>
  <c r="G74" i="9"/>
  <c r="G77" i="9" l="1"/>
  <c r="I81" i="9" s="1"/>
  <c r="G90" i="9"/>
  <c r="G91" i="9" s="1"/>
  <c r="G78" i="9"/>
  <c r="N81" i="9" l="1"/>
  <c r="N73" i="9" s="1"/>
  <c r="N45" i="11" s="1"/>
  <c r="P81" i="9"/>
  <c r="L285" i="30" s="1"/>
  <c r="L291" i="30" s="1"/>
  <c r="I326" i="30" s="1"/>
  <c r="K81" i="9"/>
  <c r="G285" i="30" s="1"/>
  <c r="G291" i="30" s="1"/>
  <c r="E326" i="30" s="1"/>
  <c r="I73" i="9"/>
  <c r="N21" i="11" s="1"/>
  <c r="E285" i="30"/>
  <c r="E291" i="30" s="1"/>
  <c r="H81" i="9"/>
  <c r="J81" i="9"/>
  <c r="M81" i="9"/>
  <c r="L81" i="9"/>
  <c r="O81" i="9"/>
  <c r="O82" i="9"/>
  <c r="M82" i="9"/>
  <c r="L82" i="9"/>
  <c r="H82" i="9"/>
  <c r="K82" i="9"/>
  <c r="P82" i="9"/>
  <c r="I82" i="9"/>
  <c r="J82" i="9"/>
  <c r="N82" i="9"/>
  <c r="H346" i="30" l="1"/>
  <c r="C5" i="33"/>
  <c r="H370" i="30"/>
  <c r="C9" i="33"/>
  <c r="J285" i="30"/>
  <c r="J291" i="30" s="1"/>
  <c r="H326" i="30" s="1"/>
  <c r="P73" i="9"/>
  <c r="G16" i="18" s="1"/>
  <c r="N55" i="11" s="1"/>
  <c r="E41" i="30"/>
  <c r="E81" i="30" s="1"/>
  <c r="E100" i="30" s="1"/>
  <c r="J41" i="30"/>
  <c r="J81" i="30" s="1"/>
  <c r="J100" i="30" s="1"/>
  <c r="K73" i="9"/>
  <c r="N30" i="11" s="1"/>
  <c r="F16" i="18"/>
  <c r="N46" i="11" s="1"/>
  <c r="Q81" i="9"/>
  <c r="J74" i="9"/>
  <c r="B17" i="18" s="1"/>
  <c r="F286" i="30"/>
  <c r="F292" i="30" s="1"/>
  <c r="D327" i="30" s="1"/>
  <c r="K74" i="9"/>
  <c r="O30" i="11" s="1"/>
  <c r="G286" i="30"/>
  <c r="G292" i="30" s="1"/>
  <c r="E327" i="30" s="1"/>
  <c r="H74" i="9"/>
  <c r="O17" i="11" s="1"/>
  <c r="D286" i="30"/>
  <c r="L73" i="9"/>
  <c r="H285" i="30"/>
  <c r="H291" i="30" s="1"/>
  <c r="F326" i="30" s="1"/>
  <c r="I74" i="9"/>
  <c r="O21" i="11" s="1"/>
  <c r="E286" i="30"/>
  <c r="E292" i="30" s="1"/>
  <c r="M74" i="9"/>
  <c r="E17" i="18" s="1"/>
  <c r="O41" i="11" s="1"/>
  <c r="I365" i="30" s="1"/>
  <c r="I286" i="30"/>
  <c r="I292" i="30" s="1"/>
  <c r="G327" i="30" s="1"/>
  <c r="M73" i="9"/>
  <c r="I285" i="30"/>
  <c r="I291" i="30" s="1"/>
  <c r="G326" i="30" s="1"/>
  <c r="O74" i="9"/>
  <c r="O50" i="11" s="1"/>
  <c r="K286" i="30"/>
  <c r="K292" i="30" s="1"/>
  <c r="J73" i="9"/>
  <c r="F285" i="30"/>
  <c r="F291" i="30" s="1"/>
  <c r="D326" i="30" s="1"/>
  <c r="N74" i="9"/>
  <c r="O45" i="11" s="1"/>
  <c r="J286" i="30"/>
  <c r="J292" i="30" s="1"/>
  <c r="H327" i="30" s="1"/>
  <c r="P74" i="9"/>
  <c r="O54" i="11" s="1"/>
  <c r="L286" i="30"/>
  <c r="L292" i="30" s="1"/>
  <c r="I327" i="30" s="1"/>
  <c r="L74" i="9"/>
  <c r="D17" i="18" s="1"/>
  <c r="O36" i="11" s="1"/>
  <c r="H286" i="30"/>
  <c r="H292" i="30" s="1"/>
  <c r="F327" i="30" s="1"/>
  <c r="O73" i="9"/>
  <c r="N50" i="11" s="1"/>
  <c r="C10" i="33" s="1"/>
  <c r="K285" i="30"/>
  <c r="K291" i="30" s="1"/>
  <c r="H73" i="9"/>
  <c r="D285" i="30"/>
  <c r="Q82" i="9"/>
  <c r="I342" i="30" l="1"/>
  <c r="C5" i="34"/>
  <c r="I370" i="30"/>
  <c r="C10" i="34"/>
  <c r="I355" i="30"/>
  <c r="C8" i="34"/>
  <c r="I379" i="30"/>
  <c r="C12" i="34"/>
  <c r="H380" i="30"/>
  <c r="D11" i="33"/>
  <c r="E48" i="33" s="1"/>
  <c r="C23" i="33"/>
  <c r="E23" i="33" s="1"/>
  <c r="O26" i="11"/>
  <c r="I361" i="30"/>
  <c r="D9" i="34"/>
  <c r="E46" i="34" s="1"/>
  <c r="I375" i="30"/>
  <c r="C11" i="34"/>
  <c r="H371" i="30"/>
  <c r="D9" i="33"/>
  <c r="E46" i="33" s="1"/>
  <c r="C18" i="33"/>
  <c r="E18" i="33" s="1"/>
  <c r="C30" i="33"/>
  <c r="E30" i="33" s="1"/>
  <c r="G30" i="33" s="1"/>
  <c r="I346" i="30"/>
  <c r="C6" i="34"/>
  <c r="C22" i="33"/>
  <c r="E22" i="33" s="1"/>
  <c r="C34" i="33"/>
  <c r="E34" i="33" s="1"/>
  <c r="G34" i="33" s="1"/>
  <c r="H355" i="30"/>
  <c r="C7" i="33"/>
  <c r="J326" i="30"/>
  <c r="N54" i="11"/>
  <c r="C11" i="33" s="1"/>
  <c r="C16" i="18"/>
  <c r="O40" i="11"/>
  <c r="I364" i="30" s="1"/>
  <c r="G17" i="18"/>
  <c r="O55" i="11" s="1"/>
  <c r="K42" i="30"/>
  <c r="K82" i="30" s="1"/>
  <c r="O25" i="11"/>
  <c r="Q74" i="9"/>
  <c r="D21" i="30" s="1"/>
  <c r="G41" i="30"/>
  <c r="G81" i="30" s="1"/>
  <c r="G100" i="30" s="1"/>
  <c r="J42" i="30"/>
  <c r="J82" i="30" s="1"/>
  <c r="J101" i="30" s="1"/>
  <c r="F17" i="18"/>
  <c r="O46" i="11" s="1"/>
  <c r="O35" i="11"/>
  <c r="G42" i="30"/>
  <c r="G82" i="30" s="1"/>
  <c r="C17" i="18"/>
  <c r="E42" i="30"/>
  <c r="E82" i="30" s="1"/>
  <c r="E101" i="30" s="1"/>
  <c r="M285" i="30"/>
  <c r="D291" i="30"/>
  <c r="M291" i="30" s="1"/>
  <c r="H375" i="30"/>
  <c r="K41" i="30"/>
  <c r="K81" i="30" s="1"/>
  <c r="K100" i="30" s="1"/>
  <c r="N40" i="11"/>
  <c r="E16" i="18"/>
  <c r="N41" i="11" s="1"/>
  <c r="H365" i="30" s="1"/>
  <c r="D16" i="18"/>
  <c r="N36" i="11" s="1"/>
  <c r="D8" i="33" s="1"/>
  <c r="E45" i="33" s="1"/>
  <c r="N35" i="11"/>
  <c r="C8" i="33" s="1"/>
  <c r="M286" i="30"/>
  <c r="D292" i="30"/>
  <c r="M292" i="30" s="1"/>
  <c r="J327" i="30"/>
  <c r="N17" i="11"/>
  <c r="C4" i="33" s="1"/>
  <c r="Q73" i="9"/>
  <c r="N25" i="11"/>
  <c r="C6" i="33" s="1"/>
  <c r="B16" i="18"/>
  <c r="D42" i="30"/>
  <c r="D82" i="30" s="1"/>
  <c r="L42" i="30"/>
  <c r="I360" i="30" l="1"/>
  <c r="C9" i="34"/>
  <c r="C19" i="34"/>
  <c r="E19" i="34" s="1"/>
  <c r="C31" i="34"/>
  <c r="E31" i="34" s="1"/>
  <c r="G31" i="34" s="1"/>
  <c r="G23" i="33"/>
  <c r="C12" i="33"/>
  <c r="C17" i="33"/>
  <c r="I371" i="30"/>
  <c r="D10" i="34"/>
  <c r="E47" i="34" s="1"/>
  <c r="N31" i="11"/>
  <c r="D7" i="33" s="1"/>
  <c r="E44" i="33" s="1"/>
  <c r="E60" i="33"/>
  <c r="G60" i="33" s="1"/>
  <c r="G48" i="33"/>
  <c r="C24" i="33"/>
  <c r="E24" i="33" s="1"/>
  <c r="C36" i="33"/>
  <c r="E36" i="33" s="1"/>
  <c r="G36" i="33" s="1"/>
  <c r="C23" i="34"/>
  <c r="E23" i="34" s="1"/>
  <c r="C35" i="34"/>
  <c r="E35" i="34" s="1"/>
  <c r="G35" i="34" s="1"/>
  <c r="C25" i="34"/>
  <c r="E25" i="34" s="1"/>
  <c r="G18" i="33"/>
  <c r="E42" i="33"/>
  <c r="E66" i="33"/>
  <c r="C21" i="33"/>
  <c r="E21" i="33" s="1"/>
  <c r="C33" i="33"/>
  <c r="E33" i="33" s="1"/>
  <c r="G33" i="33" s="1"/>
  <c r="I350" i="30"/>
  <c r="I384" i="30" s="1"/>
  <c r="C7" i="34"/>
  <c r="E58" i="33"/>
  <c r="G58" i="33" s="1"/>
  <c r="G46" i="33"/>
  <c r="C18" i="34"/>
  <c r="C13" i="34"/>
  <c r="G45" i="33"/>
  <c r="E57" i="33"/>
  <c r="G57" i="33" s="1"/>
  <c r="I351" i="30"/>
  <c r="D7" i="34"/>
  <c r="E58" i="34"/>
  <c r="G58" i="34" s="1"/>
  <c r="G46" i="34"/>
  <c r="C20" i="33"/>
  <c r="E20" i="33" s="1"/>
  <c r="C19" i="33"/>
  <c r="E19" i="33" s="1"/>
  <c r="C31" i="33"/>
  <c r="E31" i="33" s="1"/>
  <c r="G31" i="33" s="1"/>
  <c r="I380" i="30"/>
  <c r="D12" i="34"/>
  <c r="E49" i="34" s="1"/>
  <c r="G22" i="33"/>
  <c r="E70" i="33"/>
  <c r="C24" i="34"/>
  <c r="E24" i="34" s="1"/>
  <c r="C36" i="34"/>
  <c r="E36" i="34" s="1"/>
  <c r="C35" i="33"/>
  <c r="E35" i="33" s="1"/>
  <c r="C21" i="34"/>
  <c r="E21" i="34" s="1"/>
  <c r="C33" i="34"/>
  <c r="E33" i="34" s="1"/>
  <c r="G33" i="34" s="1"/>
  <c r="H379" i="30"/>
  <c r="L41" i="30"/>
  <c r="L81" i="30" s="1"/>
  <c r="L100" i="30" s="1"/>
  <c r="O59" i="11"/>
  <c r="H356" i="30"/>
  <c r="I42" i="30"/>
  <c r="I82" i="30" s="1"/>
  <c r="H17" i="18"/>
  <c r="O64" i="11" s="1"/>
  <c r="I389" i="30" s="1"/>
  <c r="O63" i="11"/>
  <c r="I388" i="30" s="1"/>
  <c r="F42" i="30"/>
  <c r="F82" i="30" s="1"/>
  <c r="G101" i="30"/>
  <c r="O31" i="11"/>
  <c r="R74" i="9"/>
  <c r="T74" i="9" s="1"/>
  <c r="H42" i="30"/>
  <c r="H82" i="30" s="1"/>
  <c r="K101" i="30"/>
  <c r="N26" i="11"/>
  <c r="D6" i="33" s="1"/>
  <c r="H16" i="18"/>
  <c r="D20" i="30"/>
  <c r="R73" i="9"/>
  <c r="T73" i="9" s="1"/>
  <c r="N63" i="11"/>
  <c r="H388" i="30" s="1"/>
  <c r="H361" i="30"/>
  <c r="D41" i="30"/>
  <c r="H342" i="30"/>
  <c r="N59" i="11"/>
  <c r="I41" i="30"/>
  <c r="I81" i="30" s="1"/>
  <c r="I100" i="30" s="1"/>
  <c r="H364" i="30"/>
  <c r="H350" i="30"/>
  <c r="F41" i="30"/>
  <c r="F81" i="30" s="1"/>
  <c r="F100" i="30" s="1"/>
  <c r="H360" i="30"/>
  <c r="H41" i="30"/>
  <c r="H81" i="30" s="1"/>
  <c r="H100" i="30" s="1"/>
  <c r="L82" i="30"/>
  <c r="G35" i="33" l="1"/>
  <c r="E47" i="33"/>
  <c r="G20" i="33"/>
  <c r="E68" i="33"/>
  <c r="E43" i="33"/>
  <c r="D12" i="33"/>
  <c r="G21" i="34"/>
  <c r="E69" i="34"/>
  <c r="E18" i="34"/>
  <c r="C20" i="34"/>
  <c r="E20" i="34" s="1"/>
  <c r="C32" i="34"/>
  <c r="E32" i="34" s="1"/>
  <c r="G32" i="34" s="1"/>
  <c r="C37" i="34"/>
  <c r="E37" i="34" s="1"/>
  <c r="G37" i="34" s="1"/>
  <c r="G25" i="34"/>
  <c r="E73" i="34"/>
  <c r="E44" i="34"/>
  <c r="G24" i="34"/>
  <c r="E72" i="34"/>
  <c r="E82" i="33"/>
  <c r="G82" i="33" s="1"/>
  <c r="G70" i="33"/>
  <c r="G21" i="33"/>
  <c r="E69" i="33"/>
  <c r="C22" i="34"/>
  <c r="E22" i="34" s="1"/>
  <c r="C34" i="34"/>
  <c r="E34" i="34" s="1"/>
  <c r="G34" i="34" s="1"/>
  <c r="G36" i="34"/>
  <c r="E48" i="34"/>
  <c r="E67" i="33"/>
  <c r="G19" i="33"/>
  <c r="G23" i="34"/>
  <c r="E71" i="34"/>
  <c r="G19" i="34"/>
  <c r="E43" i="34"/>
  <c r="E67" i="34"/>
  <c r="E78" i="33"/>
  <c r="G78" i="33" s="1"/>
  <c r="G66" i="33"/>
  <c r="G24" i="33"/>
  <c r="E72" i="33"/>
  <c r="G44" i="33"/>
  <c r="E56" i="33"/>
  <c r="G56" i="33" s="1"/>
  <c r="C29" i="33"/>
  <c r="C25" i="33"/>
  <c r="E17" i="33"/>
  <c r="I356" i="30"/>
  <c r="I385" i="30" s="1"/>
  <c r="D8" i="34"/>
  <c r="E45" i="34" s="1"/>
  <c r="E61" i="34"/>
  <c r="G61" i="34" s="1"/>
  <c r="G49" i="34"/>
  <c r="C32" i="33"/>
  <c r="E32" i="33" s="1"/>
  <c r="G32" i="33" s="1"/>
  <c r="C30" i="34"/>
  <c r="E54" i="33"/>
  <c r="G54" i="33" s="1"/>
  <c r="G42" i="33"/>
  <c r="G47" i="34"/>
  <c r="E59" i="34"/>
  <c r="G59" i="34" s="1"/>
  <c r="E71" i="33"/>
  <c r="L101" i="30"/>
  <c r="L327" i="30"/>
  <c r="O73" i="11"/>
  <c r="I392" i="30"/>
  <c r="O60" i="11"/>
  <c r="I393" i="30"/>
  <c r="M42" i="30"/>
  <c r="I101" i="30"/>
  <c r="D81" i="30"/>
  <c r="M41" i="30"/>
  <c r="E20" i="30"/>
  <c r="F20" i="30" s="1"/>
  <c r="E21" i="30"/>
  <c r="F21" i="30" s="1"/>
  <c r="N64" i="11"/>
  <c r="H389" i="30" s="1"/>
  <c r="L326" i="30"/>
  <c r="H101" i="30"/>
  <c r="N73" i="11"/>
  <c r="F101" i="30"/>
  <c r="H351" i="30"/>
  <c r="H385" i="30" s="1"/>
  <c r="N60" i="11"/>
  <c r="H384" i="30"/>
  <c r="H392" i="30" s="1"/>
  <c r="E25" i="33" l="1"/>
  <c r="E41" i="33"/>
  <c r="G17" i="33"/>
  <c r="G25" i="33" s="1"/>
  <c r="D13" i="34"/>
  <c r="G67" i="34"/>
  <c r="E79" i="34"/>
  <c r="G79" i="34" s="1"/>
  <c r="G69" i="33"/>
  <c r="E81" i="33"/>
  <c r="G81" i="33" s="1"/>
  <c r="E85" i="34"/>
  <c r="G85" i="34" s="1"/>
  <c r="G73" i="34"/>
  <c r="G18" i="34"/>
  <c r="G26" i="34" s="1"/>
  <c r="E26" i="34"/>
  <c r="O74" i="11"/>
  <c r="G45" i="34"/>
  <c r="E57" i="34"/>
  <c r="G57" i="34" s="1"/>
  <c r="E55" i="34"/>
  <c r="G55" i="34" s="1"/>
  <c r="G43" i="34"/>
  <c r="E79" i="33"/>
  <c r="G79" i="33" s="1"/>
  <c r="G67" i="33"/>
  <c r="E84" i="34"/>
  <c r="G84" i="34" s="1"/>
  <c r="G72" i="34"/>
  <c r="G43" i="33"/>
  <c r="E55" i="33"/>
  <c r="G55" i="33" s="1"/>
  <c r="G68" i="33"/>
  <c r="E80" i="33"/>
  <c r="G80" i="33" s="1"/>
  <c r="E29" i="33"/>
  <c r="E65" i="33" s="1"/>
  <c r="C37" i="33"/>
  <c r="G20" i="34"/>
  <c r="E68" i="34"/>
  <c r="C26" i="34"/>
  <c r="E60" i="34"/>
  <c r="G60" i="34" s="1"/>
  <c r="G48" i="34"/>
  <c r="E59" i="33"/>
  <c r="G59" i="33" s="1"/>
  <c r="G47" i="33"/>
  <c r="G72" i="33"/>
  <c r="E84" i="33"/>
  <c r="G84" i="33" s="1"/>
  <c r="G71" i="33"/>
  <c r="E83" i="33"/>
  <c r="G83" i="33" s="1"/>
  <c r="E81" i="34"/>
  <c r="G81" i="34" s="1"/>
  <c r="G69" i="34"/>
  <c r="G22" i="34"/>
  <c r="E70" i="34"/>
  <c r="E30" i="34"/>
  <c r="E42" i="34" s="1"/>
  <c r="C38" i="34"/>
  <c r="G71" i="34"/>
  <c r="E83" i="34"/>
  <c r="G83" i="34" s="1"/>
  <c r="E56" i="34"/>
  <c r="G56" i="34" s="1"/>
  <c r="G44" i="34"/>
  <c r="H393" i="30"/>
  <c r="D100" i="30"/>
  <c r="D101" i="30"/>
  <c r="N74" i="11"/>
  <c r="E73" i="33" l="1"/>
  <c r="G65" i="33"/>
  <c r="G73" i="33" s="1"/>
  <c r="C90" i="33" s="1"/>
  <c r="E77" i="33"/>
  <c r="E54" i="34"/>
  <c r="G54" i="34" s="1"/>
  <c r="G62" i="34" s="1"/>
  <c r="C93" i="34" s="1"/>
  <c r="G42" i="34"/>
  <c r="G70" i="34"/>
  <c r="E82" i="34"/>
  <c r="G82" i="34" s="1"/>
  <c r="E53" i="33"/>
  <c r="G53" i="33" s="1"/>
  <c r="G61" i="33" s="1"/>
  <c r="C92" i="33" s="1"/>
  <c r="G41" i="33"/>
  <c r="G49" i="33" s="1"/>
  <c r="C91" i="33" s="1"/>
  <c r="G68" i="34"/>
  <c r="E80" i="34"/>
  <c r="G80" i="34" s="1"/>
  <c r="C89" i="33"/>
  <c r="G50" i="34"/>
  <c r="C92" i="34" s="1"/>
  <c r="G30" i="34"/>
  <c r="G38" i="34" s="1"/>
  <c r="C90" i="34" s="1"/>
  <c r="E38" i="34"/>
  <c r="E37" i="33"/>
  <c r="G29" i="33"/>
  <c r="G37" i="33" s="1"/>
  <c r="E66" i="34"/>
  <c r="G66" i="34" l="1"/>
  <c r="G74" i="34" s="1"/>
  <c r="C91" i="34" s="1"/>
  <c r="E78" i="34"/>
  <c r="E74" i="34"/>
  <c r="E85" i="33"/>
  <c r="G77" i="33"/>
  <c r="G85" i="33" s="1"/>
  <c r="C93" i="33" s="1"/>
  <c r="C96" i="33"/>
  <c r="G78" i="34" l="1"/>
  <c r="G86" i="34" s="1"/>
  <c r="C94" i="34" s="1"/>
  <c r="C97" i="34" s="1"/>
  <c r="E86" i="34"/>
</calcChain>
</file>

<file path=xl/comments1.xml><?xml version="1.0" encoding="utf-8"?>
<comments xmlns="http://schemas.openxmlformats.org/spreadsheetml/2006/main">
  <authors>
    <author>Colleen Calhoun</author>
  </authors>
  <commentList>
    <comment ref="B183" authorId="0">
      <text>
        <r>
          <rPr>
            <b/>
            <sz val="8"/>
            <color indexed="81"/>
            <rFont val="Tahoma"/>
            <family val="2"/>
          </rPr>
          <t>Colleen Calhoun:</t>
        </r>
        <r>
          <rPr>
            <sz val="8"/>
            <color indexed="81"/>
            <rFont val="Tahoma"/>
            <family val="2"/>
          </rPr>
          <t xml:space="preserve">
includes total generation of 2,912,181.77 kWh in 2011 allocated between each month</t>
        </r>
      </text>
    </comment>
    <comment ref="B195" authorId="0">
      <text>
        <r>
          <rPr>
            <b/>
            <sz val="8"/>
            <color indexed="81"/>
            <rFont val="Tahoma"/>
            <family val="2"/>
          </rPr>
          <t>Colleen Calhoun:</t>
        </r>
        <r>
          <rPr>
            <sz val="8"/>
            <color indexed="81"/>
            <rFont val="Tahoma"/>
            <family val="2"/>
          </rPr>
          <t xml:space="preserve">
Includes total generation 5,510,021 kWh in 2012 allocated between each month</t>
        </r>
      </text>
    </comment>
    <comment ref="B198" authorId="0">
      <text>
        <r>
          <rPr>
            <b/>
            <sz val="8"/>
            <color indexed="81"/>
            <rFont val="Tahoma"/>
            <family val="2"/>
          </rPr>
          <t>Colleen Calhoun:</t>
        </r>
        <r>
          <rPr>
            <sz val="8"/>
            <color indexed="81"/>
            <rFont val="Tahoma"/>
            <family val="2"/>
          </rPr>
          <t xml:space="preserve">
includes Loblaws purchases April-Dec 2012 (27,225,356.55 kWh)</t>
        </r>
      </text>
    </comment>
  </commentList>
</comments>
</file>

<file path=xl/sharedStrings.xml><?xml version="1.0" encoding="utf-8"?>
<sst xmlns="http://schemas.openxmlformats.org/spreadsheetml/2006/main" count="602" uniqueCount="301">
  <si>
    <t>Loss Factor</t>
  </si>
  <si>
    <t xml:space="preserve">Residential </t>
  </si>
  <si>
    <t xml:space="preserve">Unmetered Loads </t>
  </si>
  <si>
    <t>Total Billed</t>
  </si>
  <si>
    <t>Heating Degree Days</t>
  </si>
  <si>
    <t>Cooling Degree Days</t>
  </si>
  <si>
    <t>Number of Days in Month</t>
  </si>
  <si>
    <t>Number of Peak Hours</t>
  </si>
  <si>
    <t>Ontario Real GDP Monthly %</t>
  </si>
  <si>
    <t>Purchases</t>
  </si>
  <si>
    <t>Modeled Purchases</t>
  </si>
  <si>
    <t>% Difference</t>
  </si>
  <si>
    <t>Total</t>
  </si>
  <si>
    <t xml:space="preserve">Predicted Purchases </t>
  </si>
  <si>
    <t>Variances (kWh)</t>
  </si>
  <si>
    <t>% Variance</t>
  </si>
  <si>
    <t>Average</t>
  </si>
  <si>
    <t xml:space="preserve">Geomean </t>
  </si>
  <si>
    <t>Usage Per Customer</t>
  </si>
  <si>
    <t>Weather Sensitive Adjustment %</t>
  </si>
  <si>
    <t>Weather Sensitive Energy</t>
  </si>
  <si>
    <t>Weather Sensitvie Adjustment</t>
  </si>
  <si>
    <t>Weather Normal Forecast</t>
  </si>
  <si>
    <t>Check</t>
  </si>
  <si>
    <t>Weather Sensitvie Adjustment%</t>
  </si>
  <si>
    <t xml:space="preserve">Total </t>
  </si>
  <si>
    <t xml:space="preserve">Used </t>
  </si>
  <si>
    <t>Spring Fall Flag</t>
  </si>
  <si>
    <t>SUMMARY OUTPUT</t>
  </si>
  <si>
    <t>Regression Statistics</t>
  </si>
  <si>
    <t>Multiple R</t>
  </si>
  <si>
    <t>R Square</t>
  </si>
  <si>
    <t>Adjusted R Square</t>
  </si>
  <si>
    <t>Standard Error</t>
  </si>
  <si>
    <t>Observations</t>
  </si>
  <si>
    <t>ANOVA</t>
  </si>
  <si>
    <t>Regression</t>
  </si>
  <si>
    <t>Residual</t>
  </si>
  <si>
    <t>Intercept</t>
  </si>
  <si>
    <t>df</t>
  </si>
  <si>
    <t>SS</t>
  </si>
  <si>
    <t>MS</t>
  </si>
  <si>
    <t>F</t>
  </si>
  <si>
    <t>Significance F</t>
  </si>
  <si>
    <t>Coefficients</t>
  </si>
  <si>
    <t>t Stat</t>
  </si>
  <si>
    <t>P-value</t>
  </si>
  <si>
    <t>Lower 95%</t>
  </si>
  <si>
    <t>Upper 95%</t>
  </si>
  <si>
    <t>Lower 95.0%</t>
  </si>
  <si>
    <t>Upper 95.0%</t>
  </si>
  <si>
    <t>Difference</t>
  </si>
  <si>
    <t xml:space="preserve">Growth Rate in Customer Numbers </t>
  </si>
  <si>
    <t>Weatther Normal Projection</t>
  </si>
  <si>
    <t>Weather Corrected Forecast</t>
  </si>
  <si>
    <t>Non Weather Corrected Forecast</t>
  </si>
  <si>
    <t>% Weather Sensitive</t>
  </si>
  <si>
    <t>Allocation of Weather Sensitive Amount</t>
  </si>
  <si>
    <t xml:space="preserve">  Customers</t>
  </si>
  <si>
    <t xml:space="preserve">  kWh</t>
  </si>
  <si>
    <t xml:space="preserve">  kW</t>
  </si>
  <si>
    <t xml:space="preserve">2001 Actual </t>
  </si>
  <si>
    <t xml:space="preserve">2002 Actual </t>
  </si>
  <si>
    <t xml:space="preserve">2003 Actual </t>
  </si>
  <si>
    <t xml:space="preserve">2004 Actual </t>
  </si>
  <si>
    <t xml:space="preserve">2005 Actual </t>
  </si>
  <si>
    <t xml:space="preserve">2006 Actual </t>
  </si>
  <si>
    <t xml:space="preserve">2007 Actual </t>
  </si>
  <si>
    <t xml:space="preserve">  Connections</t>
  </si>
  <si>
    <t xml:space="preserve">  kW from applicable classes</t>
  </si>
  <si>
    <t xml:space="preserve">  Customer/Connections</t>
  </si>
  <si>
    <t>Actual kWh Purchases</t>
  </si>
  <si>
    <t>Predicted kWh Purchases</t>
  </si>
  <si>
    <t>By Class</t>
  </si>
  <si>
    <t>Used</t>
  </si>
  <si>
    <r>
      <t xml:space="preserve">General Service </t>
    </r>
    <r>
      <rPr>
        <u/>
        <sz val="10"/>
        <rFont val="Arial"/>
        <family val="2"/>
      </rPr>
      <t>&lt; 50 kW</t>
    </r>
  </si>
  <si>
    <r>
      <t xml:space="preserve">General Service </t>
    </r>
    <r>
      <rPr>
        <u/>
        <sz val="10"/>
        <rFont val="Arial"/>
        <family val="2"/>
      </rPr>
      <t>&gt; 50 to 999 kW</t>
    </r>
  </si>
  <si>
    <r>
      <t xml:space="preserve">General Service </t>
    </r>
    <r>
      <rPr>
        <u/>
        <sz val="10"/>
        <rFont val="Arial"/>
        <family val="2"/>
      </rPr>
      <t>&gt; 1000 to 4999 kW</t>
    </r>
  </si>
  <si>
    <t>kW/kWh</t>
  </si>
  <si>
    <t>Check totals above sould be zero</t>
  </si>
  <si>
    <t>2008 Actual</t>
  </si>
  <si>
    <t>Purchased kWh</t>
  </si>
  <si>
    <t>Population</t>
  </si>
  <si>
    <t>Street Lights</t>
  </si>
  <si>
    <t>Embedded Distributor</t>
  </si>
  <si>
    <t xml:space="preserve">Embedded </t>
  </si>
  <si>
    <t>Waterloo</t>
  </si>
  <si>
    <t>Hydro One</t>
  </si>
  <si>
    <t>Weather Normal</t>
  </si>
  <si>
    <t>Year</t>
  </si>
  <si>
    <t>Annual Growth Rate in Usage per Customer/Connection</t>
  </si>
  <si>
    <t>Cambridge and North Dumfries Hydro Inc. Total Sytem Purchases</t>
  </si>
  <si>
    <t>MWh</t>
  </si>
  <si>
    <t>Actual</t>
  </si>
  <si>
    <t>Predicted</t>
  </si>
  <si>
    <t>Actual Purchases</t>
  </si>
  <si>
    <t>% 'Difference</t>
  </si>
  <si>
    <t>2009 (W N)</t>
  </si>
  <si>
    <t>2010 (W N)</t>
  </si>
  <si>
    <t>Geometric Mean</t>
  </si>
  <si>
    <t>Weather Sensitivity</t>
  </si>
  <si>
    <t>Value</t>
  </si>
  <si>
    <t>2012 Actual</t>
  </si>
  <si>
    <t>2011 Actual</t>
  </si>
  <si>
    <t>2013 Weather Normal</t>
  </si>
  <si>
    <t>2014 Weather Normal</t>
  </si>
  <si>
    <t>2009 Actual</t>
  </si>
  <si>
    <t>2010 Actual</t>
  </si>
  <si>
    <t>Embedded Distributors</t>
  </si>
  <si>
    <t>CDM Activity - Negative Trend Variable</t>
  </si>
  <si>
    <t>Total OPA Annual CDM Results (Gross)</t>
  </si>
  <si>
    <t xml:space="preserve"> # Difference</t>
  </si>
  <si>
    <t xml:space="preserve"> % Difference of Net</t>
  </si>
  <si>
    <t>Total Annual CDM Results</t>
  </si>
  <si>
    <t>Increase over previous year</t>
  </si>
  <si>
    <t>4 Year 2011 to 2014 target</t>
  </si>
  <si>
    <t>Jan</t>
  </si>
  <si>
    <t>Feb</t>
  </si>
  <si>
    <t>Mar</t>
  </si>
  <si>
    <t xml:space="preserve"> Proposed Cost of Service Method</t>
  </si>
  <si>
    <t>Apr</t>
  </si>
  <si>
    <t>May</t>
  </si>
  <si>
    <t>Jun</t>
  </si>
  <si>
    <t>Jul</t>
  </si>
  <si>
    <t>Aug</t>
  </si>
  <si>
    <t>Sep</t>
  </si>
  <si>
    <t>Oct</t>
  </si>
  <si>
    <t>Nov</t>
  </si>
  <si>
    <t>Actual 2011 Results and Presistence</t>
  </si>
  <si>
    <t>Dec</t>
  </si>
  <si>
    <t>CDM Activity Variable</t>
  </si>
  <si>
    <t>`</t>
  </si>
  <si>
    <t>kWh</t>
  </si>
  <si>
    <t>kW</t>
  </si>
  <si>
    <t>2012 %RPP</t>
  </si>
  <si>
    <t>TOTAL</t>
  </si>
  <si>
    <t>Electricity - Commodity RPP</t>
  </si>
  <si>
    <t>2013 Forecasted Metered kWhs</t>
  </si>
  <si>
    <t>2013  Loss Factor</t>
  </si>
  <si>
    <t>Class per Load Forecast RPP</t>
  </si>
  <si>
    <t>Electricity - Commodity Non-RPP</t>
  </si>
  <si>
    <t>Class per Load Forecast</t>
  </si>
  <si>
    <t>Transmission - Network</t>
  </si>
  <si>
    <t>Volume</t>
  </si>
  <si>
    <t>Metric</t>
  </si>
  <si>
    <t>Transmission - Connection</t>
  </si>
  <si>
    <t>Wholesale Market Service</t>
  </si>
  <si>
    <t>Rural Rate Assistance</t>
  </si>
  <si>
    <t>4705-Power Purchased</t>
  </si>
  <si>
    <t>4708-Charges-WMS</t>
  </si>
  <si>
    <t>4714-Charges-NW</t>
  </si>
  <si>
    <t>4716-Charges-CN</t>
  </si>
  <si>
    <t xml:space="preserve">4730-Rural Rate Assistance </t>
  </si>
  <si>
    <t xml:space="preserve">4750-Low Voltage </t>
  </si>
  <si>
    <t>2014 Forecasted Metered kWhs</t>
  </si>
  <si>
    <t>2014  Loss Factor</t>
  </si>
  <si>
    <t>Employment Kitchener-Waterloo-Barrie (000's)</t>
  </si>
  <si>
    <t>Unemployment Kitchener-Waterloo-Barrie (000's)</t>
  </si>
  <si>
    <t>Number of Customers</t>
  </si>
  <si>
    <t>% Variance (Abs)</t>
  </si>
  <si>
    <t>Mean Average Percent Error</t>
  </si>
  <si>
    <t>CDM</t>
  </si>
  <si>
    <t>Direct Market Participant</t>
  </si>
  <si>
    <t>Large User</t>
  </si>
  <si>
    <t>Total to 2012</t>
  </si>
  <si>
    <t>Cambridge and North Dumfries Hydro Inc. Weather Normal Load Forecast for 2014 Rate Application</t>
  </si>
  <si>
    <t>Billed (GWh)</t>
  </si>
  <si>
    <t>Growth 
(GWh)</t>
  </si>
  <si>
    <t>Percent 
Change</t>
  </si>
  <si>
    <t>Customer/
Connection
Count</t>
  </si>
  <si>
    <t xml:space="preserve">Growth </t>
  </si>
  <si>
    <t>Percent 
Change
(%)</t>
  </si>
  <si>
    <t>Billed Energy (GWh) and Customer Count / Connections</t>
  </si>
  <si>
    <t xml:space="preserve">2008 Actual </t>
  </si>
  <si>
    <t xml:space="preserve">2010 Actual </t>
  </si>
  <si>
    <t xml:space="preserve">2011 Actual </t>
  </si>
  <si>
    <t>Billed Energy (GWh)</t>
  </si>
  <si>
    <t>Number of Customers/Connections</t>
  </si>
  <si>
    <t>Energy Usage per Customer/Connection (kWh per customer/connection)</t>
  </si>
  <si>
    <t>2009 Board App. Vs. 2009 Actual</t>
  </si>
  <si>
    <t>OPA 2010 Final Results - kWh</t>
  </si>
  <si>
    <t>Statistic</t>
  </si>
  <si>
    <t>F Test</t>
  </si>
  <si>
    <t>T-stats by Coefficient</t>
  </si>
  <si>
    <t xml:space="preserve">Actual </t>
  </si>
  <si>
    <t xml:space="preserve">Predicted </t>
  </si>
  <si>
    <t>Purchased Energy (GWh)</t>
  </si>
  <si>
    <t>Growth Rate in Customers/Connections</t>
  </si>
  <si>
    <t>Forecast Number of Customers/Connections</t>
  </si>
  <si>
    <t xml:space="preserve">Annual kWh Usage Per Customer/Connection </t>
  </si>
  <si>
    <t>Growth Rate in Customer/Connection</t>
  </si>
  <si>
    <t>Forecast Annual kWh Usage per Customers/Connection</t>
  </si>
  <si>
    <t>NON-normalized Weather Billed Energy Forecast (GWh)</t>
  </si>
  <si>
    <t>2013 (Not Normalized)</t>
  </si>
  <si>
    <t>4 Year 2011 to 2014 kWh target</t>
  </si>
  <si>
    <t>2011 Programs</t>
  </si>
  <si>
    <t>2012 Programs</t>
  </si>
  <si>
    <t>2013 Programs</t>
  </si>
  <si>
    <t>2014 Programs</t>
  </si>
  <si>
    <t>kW where applicable</t>
  </si>
  <si>
    <t>Non-normalized Weather Billed Energy Forecast (GWh)</t>
  </si>
  <si>
    <t>Weather Adjustment (GWh)</t>
  </si>
  <si>
    <t>CDM Adjustment (GWh)</t>
  </si>
  <si>
    <t>Weather Normalized Billed Energy Forecast (GWh)</t>
  </si>
  <si>
    <t>Billed Annual kW</t>
  </si>
  <si>
    <t>Ratio of kW to kWh</t>
  </si>
  <si>
    <t>Predicted Billed kW</t>
  </si>
  <si>
    <t>ACTUAL AND PREDICTED KWH PURCHASES</t>
  </si>
  <si>
    <t>% Difference of actual and predicted purchases</t>
  </si>
  <si>
    <t>BILLING DETERMINANTS BY CLASS</t>
  </si>
  <si>
    <t>Residential</t>
  </si>
  <si>
    <t>Table 3-1: Summary of Load and Customer/Connection Forecast</t>
  </si>
  <si>
    <t>2010 Board Approved</t>
  </si>
  <si>
    <t xml:space="preserve">2009 Actual </t>
  </si>
  <si>
    <t xml:space="preserve">2012 Actual </t>
  </si>
  <si>
    <t>CDM Purchase Adjustment</t>
  </si>
  <si>
    <t>Predicted kWh Purchases after CDM</t>
  </si>
  <si>
    <t>2013 Bridge</t>
  </si>
  <si>
    <t>2014 Test</t>
  </si>
  <si>
    <t>Table 3-2: Billed Energy and Number of Customers / Connections by Rate Class</t>
  </si>
  <si>
    <r>
      <t xml:space="preserve">Embedded </t>
    </r>
    <r>
      <rPr>
        <u/>
        <sz val="10"/>
        <rFont val="Arial"/>
        <family val="2"/>
      </rPr>
      <t>Distributors - Hydro One</t>
    </r>
  </si>
  <si>
    <t>Waterloo North kWh</t>
  </si>
  <si>
    <t>Billed kWh incl Est for Waterloo</t>
  </si>
  <si>
    <t xml:space="preserve">Billed kWh </t>
  </si>
  <si>
    <t>Est for Waterloo</t>
  </si>
  <si>
    <t xml:space="preserve">Embedded Distributors -Waterloo </t>
  </si>
  <si>
    <r>
      <t xml:space="preserve">Embedded </t>
    </r>
    <r>
      <rPr>
        <u/>
        <sz val="10"/>
        <rFont val="Arial"/>
        <family val="2"/>
      </rPr>
      <t xml:space="preserve">Distributors - Waterloo </t>
    </r>
  </si>
  <si>
    <t>Table 3-3: Annual Usage per Customer/Connection by Rate Class</t>
  </si>
  <si>
    <t>CDM Activity</t>
  </si>
  <si>
    <t>kWh savings from 2011 programs with persistent impact</t>
  </si>
  <si>
    <t>CNDHI 4 Year 2011 to 2014 target</t>
  </si>
  <si>
    <t>kWh savings from 2012 programs with persistent impact</t>
  </si>
  <si>
    <t>Table 3-4: 2011 Final Results, 2012 Estimated Results 
plus OPA 2010 Final Results with Persistent Impact</t>
  </si>
  <si>
    <t>Table 3-5: Statistcial Results</t>
  </si>
  <si>
    <t xml:space="preserve">MAPE - Monthly </t>
  </si>
  <si>
    <t>MAPE - Annual</t>
  </si>
  <si>
    <t xml:space="preserve">Table 3-6: Total System Purchases </t>
  </si>
  <si>
    <t>2014 Weather Normal - 10 year average</t>
  </si>
  <si>
    <t>2014 Weather Normal - 20 year trend</t>
  </si>
  <si>
    <t>Summary of Degree Day Information</t>
  </si>
  <si>
    <t>Summary of All Heating Degree Days</t>
  </si>
  <si>
    <t>Month</t>
  </si>
  <si>
    <t>10 Year Avg</t>
  </si>
  <si>
    <t>20 Year Trend</t>
  </si>
  <si>
    <t>January</t>
  </si>
  <si>
    <t>February</t>
  </si>
  <si>
    <t>March</t>
  </si>
  <si>
    <t>April</t>
  </si>
  <si>
    <t>June</t>
  </si>
  <si>
    <t>July</t>
  </si>
  <si>
    <t>August</t>
  </si>
  <si>
    <t>September</t>
  </si>
  <si>
    <t>October</t>
  </si>
  <si>
    <t>November</t>
  </si>
  <si>
    <t>December</t>
  </si>
  <si>
    <t>Summary of All Cooling Degree Days</t>
  </si>
  <si>
    <t>10 Year Average</t>
  </si>
  <si>
    <t>20 Year Avg</t>
  </si>
  <si>
    <t>17 Year Avg</t>
  </si>
  <si>
    <t>Table 3-7: Historical Customer/Connection Data</t>
  </si>
  <si>
    <t>Table 3-8: Growth Rate in Customer/Connections</t>
  </si>
  <si>
    <t>Table 3-9: Customer/Connection Forecast</t>
  </si>
  <si>
    <t>Table 3-10: Historical Annual Usage per Customer</t>
  </si>
  <si>
    <t>Table 3-11: Growth Rate in Usage Per Customer/Connection</t>
  </si>
  <si>
    <t>Table 3-12: Forecast Annual kWh Usage per Customer/Connection</t>
  </si>
  <si>
    <t>Table 3-13: Non-normalized Weather Billed Energy Forecast</t>
  </si>
  <si>
    <t>2014 (Not Normalized)</t>
  </si>
  <si>
    <t>Table 3-14: Weather Sensitivity by Rate Class</t>
  </si>
  <si>
    <t>Table 3-15: Schedule to Achieve 4 Year kWh CDM Target</t>
  </si>
  <si>
    <t>2013 Non-Normalized Bridge</t>
  </si>
  <si>
    <t>2014 Non-Normalized Test</t>
  </si>
  <si>
    <t>2013 Normalized Bridge</t>
  </si>
  <si>
    <t>2014 Normalized Test</t>
  </si>
  <si>
    <t xml:space="preserve">Table 3-17: Alignment of Non-normal to Weather Normal Forecast </t>
  </si>
  <si>
    <t>Table 3-18: Historical Annual kW per Applicable Rate Class</t>
  </si>
  <si>
    <t>Average 2003 to 2012</t>
  </si>
  <si>
    <t>Table 3-19: Historical kW/KWh Ratio per Applicable Rate Class</t>
  </si>
  <si>
    <t>Table 3-20: kW Forecast by Applicable Rate Class</t>
  </si>
  <si>
    <t>Table 3-21: Summary of Forecast</t>
  </si>
  <si>
    <t xml:space="preserve">2013 Weather Normalized Bridge </t>
  </si>
  <si>
    <t>2014 Weather Normalized Test</t>
  </si>
  <si>
    <t>Table 3-16: 2014 Expected Savings for LRAM Variance Account</t>
  </si>
  <si>
    <t>Q1</t>
  </si>
  <si>
    <t>Q2</t>
  </si>
  <si>
    <t>Q3</t>
  </si>
  <si>
    <t>2012 AVG</t>
  </si>
  <si>
    <t>2014 %RPP</t>
  </si>
  <si>
    <t>4751-Smart Meter Entity Charge</t>
  </si>
  <si>
    <t>2013 Load Forecast</t>
  </si>
  <si>
    <t>Cost of Power 2013</t>
  </si>
  <si>
    <t>4751 - Smart Metering Entity charge</t>
  </si>
  <si>
    <t>2014 Load Forecast</t>
  </si>
  <si>
    <t>Cost of Power 2014</t>
  </si>
  <si>
    <t>Actual 2012 Results and Presistence</t>
  </si>
  <si>
    <t>Total OPA Annual CDM Results up to 2010 Half Year Rule(Net)</t>
  </si>
  <si>
    <t xml:space="preserve"> </t>
  </si>
  <si>
    <t>From the Regulated Price Plan Price Report Dated October 17, 2013</t>
  </si>
  <si>
    <t xml:space="preserve">changed when the Sept 17/13 RTSR Workform was used </t>
  </si>
  <si>
    <t>and when the new Jan 1, 2014 Unifrom Electricity Transmission</t>
  </si>
  <si>
    <t xml:space="preserve">Rates were issued and used.   </t>
  </si>
  <si>
    <t xml:space="preserve">and when the new Jan 1, 2014 RRR rates were issued and used.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</si>
</sst>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5" formatCode="&quot;$&quot;#,##0_);\(&quot;$&quot;#,##0\)"/>
    <numFmt numFmtId="43" formatCode="_(* #,##0.00_);_(* \(#,##0.00\);_(* &quot;-&quot;??_);_(@_)"/>
    <numFmt numFmtId="164" formatCode="_-* #,##0.00_-;\-* #,##0.00_-;_-* &quot;-&quot;??_-;_-@_-"/>
    <numFmt numFmtId="165" formatCode="0.0%"/>
    <numFmt numFmtId="166" formatCode="0.0"/>
    <numFmt numFmtId="167" formatCode="#,##0;\(#,##0\)"/>
    <numFmt numFmtId="168" formatCode="0.0000"/>
    <numFmt numFmtId="169" formatCode="#,##0.0000"/>
    <numFmt numFmtId="170" formatCode="0.0000%"/>
    <numFmt numFmtId="171" formatCode="#,##0.0000_);\(#,##0.0000\)"/>
    <numFmt numFmtId="172" formatCode="_(* #,##0_);_(* \(#,##0\);_(* &quot;-&quot;??_);_(@_)"/>
    <numFmt numFmtId="173" formatCode="_(* #,##0.0_);_(* \(#,##0.0\);_(* &quot;-&quot;??_);_(@_)"/>
    <numFmt numFmtId="174" formatCode="_(* #,##0.0000_);_(* \(#,##0.0000\);_(* &quot;-&quot;??_);_(@_)"/>
    <numFmt numFmtId="175" formatCode="_-* #,##0_-;\-* #,##0_-;_-* &quot;-&quot;??_-;_-@_-"/>
    <numFmt numFmtId="176" formatCode="&quot;$&quot;#,##0.00000_);\(&quot;$&quot;#,##0.00000\)"/>
    <numFmt numFmtId="177" formatCode="#,##0.00000_);\(#,##0.00000\)"/>
    <numFmt numFmtId="178" formatCode="&quot;$&quot;#,##0.0000_);\(&quot;$&quot;#,##0.0000\)"/>
    <numFmt numFmtId="179" formatCode="#,##0.0"/>
    <numFmt numFmtId="180" formatCode="0.0;\(0.0\)"/>
    <numFmt numFmtId="181" formatCode="0.0%;\(0.0%\)"/>
    <numFmt numFmtId="182" formatCode="#,##0.0;\(#,##0.0\)"/>
    <numFmt numFmtId="183" formatCode="0.0000%;\(0.0%\)"/>
    <numFmt numFmtId="184" formatCode="&quot;$&quot;#,##0.00000_);[Red]\(&quot;$&quot;#,##0.00000\)"/>
  </numFmts>
  <fonts count="25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i/>
      <u/>
      <sz val="10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2"/>
      <name val="Arial"/>
      <family val="2"/>
    </font>
    <font>
      <i/>
      <sz val="8"/>
      <name val="Arial"/>
      <family val="2"/>
    </font>
    <font>
      <b/>
      <u/>
      <sz val="8"/>
      <name val="Arial"/>
      <family val="2"/>
    </font>
    <font>
      <b/>
      <sz val="8"/>
      <name val="Arial"/>
      <family val="2"/>
    </font>
    <font>
      <b/>
      <sz val="10"/>
      <color rgb="FFFF0000"/>
      <name val="Arial"/>
      <family val="2"/>
    </font>
    <font>
      <sz val="11"/>
      <name val="Calibri"/>
      <family val="2"/>
      <scheme val="minor"/>
    </font>
    <font>
      <sz val="10"/>
      <color rgb="FF00B0F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5">
    <xf numFmtId="0" fontId="0" fillId="0" borderId="0"/>
    <xf numFmtId="43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5" fillId="10" borderId="1" applyNumberFormat="0" applyProtection="0">
      <alignment horizontal="left" vertical="center"/>
    </xf>
    <xf numFmtId="0" fontId="1" fillId="0" borderId="0"/>
    <xf numFmtId="0" fontId="18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3" fontId="1" fillId="0" borderId="0" applyFont="0" applyFill="0" applyBorder="0" applyAlignment="0" applyProtection="0"/>
    <xf numFmtId="5" fontId="1" fillId="0" borderId="0" applyFont="0" applyFill="0" applyBorder="0" applyAlignment="0" applyProtection="0"/>
    <xf numFmtId="14" fontId="1" fillId="0" borderId="0" applyFont="0" applyFill="0" applyBorder="0" applyAlignment="0" applyProtection="0"/>
    <xf numFmtId="2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59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17" fontId="0" fillId="0" borderId="0" xfId="0" applyNumberFormat="1"/>
    <xf numFmtId="0" fontId="0" fillId="0" borderId="0" xfId="0" applyAlignment="1">
      <alignment horizontal="right"/>
    </xf>
    <xf numFmtId="165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/>
    </xf>
    <xf numFmtId="3" fontId="3" fillId="0" borderId="0" xfId="0" applyNumberFormat="1" applyFont="1" applyAlignment="1">
      <alignment horizontal="center"/>
    </xf>
    <xf numFmtId="3" fontId="2" fillId="0" borderId="0" xfId="0" applyNumberFormat="1" applyFont="1" applyAlignment="1">
      <alignment horizontal="center" wrapText="1"/>
    </xf>
    <xf numFmtId="3" fontId="3" fillId="0" borderId="0" xfId="0" applyNumberFormat="1" applyFont="1" applyAlignment="1">
      <alignment horizontal="center" wrapText="1"/>
    </xf>
    <xf numFmtId="37" fontId="2" fillId="0" borderId="0" xfId="0" applyNumberFormat="1" applyFont="1" applyAlignment="1">
      <alignment horizontal="center"/>
    </xf>
    <xf numFmtId="3" fontId="2" fillId="0" borderId="0" xfId="0" applyNumberFormat="1" applyFont="1" applyAlignment="1">
      <alignment horizontal="center"/>
    </xf>
    <xf numFmtId="3" fontId="1" fillId="0" borderId="0" xfId="1" applyNumberFormat="1" applyAlignment="1">
      <alignment horizontal="center"/>
    </xf>
    <xf numFmtId="165" fontId="2" fillId="0" borderId="0" xfId="0" applyNumberFormat="1" applyFont="1" applyAlignment="1">
      <alignment horizontal="center"/>
    </xf>
    <xf numFmtId="0" fontId="2" fillId="0" borderId="0" xfId="0" applyFont="1"/>
    <xf numFmtId="10" fontId="0" fillId="0" borderId="0" xfId="0" applyNumberFormat="1" applyAlignment="1">
      <alignment horizontal="center"/>
    </xf>
    <xf numFmtId="37" fontId="2" fillId="0" borderId="0" xfId="0" applyNumberFormat="1" applyFont="1" applyFill="1" applyAlignment="1">
      <alignment horizontal="center"/>
    </xf>
    <xf numFmtId="0" fontId="0" fillId="2" borderId="0" xfId="0" applyFill="1" applyAlignment="1">
      <alignment horizontal="center"/>
    </xf>
    <xf numFmtId="0" fontId="4" fillId="0" borderId="0" xfId="0" applyFont="1"/>
    <xf numFmtId="0" fontId="4" fillId="0" borderId="0" xfId="0" applyFont="1" applyAlignment="1"/>
    <xf numFmtId="3" fontId="0" fillId="2" borderId="0" xfId="0" applyNumberFormat="1" applyFill="1" applyAlignment="1">
      <alignment horizontal="center"/>
    </xf>
    <xf numFmtId="17" fontId="4" fillId="0" borderId="0" xfId="0" applyNumberFormat="1" applyFont="1"/>
    <xf numFmtId="3" fontId="0" fillId="0" borderId="1" xfId="0" applyNumberFormat="1" applyBorder="1" applyAlignment="1">
      <alignment horizontal="center"/>
    </xf>
    <xf numFmtId="0" fontId="0" fillId="0" borderId="0" xfId="0" applyFill="1" applyAlignment="1">
      <alignment horizontal="center"/>
    </xf>
    <xf numFmtId="168" fontId="0" fillId="0" borderId="0" xfId="0" applyNumberFormat="1" applyAlignment="1">
      <alignment horizontal="center"/>
    </xf>
    <xf numFmtId="169" fontId="0" fillId="0" borderId="0" xfId="0" applyNumberFormat="1" applyAlignment="1">
      <alignment horizontal="center"/>
    </xf>
    <xf numFmtId="9" fontId="0" fillId="0" borderId="0" xfId="0" applyNumberFormat="1" applyAlignment="1">
      <alignment horizontal="center"/>
    </xf>
    <xf numFmtId="3" fontId="0" fillId="0" borderId="0" xfId="0" applyNumberFormat="1" applyFill="1" applyAlignment="1">
      <alignment horizontal="center"/>
    </xf>
    <xf numFmtId="170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 wrapText="1"/>
    </xf>
    <xf numFmtId="0" fontId="0" fillId="0" borderId="1" xfId="0" applyBorder="1" applyAlignment="1">
      <alignment horizontal="right"/>
    </xf>
    <xf numFmtId="3" fontId="2" fillId="2" borderId="1" xfId="0" applyNumberFormat="1" applyFont="1" applyFill="1" applyBorder="1" applyAlignment="1">
      <alignment horizontal="center"/>
    </xf>
    <xf numFmtId="0" fontId="0" fillId="0" borderId="0" xfId="0" applyFill="1"/>
    <xf numFmtId="4" fontId="0" fillId="0" borderId="0" xfId="0" applyNumberFormat="1" applyAlignment="1">
      <alignment horizontal="center"/>
    </xf>
    <xf numFmtId="0" fontId="0" fillId="0" borderId="0" xfId="0" applyFill="1" applyBorder="1" applyAlignment="1"/>
    <xf numFmtId="0" fontId="0" fillId="0" borderId="2" xfId="0" applyFill="1" applyBorder="1" applyAlignment="1"/>
    <xf numFmtId="0" fontId="6" fillId="0" borderId="3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Continuous"/>
    </xf>
    <xf numFmtId="167" fontId="0" fillId="0" borderId="0" xfId="0" applyNumberFormat="1" applyAlignment="1">
      <alignment horizontal="center"/>
    </xf>
    <xf numFmtId="0" fontId="0" fillId="0" borderId="0" xfId="0" applyNumberFormat="1" applyBorder="1"/>
    <xf numFmtId="3" fontId="0" fillId="3" borderId="0" xfId="0" applyNumberFormat="1" applyFill="1" applyAlignment="1">
      <alignment horizontal="center"/>
    </xf>
    <xf numFmtId="3" fontId="2" fillId="3" borderId="0" xfId="0" applyNumberFormat="1" applyFont="1" applyFill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 wrapText="1"/>
    </xf>
    <xf numFmtId="3" fontId="4" fillId="0" borderId="0" xfId="0" applyNumberFormat="1" applyFont="1"/>
    <xf numFmtId="0" fontId="5" fillId="0" borderId="0" xfId="0" applyFont="1"/>
    <xf numFmtId="165" fontId="0" fillId="0" borderId="0" xfId="0" applyNumberFormat="1" applyAlignment="1">
      <alignment horizontal="center" wrapText="1"/>
    </xf>
    <xf numFmtId="0" fontId="4" fillId="0" borderId="0" xfId="0" applyFont="1" applyAlignment="1">
      <alignment horizontal="center" wrapText="1"/>
    </xf>
    <xf numFmtId="3" fontId="0" fillId="3" borderId="1" xfId="0" applyNumberFormat="1" applyFill="1" applyBorder="1" applyAlignment="1">
      <alignment horizontal="center"/>
    </xf>
    <xf numFmtId="3" fontId="2" fillId="3" borderId="1" xfId="0" applyNumberFormat="1" applyFont="1" applyFill="1" applyBorder="1" applyAlignment="1">
      <alignment horizontal="center"/>
    </xf>
    <xf numFmtId="3" fontId="3" fillId="3" borderId="0" xfId="0" applyNumberFormat="1" applyFont="1" applyFill="1" applyAlignment="1">
      <alignment horizontal="center"/>
    </xf>
    <xf numFmtId="3" fontId="2" fillId="3" borderId="0" xfId="0" applyNumberFormat="1" applyFont="1" applyFill="1" applyAlignment="1">
      <alignment horizontal="center" wrapText="1"/>
    </xf>
    <xf numFmtId="3" fontId="3" fillId="3" borderId="0" xfId="0" applyNumberFormat="1" applyFont="1" applyFill="1" applyAlignment="1">
      <alignment horizontal="center" wrapText="1"/>
    </xf>
    <xf numFmtId="37" fontId="0" fillId="0" borderId="0" xfId="0" applyNumberFormat="1" applyAlignment="1">
      <alignment horizontal="center"/>
    </xf>
    <xf numFmtId="17" fontId="0" fillId="0" borderId="0" xfId="0" applyNumberFormat="1" applyAlignment="1">
      <alignment horizontal="left"/>
    </xf>
    <xf numFmtId="1" fontId="0" fillId="0" borderId="0" xfId="0" applyNumberFormat="1" applyAlignment="1">
      <alignment horizontal="left"/>
    </xf>
    <xf numFmtId="43" fontId="0" fillId="0" borderId="0" xfId="1" applyFont="1" applyAlignment="1">
      <alignment horizontal="center"/>
    </xf>
    <xf numFmtId="43" fontId="0" fillId="0" borderId="0" xfId="1" applyFont="1"/>
    <xf numFmtId="9" fontId="0" fillId="2" borderId="0" xfId="0" applyNumberFormat="1" applyFill="1" applyAlignment="1">
      <alignment horizontal="center"/>
    </xf>
    <xf numFmtId="172" fontId="0" fillId="0" borderId="0" xfId="1" applyNumberFormat="1" applyFont="1" applyAlignment="1">
      <alignment horizontal="center"/>
    </xf>
    <xf numFmtId="0" fontId="0" fillId="0" borderId="0" xfId="0" quotePrefix="1" applyAlignment="1">
      <alignment horizontal="center"/>
    </xf>
    <xf numFmtId="3" fontId="0" fillId="0" borderId="0" xfId="0" applyNumberFormat="1"/>
    <xf numFmtId="0" fontId="0" fillId="0" borderId="5" xfId="0" applyBorder="1"/>
    <xf numFmtId="0" fontId="0" fillId="0" borderId="0" xfId="0" applyBorder="1"/>
    <xf numFmtId="10" fontId="0" fillId="0" borderId="6" xfId="3" applyNumberFormat="1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172" fontId="0" fillId="0" borderId="0" xfId="0" applyNumberFormat="1"/>
    <xf numFmtId="10" fontId="0" fillId="0" borderId="0" xfId="3" applyNumberFormat="1" applyFont="1"/>
    <xf numFmtId="0" fontId="0" fillId="0" borderId="10" xfId="0" applyBorder="1"/>
    <xf numFmtId="10" fontId="0" fillId="0" borderId="14" xfId="3" applyNumberFormat="1" applyFont="1" applyBorder="1" applyAlignment="1">
      <alignment horizontal="center"/>
    </xf>
    <xf numFmtId="172" fontId="0" fillId="0" borderId="0" xfId="1" applyNumberFormat="1" applyFont="1" applyBorder="1" applyAlignment="1">
      <alignment horizontal="center"/>
    </xf>
    <xf numFmtId="172" fontId="0" fillId="0" borderId="13" xfId="1" applyNumberFormat="1" applyFont="1" applyBorder="1" applyAlignment="1">
      <alignment horizontal="center"/>
    </xf>
    <xf numFmtId="10" fontId="0" fillId="0" borderId="0" xfId="3" applyNumberFormat="1" applyFont="1" applyAlignment="1">
      <alignment horizontal="center"/>
    </xf>
    <xf numFmtId="0" fontId="0" fillId="0" borderId="1" xfId="0" applyBorder="1" applyAlignment="1">
      <alignment horizontal="center"/>
    </xf>
    <xf numFmtId="3" fontId="0" fillId="0" borderId="5" xfId="0" applyNumberFormat="1" applyBorder="1"/>
    <xf numFmtId="173" fontId="0" fillId="0" borderId="0" xfId="1" applyNumberFormat="1" applyFont="1" applyAlignment="1">
      <alignment horizontal="center"/>
    </xf>
    <xf numFmtId="172" fontId="0" fillId="0" borderId="0" xfId="0" applyNumberFormat="1" applyAlignment="1">
      <alignment horizontal="center"/>
    </xf>
    <xf numFmtId="0" fontId="4" fillId="0" borderId="8" xfId="0" applyFont="1" applyBorder="1"/>
    <xf numFmtId="0" fontId="0" fillId="4" borderId="4" xfId="0" applyFill="1" applyBorder="1" applyAlignment="1">
      <alignment horizontal="center" wrapText="1"/>
    </xf>
    <xf numFmtId="0" fontId="0" fillId="4" borderId="1" xfId="0" applyFill="1" applyBorder="1" applyAlignment="1">
      <alignment horizontal="center" wrapText="1"/>
    </xf>
    <xf numFmtId="0" fontId="0" fillId="4" borderId="1" xfId="0" applyFill="1" applyBorder="1" applyAlignment="1">
      <alignment horizontal="left"/>
    </xf>
    <xf numFmtId="0" fontId="0" fillId="4" borderId="1" xfId="0" applyFill="1" applyBorder="1"/>
    <xf numFmtId="0" fontId="0" fillId="4" borderId="8" xfId="0" applyFill="1" applyBorder="1" applyAlignment="1">
      <alignment horizontal="left"/>
    </xf>
    <xf numFmtId="3" fontId="3" fillId="4" borderId="1" xfId="0" applyNumberFormat="1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wrapText="1"/>
    </xf>
    <xf numFmtId="0" fontId="3" fillId="4" borderId="4" xfId="0" applyFont="1" applyFill="1" applyBorder="1" applyAlignment="1">
      <alignment horizontal="center" wrapText="1"/>
    </xf>
    <xf numFmtId="4" fontId="3" fillId="4" borderId="1" xfId="0" applyNumberFormat="1" applyFont="1" applyFill="1" applyBorder="1" applyAlignment="1">
      <alignment horizontal="center" wrapText="1"/>
    </xf>
    <xf numFmtId="0" fontId="4" fillId="0" borderId="0" xfId="0" applyFont="1" applyAlignment="1">
      <alignment horizontal="center"/>
    </xf>
    <xf numFmtId="3" fontId="0" fillId="5" borderId="0" xfId="0" applyNumberFormat="1" applyFill="1" applyAlignment="1">
      <alignment horizontal="center"/>
    </xf>
    <xf numFmtId="3" fontId="0" fillId="6" borderId="0" xfId="0" applyNumberFormat="1" applyFill="1" applyAlignment="1">
      <alignment horizontal="center"/>
    </xf>
    <xf numFmtId="0" fontId="0" fillId="0" borderId="0" xfId="0" applyNumberFormat="1" applyFill="1" applyBorder="1"/>
    <xf numFmtId="0" fontId="0" fillId="7" borderId="0" xfId="0" applyFill="1" applyAlignment="1">
      <alignment horizontal="center"/>
    </xf>
    <xf numFmtId="0" fontId="0" fillId="7" borderId="0" xfId="0" applyFill="1"/>
    <xf numFmtId="3" fontId="2" fillId="5" borderId="0" xfId="0" applyNumberFormat="1" applyFont="1" applyFill="1" applyBorder="1" applyAlignment="1">
      <alignment horizontal="center"/>
    </xf>
    <xf numFmtId="3" fontId="0" fillId="5" borderId="0" xfId="0" applyNumberFormat="1" applyFill="1" applyBorder="1" applyAlignment="1">
      <alignment horizontal="center"/>
    </xf>
    <xf numFmtId="3" fontId="0" fillId="0" borderId="0" xfId="0" applyNumberForma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168" fontId="0" fillId="0" borderId="0" xfId="0" applyNumberFormat="1" applyFill="1" applyAlignment="1">
      <alignment horizontal="center"/>
    </xf>
    <xf numFmtId="169" fontId="0" fillId="0" borderId="0" xfId="0" applyNumberFormat="1" applyFill="1" applyAlignment="1">
      <alignment horizontal="center"/>
    </xf>
    <xf numFmtId="3" fontId="2" fillId="5" borderId="1" xfId="0" applyNumberFormat="1" applyFont="1" applyFill="1" applyBorder="1" applyAlignment="1">
      <alignment horizontal="center"/>
    </xf>
    <xf numFmtId="172" fontId="10" fillId="0" borderId="0" xfId="1" applyNumberFormat="1" applyFont="1" applyFill="1" applyAlignment="1">
      <alignment horizontal="center"/>
    </xf>
    <xf numFmtId="172" fontId="0" fillId="0" borderId="4" xfId="0" applyNumberFormat="1" applyFill="1" applyBorder="1" applyAlignment="1">
      <alignment horizontal="center"/>
    </xf>
    <xf numFmtId="1" fontId="0" fillId="0" borderId="0" xfId="0" applyNumberFormat="1" applyAlignment="1">
      <alignment horizontal="center"/>
    </xf>
    <xf numFmtId="38" fontId="0" fillId="0" borderId="0" xfId="0" applyNumberFormat="1" applyAlignment="1">
      <alignment horizontal="center"/>
    </xf>
    <xf numFmtId="0" fontId="0" fillId="0" borderId="0" xfId="0" applyAlignment="1">
      <alignment wrapText="1"/>
    </xf>
    <xf numFmtId="0" fontId="0" fillId="5" borderId="1" xfId="0" applyFill="1" applyBorder="1"/>
    <xf numFmtId="3" fontId="0" fillId="8" borderId="0" xfId="0" applyNumberFormat="1" applyFill="1" applyAlignment="1">
      <alignment horizontal="center"/>
    </xf>
    <xf numFmtId="9" fontId="12" fillId="8" borderId="0" xfId="3" applyFont="1" applyFill="1" applyAlignment="1">
      <alignment horizontal="center"/>
    </xf>
    <xf numFmtId="3" fontId="14" fillId="0" borderId="0" xfId="0" applyNumberFormat="1" applyFont="1" applyAlignment="1">
      <alignment horizontal="left"/>
    </xf>
    <xf numFmtId="0" fontId="0" fillId="5" borderId="0" xfId="0" applyFill="1" applyAlignment="1">
      <alignment horizontal="center"/>
    </xf>
    <xf numFmtId="37" fontId="2" fillId="5" borderId="0" xfId="0" applyNumberFormat="1" applyFont="1" applyFill="1" applyAlignment="1">
      <alignment horizontal="center"/>
    </xf>
    <xf numFmtId="3" fontId="0" fillId="0" borderId="0" xfId="0" applyNumberFormat="1" applyAlignment="1">
      <alignment wrapText="1"/>
    </xf>
    <xf numFmtId="175" fontId="2" fillId="0" borderId="0" xfId="2" applyNumberFormat="1"/>
    <xf numFmtId="165" fontId="0" fillId="0" borderId="0" xfId="3" applyNumberFormat="1" applyFont="1"/>
    <xf numFmtId="175" fontId="0" fillId="0" borderId="0" xfId="0" applyNumberFormat="1"/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165" fontId="0" fillId="0" borderId="21" xfId="0" applyNumberFormat="1" applyFill="1" applyBorder="1" applyAlignment="1">
      <alignment horizontal="center"/>
    </xf>
    <xf numFmtId="165" fontId="0" fillId="0" borderId="1" xfId="0" applyNumberFormat="1" applyFill="1" applyBorder="1" applyAlignment="1">
      <alignment horizontal="center"/>
    </xf>
    <xf numFmtId="165" fontId="0" fillId="0" borderId="22" xfId="0" applyNumberFormat="1" applyBorder="1" applyAlignment="1">
      <alignment horizontal="center"/>
    </xf>
    <xf numFmtId="165" fontId="0" fillId="0" borderId="21" xfId="0" applyNumberFormat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165" fontId="0" fillId="0" borderId="21" xfId="0" applyNumberFormat="1" applyBorder="1"/>
    <xf numFmtId="165" fontId="0" fillId="0" borderId="1" xfId="0" applyNumberFormat="1" applyBorder="1"/>
    <xf numFmtId="3" fontId="0" fillId="5" borderId="21" xfId="0" applyNumberFormat="1" applyFill="1" applyBorder="1" applyAlignment="1">
      <alignment horizontal="center"/>
    </xf>
    <xf numFmtId="3" fontId="0" fillId="5" borderId="1" xfId="0" applyNumberFormat="1" applyFill="1" applyBorder="1" applyAlignment="1">
      <alignment horizontal="center"/>
    </xf>
    <xf numFmtId="3" fontId="0" fillId="0" borderId="22" xfId="0" applyNumberFormat="1" applyBorder="1"/>
    <xf numFmtId="3" fontId="0" fillId="0" borderId="21" xfId="0" applyNumberFormat="1" applyBorder="1" applyAlignment="1">
      <alignment horizontal="center"/>
    </xf>
    <xf numFmtId="3" fontId="0" fillId="0" borderId="23" xfId="0" applyNumberFormat="1" applyBorder="1" applyAlignment="1">
      <alignment horizontal="center"/>
    </xf>
    <xf numFmtId="3" fontId="0" fillId="0" borderId="24" xfId="0" applyNumberFormat="1" applyBorder="1" applyAlignment="1">
      <alignment horizontal="center"/>
    </xf>
    <xf numFmtId="3" fontId="0" fillId="0" borderId="25" xfId="0" applyNumberFormat="1" applyBorder="1" applyAlignment="1">
      <alignment horizontal="center"/>
    </xf>
    <xf numFmtId="3" fontId="0" fillId="0" borderId="1" xfId="0" applyNumberFormat="1" applyBorder="1"/>
    <xf numFmtId="37" fontId="0" fillId="0" borderId="1" xfId="0" applyNumberFormat="1" applyFill="1" applyBorder="1"/>
    <xf numFmtId="171" fontId="0" fillId="0" borderId="1" xfId="0" applyNumberFormat="1" applyFill="1" applyBorder="1"/>
    <xf numFmtId="172" fontId="1" fillId="0" borderId="1" xfId="1" applyNumberFormat="1" applyFill="1" applyBorder="1"/>
    <xf numFmtId="37" fontId="0" fillId="0" borderId="0" xfId="0" applyNumberFormat="1"/>
    <xf numFmtId="0" fontId="4" fillId="0" borderId="1" xfId="0" applyFont="1" applyBorder="1" applyAlignment="1">
      <alignment horizontal="left" indent="1"/>
    </xf>
    <xf numFmtId="37" fontId="4" fillId="0" borderId="1" xfId="0" applyNumberFormat="1" applyFont="1" applyBorder="1"/>
    <xf numFmtId="0" fontId="4" fillId="0" borderId="1" xfId="0" applyFont="1" applyBorder="1"/>
    <xf numFmtId="171" fontId="0" fillId="3" borderId="1" xfId="0" applyNumberFormat="1" applyFill="1" applyBorder="1"/>
    <xf numFmtId="37" fontId="0" fillId="0" borderId="1" xfId="0" applyNumberFormat="1" applyBorder="1"/>
    <xf numFmtId="176" fontId="0" fillId="3" borderId="1" xfId="0" applyNumberFormat="1" applyFill="1" applyBorder="1"/>
    <xf numFmtId="5" fontId="0" fillId="0" borderId="1" xfId="0" applyNumberFormat="1" applyBorder="1"/>
    <xf numFmtId="177" fontId="0" fillId="0" borderId="1" xfId="0" applyNumberFormat="1" applyBorder="1"/>
    <xf numFmtId="5" fontId="4" fillId="0" borderId="1" xfId="0" applyNumberFormat="1" applyFont="1" applyFill="1" applyBorder="1"/>
    <xf numFmtId="0" fontId="4" fillId="0" borderId="0" xfId="0" applyFont="1" applyBorder="1" applyAlignment="1">
      <alignment horizontal="left" indent="1"/>
    </xf>
    <xf numFmtId="37" fontId="4" fillId="0" borderId="0" xfId="0" applyNumberFormat="1" applyFont="1" applyBorder="1"/>
    <xf numFmtId="0" fontId="4" fillId="0" borderId="0" xfId="0" applyFont="1" applyBorder="1"/>
    <xf numFmtId="177" fontId="0" fillId="0" borderId="0" xfId="0" applyNumberFormat="1" applyBorder="1"/>
    <xf numFmtId="5" fontId="4" fillId="0" borderId="0" xfId="0" applyNumberFormat="1" applyFont="1" applyFill="1" applyBorder="1"/>
    <xf numFmtId="3" fontId="0" fillId="0" borderId="16" xfId="0" applyNumberFormat="1" applyBorder="1"/>
    <xf numFmtId="171" fontId="0" fillId="0" borderId="1" xfId="0" applyNumberFormat="1" applyBorder="1" applyAlignment="1">
      <alignment horizontal="center"/>
    </xf>
    <xf numFmtId="178" fontId="0" fillId="3" borderId="1" xfId="0" applyNumberFormat="1" applyFill="1" applyBorder="1"/>
    <xf numFmtId="5" fontId="4" fillId="0" borderId="1" xfId="0" applyNumberFormat="1" applyFont="1" applyBorder="1"/>
    <xf numFmtId="37" fontId="0" fillId="0" borderId="15" xfId="0" applyNumberFormat="1" applyBorder="1"/>
    <xf numFmtId="5" fontId="0" fillId="0" borderId="16" xfId="0" applyNumberFormat="1" applyFill="1" applyBorder="1"/>
    <xf numFmtId="5" fontId="0" fillId="0" borderId="16" xfId="0" applyNumberFormat="1" applyBorder="1"/>
    <xf numFmtId="0" fontId="0" fillId="0" borderId="0" xfId="0" applyAlignment="1">
      <alignment horizontal="center"/>
    </xf>
    <xf numFmtId="3" fontId="0" fillId="5" borderId="1" xfId="0" applyNumberFormat="1" applyFill="1" applyBorder="1" applyAlignment="1">
      <alignment horizontal="center"/>
    </xf>
    <xf numFmtId="37" fontId="2" fillId="0" borderId="0" xfId="0" applyNumberFormat="1" applyFont="1" applyBorder="1" applyAlignment="1">
      <alignment horizontal="center"/>
    </xf>
    <xf numFmtId="3" fontId="0" fillId="0" borderId="0" xfId="0" applyNumberFormat="1" applyFill="1" applyBorder="1" applyAlignment="1">
      <alignment horizontal="center"/>
    </xf>
    <xf numFmtId="166" fontId="0" fillId="0" borderId="0" xfId="0" applyNumberFormat="1" applyFill="1" applyAlignment="1">
      <alignment horizontal="center"/>
    </xf>
    <xf numFmtId="3" fontId="2" fillId="9" borderId="0" xfId="0" applyNumberFormat="1" applyFont="1" applyFill="1" applyAlignment="1">
      <alignment horizontal="center"/>
    </xf>
    <xf numFmtId="169" fontId="0" fillId="5" borderId="0" xfId="0" applyNumberFormat="1" applyFill="1" applyAlignment="1">
      <alignment horizontal="center"/>
    </xf>
    <xf numFmtId="172" fontId="0" fillId="5" borderId="0" xfId="0" applyNumberFormat="1" applyFill="1"/>
    <xf numFmtId="9" fontId="0" fillId="0" borderId="0" xfId="3" applyFont="1" applyFill="1" applyBorder="1" applyAlignment="1"/>
    <xf numFmtId="43" fontId="0" fillId="0" borderId="0" xfId="1" applyFont="1" applyFill="1" applyBorder="1" applyAlignment="1"/>
    <xf numFmtId="172" fontId="0" fillId="0" borderId="0" xfId="1" applyNumberFormat="1" applyFont="1" applyFill="1" applyBorder="1" applyAlignment="1"/>
    <xf numFmtId="43" fontId="0" fillId="0" borderId="2" xfId="1" applyFont="1" applyFill="1" applyBorder="1" applyAlignment="1"/>
    <xf numFmtId="9" fontId="0" fillId="0" borderId="2" xfId="3" applyFont="1" applyFill="1" applyBorder="1" applyAlignment="1"/>
    <xf numFmtId="165" fontId="0" fillId="0" borderId="0" xfId="3" applyNumberFormat="1" applyFont="1" applyAlignment="1">
      <alignment horizontal="center"/>
    </xf>
    <xf numFmtId="0" fontId="1" fillId="0" borderId="0" xfId="0" applyFont="1" applyAlignment="1">
      <alignment horizontal="left"/>
    </xf>
    <xf numFmtId="166" fontId="2" fillId="2" borderId="0" xfId="0" applyNumberFormat="1" applyFont="1" applyFill="1" applyAlignment="1">
      <alignment horizontal="center"/>
    </xf>
    <xf numFmtId="37" fontId="0" fillId="0" borderId="0" xfId="0" applyNumberFormat="1" applyFill="1" applyAlignment="1">
      <alignment horizontal="center"/>
    </xf>
    <xf numFmtId="9" fontId="1" fillId="2" borderId="0" xfId="0" applyNumberFormat="1" applyFont="1" applyFill="1" applyAlignment="1">
      <alignment horizontal="center"/>
    </xf>
    <xf numFmtId="0" fontId="1" fillId="0" borderId="0" xfId="0" applyFont="1"/>
    <xf numFmtId="0" fontId="4" fillId="0" borderId="0" xfId="0" applyFont="1" applyFill="1" applyAlignment="1">
      <alignment horizontal="center" wrapText="1"/>
    </xf>
    <xf numFmtId="165" fontId="0" fillId="0" borderId="0" xfId="0" applyNumberFormat="1" applyFill="1" applyAlignment="1">
      <alignment horizontal="center" wrapText="1"/>
    </xf>
    <xf numFmtId="174" fontId="11" fillId="0" borderId="0" xfId="1" applyNumberFormat="1" applyFont="1" applyFill="1" applyAlignment="1">
      <alignment horizontal="center"/>
    </xf>
    <xf numFmtId="38" fontId="0" fillId="0" borderId="0" xfId="0" applyNumberFormat="1" applyFill="1" applyAlignment="1">
      <alignment horizontal="center"/>
    </xf>
    <xf numFmtId="172" fontId="12" fillId="0" borderId="0" xfId="1" applyNumberFormat="1" applyFont="1" applyFill="1"/>
    <xf numFmtId="172" fontId="0" fillId="0" borderId="0" xfId="1" applyNumberFormat="1" applyFont="1" applyFill="1"/>
    <xf numFmtId="0" fontId="0" fillId="0" borderId="0" xfId="0" applyAlignment="1">
      <alignment horizontal="center"/>
    </xf>
    <xf numFmtId="3" fontId="1" fillId="3" borderId="0" xfId="0" quotePrefix="1" applyNumberFormat="1" applyFont="1" applyFill="1" applyAlignment="1">
      <alignment horizontal="center" wrapText="1"/>
    </xf>
    <xf numFmtId="3" fontId="1" fillId="0" borderId="0" xfId="0" applyNumberFormat="1" applyFont="1" applyAlignment="1">
      <alignment horizontal="center" wrapText="1"/>
    </xf>
    <xf numFmtId="0" fontId="17" fillId="0" borderId="0" xfId="5" applyFont="1"/>
    <xf numFmtId="0" fontId="16" fillId="0" borderId="4" xfId="6" applyFont="1" applyFill="1" applyBorder="1" applyAlignment="1">
      <alignment horizontal="center" vertical="center"/>
    </xf>
    <xf numFmtId="0" fontId="16" fillId="0" borderId="4" xfId="5" applyFont="1" applyFill="1" applyBorder="1" applyAlignment="1">
      <alignment horizontal="left" vertical="center"/>
    </xf>
    <xf numFmtId="0" fontId="16" fillId="0" borderId="1" xfId="5" applyFont="1" applyFill="1" applyBorder="1" applyAlignment="1">
      <alignment horizontal="left" vertical="center"/>
    </xf>
    <xf numFmtId="0" fontId="1" fillId="0" borderId="0" xfId="5"/>
    <xf numFmtId="0" fontId="17" fillId="0" borderId="8" xfId="5" applyFont="1" applyFill="1" applyBorder="1" applyAlignment="1">
      <alignment horizontal="left" vertical="center"/>
    </xf>
    <xf numFmtId="0" fontId="17" fillId="0" borderId="4" xfId="5" applyFont="1" applyFill="1" applyBorder="1" applyAlignment="1">
      <alignment horizontal="left" vertical="center"/>
    </xf>
    <xf numFmtId="179" fontId="17" fillId="0" borderId="1" xfId="7" applyNumberFormat="1" applyFont="1" applyFill="1" applyBorder="1" applyAlignment="1">
      <alignment horizontal="center" vertical="center"/>
    </xf>
    <xf numFmtId="180" fontId="17" fillId="0" borderId="1" xfId="5" applyNumberFormat="1" applyFont="1" applyFill="1" applyBorder="1" applyAlignment="1">
      <alignment horizontal="center" vertical="center"/>
    </xf>
    <xf numFmtId="181" fontId="17" fillId="0" borderId="1" xfId="5" applyNumberFormat="1" applyFont="1" applyFill="1" applyBorder="1" applyAlignment="1">
      <alignment horizontal="center" vertical="center"/>
    </xf>
    <xf numFmtId="3" fontId="17" fillId="0" borderId="1" xfId="5" applyNumberFormat="1" applyFont="1" applyFill="1" applyBorder="1" applyAlignment="1">
      <alignment horizontal="center" vertical="center"/>
    </xf>
    <xf numFmtId="0" fontId="17" fillId="0" borderId="0" xfId="5" applyFont="1" applyFill="1"/>
    <xf numFmtId="0" fontId="16" fillId="0" borderId="4" xfId="5" applyFont="1" applyFill="1" applyBorder="1" applyAlignment="1">
      <alignment vertical="center" wrapText="1"/>
    </xf>
    <xf numFmtId="0" fontId="16" fillId="0" borderId="9" xfId="5" applyFont="1" applyFill="1" applyBorder="1" applyAlignment="1">
      <alignment vertical="center" wrapText="1"/>
    </xf>
    <xf numFmtId="0" fontId="16" fillId="0" borderId="8" xfId="5" applyFont="1" applyFill="1" applyBorder="1" applyAlignment="1">
      <alignment horizontal="left" vertical="center"/>
    </xf>
    <xf numFmtId="179" fontId="16" fillId="0" borderId="1" xfId="7" applyNumberFormat="1" applyFont="1" applyFill="1" applyBorder="1" applyAlignment="1">
      <alignment horizontal="center" vertical="center"/>
    </xf>
    <xf numFmtId="180" fontId="16" fillId="0" borderId="1" xfId="5" applyNumberFormat="1" applyFont="1" applyFill="1" applyBorder="1" applyAlignment="1">
      <alignment horizontal="center" vertical="center"/>
    </xf>
    <xf numFmtId="181" fontId="16" fillId="0" borderId="1" xfId="5" applyNumberFormat="1" applyFont="1" applyFill="1" applyBorder="1" applyAlignment="1">
      <alignment horizontal="center" vertical="center"/>
    </xf>
    <xf numFmtId="3" fontId="16" fillId="0" borderId="1" xfId="5" applyNumberFormat="1" applyFont="1" applyFill="1" applyBorder="1" applyAlignment="1">
      <alignment horizontal="center" vertical="center"/>
    </xf>
    <xf numFmtId="0" fontId="16" fillId="0" borderId="0" xfId="5" applyFont="1" applyFill="1"/>
    <xf numFmtId="0" fontId="16" fillId="0" borderId="0" xfId="5" applyFont="1"/>
    <xf numFmtId="0" fontId="16" fillId="0" borderId="0" xfId="5" applyFont="1" applyFill="1" applyBorder="1" applyAlignment="1">
      <alignment horizontal="left" vertical="center"/>
    </xf>
    <xf numFmtId="0" fontId="17" fillId="0" borderId="0" xfId="5" applyFont="1" applyFill="1" applyAlignment="1">
      <alignment vertical="center"/>
    </xf>
    <xf numFmtId="3" fontId="16" fillId="0" borderId="1" xfId="6" applyNumberFormat="1" applyFont="1" applyFill="1" applyBorder="1" applyAlignment="1">
      <alignment horizontal="center" vertical="center" wrapText="1"/>
    </xf>
    <xf numFmtId="0" fontId="17" fillId="0" borderId="1" xfId="5" applyFont="1" applyBorder="1"/>
    <xf numFmtId="179" fontId="17" fillId="0" borderId="0" xfId="5" applyNumberFormat="1" applyFont="1"/>
    <xf numFmtId="0" fontId="17" fillId="0" borderId="9" xfId="5" applyFont="1" applyFill="1" applyBorder="1" applyAlignment="1">
      <alignment horizontal="left" vertical="center" wrapText="1"/>
    </xf>
    <xf numFmtId="179" fontId="16" fillId="0" borderId="0" xfId="5" applyNumberFormat="1" applyFont="1"/>
    <xf numFmtId="3" fontId="17" fillId="0" borderId="1" xfId="7" applyNumberFormat="1" applyFont="1" applyFill="1" applyBorder="1" applyAlignment="1">
      <alignment horizontal="center" vertical="center"/>
    </xf>
    <xf numFmtId="3" fontId="17" fillId="0" borderId="0" xfId="5" applyNumberFormat="1" applyFont="1"/>
    <xf numFmtId="0" fontId="16" fillId="0" borderId="4" xfId="5" applyFont="1" applyFill="1" applyBorder="1" applyAlignment="1">
      <alignment horizontal="left" vertical="center" wrapText="1"/>
    </xf>
    <xf numFmtId="3" fontId="16" fillId="0" borderId="1" xfId="7" applyNumberFormat="1" applyFont="1" applyFill="1" applyBorder="1" applyAlignment="1">
      <alignment horizontal="center" vertical="center"/>
    </xf>
    <xf numFmtId="181" fontId="16" fillId="0" borderId="4" xfId="5" applyNumberFormat="1" applyFont="1" applyFill="1" applyBorder="1" applyAlignment="1">
      <alignment horizontal="left" vertical="center"/>
    </xf>
    <xf numFmtId="181" fontId="17" fillId="0" borderId="1" xfId="5" applyNumberFormat="1" applyFont="1" applyFill="1" applyBorder="1" applyAlignment="1">
      <alignment horizontal="left" vertical="center"/>
    </xf>
    <xf numFmtId="181" fontId="16" fillId="0" borderId="1" xfId="5" applyNumberFormat="1" applyFont="1" applyFill="1" applyBorder="1" applyAlignment="1">
      <alignment horizontal="left" vertical="center"/>
    </xf>
    <xf numFmtId="168" fontId="16" fillId="0" borderId="0" xfId="5" applyNumberFormat="1" applyFont="1" applyAlignment="1">
      <alignment horizontal="center"/>
    </xf>
    <xf numFmtId="165" fontId="16" fillId="0" borderId="0" xfId="3" applyNumberFormat="1" applyFont="1"/>
    <xf numFmtId="181" fontId="17" fillId="0" borderId="0" xfId="5" applyNumberFormat="1" applyFont="1" applyFill="1" applyBorder="1" applyAlignment="1">
      <alignment horizontal="left" vertical="center"/>
    </xf>
    <xf numFmtId="181" fontId="16" fillId="0" borderId="0" xfId="5" applyNumberFormat="1" applyFont="1" applyFill="1" applyBorder="1" applyAlignment="1">
      <alignment horizontal="left" vertical="center"/>
    </xf>
    <xf numFmtId="181" fontId="17" fillId="0" borderId="0" xfId="5" applyNumberFormat="1" applyFont="1" applyFill="1" applyBorder="1" applyAlignment="1">
      <alignment horizontal="center" vertical="center"/>
    </xf>
    <xf numFmtId="0" fontId="1" fillId="0" borderId="1" xfId="5" applyBorder="1" applyAlignment="1">
      <alignment horizontal="center"/>
    </xf>
    <xf numFmtId="165" fontId="1" fillId="0" borderId="1" xfId="5" applyNumberFormat="1" applyFill="1" applyBorder="1" applyAlignment="1">
      <alignment horizontal="center"/>
    </xf>
    <xf numFmtId="165" fontId="1" fillId="0" borderId="1" xfId="5" applyNumberFormat="1" applyBorder="1" applyAlignment="1">
      <alignment horizontal="center"/>
    </xf>
    <xf numFmtId="3" fontId="1" fillId="0" borderId="1" xfId="5" applyNumberFormat="1" applyBorder="1" applyAlignment="1">
      <alignment horizontal="center"/>
    </xf>
    <xf numFmtId="166" fontId="17" fillId="0" borderId="1" xfId="7" applyNumberFormat="1" applyFont="1" applyFill="1" applyBorder="1" applyAlignment="1">
      <alignment horizontal="center" vertical="center"/>
    </xf>
    <xf numFmtId="180" fontId="17" fillId="0" borderId="1" xfId="7" applyNumberFormat="1" applyFont="1" applyFill="1" applyBorder="1" applyAlignment="1">
      <alignment horizontal="center" vertical="center"/>
    </xf>
    <xf numFmtId="181" fontId="17" fillId="0" borderId="9" xfId="7" applyNumberFormat="1" applyFont="1" applyFill="1" applyBorder="1" applyAlignment="1">
      <alignment horizontal="center" vertical="center"/>
    </xf>
    <xf numFmtId="0" fontId="16" fillId="0" borderId="9" xfId="5" applyFont="1" applyFill="1" applyBorder="1" applyAlignment="1">
      <alignment horizontal="left" vertical="center" wrapText="1"/>
    </xf>
    <xf numFmtId="166" fontId="16" fillId="0" borderId="1" xfId="7" applyNumberFormat="1" applyFont="1" applyFill="1" applyBorder="1" applyAlignment="1">
      <alignment horizontal="center" vertical="center"/>
    </xf>
    <xf numFmtId="181" fontId="16" fillId="0" borderId="9" xfId="7" applyNumberFormat="1" applyFont="1" applyFill="1" applyBorder="1" applyAlignment="1">
      <alignment horizontal="center" vertical="center"/>
    </xf>
    <xf numFmtId="0" fontId="16" fillId="0" borderId="0" xfId="5" applyFont="1" applyFill="1" applyAlignment="1">
      <alignment vertical="center"/>
    </xf>
    <xf numFmtId="0" fontId="17" fillId="0" borderId="6" xfId="5" applyFont="1" applyFill="1" applyBorder="1" applyAlignment="1">
      <alignment vertical="center"/>
    </xf>
    <xf numFmtId="0" fontId="17" fillId="0" borderId="1" xfId="5" applyFont="1" applyFill="1" applyBorder="1" applyAlignment="1">
      <alignment horizontal="left" vertical="center"/>
    </xf>
    <xf numFmtId="3" fontId="17" fillId="0" borderId="1" xfId="5" applyNumberFormat="1" applyFont="1" applyFill="1" applyBorder="1" applyAlignment="1">
      <alignment horizontal="center" vertical="center" wrapText="1"/>
    </xf>
    <xf numFmtId="181" fontId="17" fillId="0" borderId="1" xfId="5" applyNumberFormat="1" applyFont="1" applyFill="1" applyBorder="1" applyAlignment="1">
      <alignment horizontal="center" vertical="center" wrapText="1"/>
    </xf>
    <xf numFmtId="181" fontId="16" fillId="0" borderId="1" xfId="5" applyNumberFormat="1" applyFont="1" applyFill="1" applyBorder="1" applyAlignment="1">
      <alignment horizontal="center" vertical="center" wrapText="1"/>
    </xf>
    <xf numFmtId="0" fontId="16" fillId="0" borderId="1" xfId="5" applyFont="1" applyFill="1" applyBorder="1" applyAlignment="1">
      <alignment horizontal="left" vertical="center" wrapText="1"/>
    </xf>
    <xf numFmtId="3" fontId="16" fillId="0" borderId="1" xfId="5" applyNumberFormat="1" applyFont="1" applyFill="1" applyBorder="1" applyAlignment="1">
      <alignment horizontal="center" vertical="center" wrapText="1"/>
    </xf>
    <xf numFmtId="3" fontId="16" fillId="0" borderId="1" xfId="5" applyNumberFormat="1" applyFont="1" applyBorder="1" applyAlignment="1">
      <alignment horizontal="center"/>
    </xf>
    <xf numFmtId="3" fontId="1" fillId="0" borderId="0" xfId="5" applyNumberFormat="1"/>
    <xf numFmtId="0" fontId="1" fillId="0" borderId="1" xfId="5" applyBorder="1"/>
    <xf numFmtId="165" fontId="16" fillId="0" borderId="0" xfId="3" applyNumberFormat="1" applyFont="1" applyFill="1" applyBorder="1" applyAlignment="1">
      <alignment vertical="center"/>
    </xf>
    <xf numFmtId="182" fontId="16" fillId="0" borderId="0" xfId="5" applyNumberFormat="1" applyFont="1" applyFill="1" applyBorder="1" applyAlignment="1">
      <alignment horizontal="center" vertical="center" wrapText="1"/>
    </xf>
    <xf numFmtId="0" fontId="16" fillId="0" borderId="1" xfId="5" applyFont="1" applyFill="1" applyBorder="1" applyAlignment="1">
      <alignment vertical="center"/>
    </xf>
    <xf numFmtId="179" fontId="16" fillId="0" borderId="1" xfId="5" applyNumberFormat="1" applyFont="1" applyFill="1" applyBorder="1" applyAlignment="1">
      <alignment horizontal="center" vertical="center" wrapText="1"/>
    </xf>
    <xf numFmtId="9" fontId="17" fillId="0" borderId="1" xfId="5" applyNumberFormat="1" applyFont="1" applyFill="1" applyBorder="1" applyAlignment="1">
      <alignment horizontal="center" vertical="center" wrapText="1"/>
    </xf>
    <xf numFmtId="9" fontId="17" fillId="0" borderId="0" xfId="5" applyNumberFormat="1" applyFont="1" applyFill="1" applyBorder="1" applyAlignment="1">
      <alignment horizontal="center" vertical="center" wrapText="1"/>
    </xf>
    <xf numFmtId="0" fontId="1" fillId="0" borderId="1" xfId="5" applyFont="1" applyBorder="1"/>
    <xf numFmtId="165" fontId="1" fillId="0" borderId="1" xfId="5" applyNumberFormat="1" applyBorder="1"/>
    <xf numFmtId="180" fontId="16" fillId="0" borderId="1" xfId="5" applyNumberFormat="1" applyFont="1" applyFill="1" applyBorder="1" applyAlignment="1">
      <alignment horizontal="center" vertical="center" wrapText="1"/>
    </xf>
    <xf numFmtId="182" fontId="16" fillId="0" borderId="1" xfId="5" applyNumberFormat="1" applyFont="1" applyFill="1" applyBorder="1" applyAlignment="1">
      <alignment horizontal="center" vertical="center" wrapText="1"/>
    </xf>
    <xf numFmtId="0" fontId="17" fillId="0" borderId="13" xfId="5" applyFont="1" applyFill="1" applyBorder="1" applyAlignment="1">
      <alignment horizontal="left" vertical="center"/>
    </xf>
    <xf numFmtId="3" fontId="17" fillId="0" borderId="17" xfId="5" applyNumberFormat="1" applyFont="1" applyFill="1" applyBorder="1" applyAlignment="1">
      <alignment horizontal="center" vertical="center" wrapText="1"/>
    </xf>
    <xf numFmtId="0" fontId="17" fillId="0" borderId="0" xfId="5" applyFont="1" applyFill="1" applyBorder="1" applyAlignment="1">
      <alignment horizontal="left" vertical="center"/>
    </xf>
    <xf numFmtId="183" fontId="16" fillId="0" borderId="1" xfId="5" applyNumberFormat="1" applyFont="1" applyFill="1" applyBorder="1" applyAlignment="1">
      <alignment horizontal="center" vertical="center" wrapText="1"/>
    </xf>
    <xf numFmtId="0" fontId="17" fillId="0" borderId="1" xfId="5" applyFont="1" applyFill="1" applyBorder="1" applyAlignment="1">
      <alignment vertical="center"/>
    </xf>
    <xf numFmtId="3" fontId="16" fillId="0" borderId="0" xfId="5" applyNumberFormat="1" applyFont="1" applyFill="1" applyBorder="1" applyAlignment="1">
      <alignment horizontal="center" vertical="center" wrapText="1"/>
    </xf>
    <xf numFmtId="181" fontId="17" fillId="0" borderId="1" xfId="7" applyNumberFormat="1" applyFont="1" applyFill="1" applyBorder="1" applyAlignment="1">
      <alignment horizontal="center" vertical="center"/>
    </xf>
    <xf numFmtId="3" fontId="17" fillId="0" borderId="1" xfId="5" applyNumberFormat="1" applyFont="1" applyFill="1" applyBorder="1" applyAlignment="1">
      <alignment horizontal="left" vertical="center"/>
    </xf>
    <xf numFmtId="3" fontId="17" fillId="0" borderId="1" xfId="5" applyNumberFormat="1" applyFont="1" applyFill="1" applyBorder="1" applyAlignment="1">
      <alignment vertical="center"/>
    </xf>
    <xf numFmtId="3" fontId="17" fillId="0" borderId="1" xfId="5" applyNumberFormat="1" applyFont="1" applyBorder="1" applyAlignment="1">
      <alignment horizontal="center"/>
    </xf>
    <xf numFmtId="0" fontId="16" fillId="11" borderId="1" xfId="6" applyFont="1" applyFill="1" applyBorder="1" applyAlignment="1">
      <alignment horizontal="center" vertical="center" wrapText="1"/>
    </xf>
    <xf numFmtId="0" fontId="16" fillId="11" borderId="8" xfId="6" applyFont="1" applyFill="1" applyBorder="1" applyAlignment="1">
      <alignment horizontal="left" vertical="center"/>
    </xf>
    <xf numFmtId="0" fontId="16" fillId="11" borderId="4" xfId="6" applyFont="1" applyFill="1" applyBorder="1" applyAlignment="1">
      <alignment horizontal="center" vertical="center"/>
    </xf>
    <xf numFmtId="167" fontId="0" fillId="0" borderId="0" xfId="0" applyNumberFormat="1" applyFill="1" applyAlignment="1">
      <alignment horizontal="center"/>
    </xf>
    <xf numFmtId="3" fontId="0" fillId="0" borderId="0" xfId="0" applyNumberFormat="1" applyFill="1"/>
    <xf numFmtId="179" fontId="17" fillId="0" borderId="1" xfId="5" applyNumberFormat="1" applyFont="1" applyFill="1" applyBorder="1" applyAlignment="1">
      <alignment horizontal="center" vertical="center"/>
    </xf>
    <xf numFmtId="37" fontId="17" fillId="0" borderId="1" xfId="5" applyNumberFormat="1" applyFont="1" applyFill="1" applyBorder="1" applyAlignment="1">
      <alignment horizontal="center" vertical="center"/>
    </xf>
    <xf numFmtId="3" fontId="16" fillId="11" borderId="1" xfId="6" applyNumberFormat="1" applyFont="1" applyFill="1" applyBorder="1" applyAlignment="1">
      <alignment horizontal="center" vertical="center" wrapText="1"/>
    </xf>
    <xf numFmtId="0" fontId="16" fillId="0" borderId="11" xfId="5" applyFont="1" applyFill="1" applyBorder="1" applyAlignment="1">
      <alignment horizontal="left" vertical="center"/>
    </xf>
    <xf numFmtId="179" fontId="16" fillId="0" borderId="1" xfId="5" applyNumberFormat="1" applyFont="1" applyFill="1" applyBorder="1" applyAlignment="1">
      <alignment horizontal="center" vertical="center"/>
    </xf>
    <xf numFmtId="179" fontId="16" fillId="0" borderId="15" xfId="7" applyNumberFormat="1" applyFont="1" applyFill="1" applyBorder="1" applyAlignment="1">
      <alignment horizontal="center" vertical="center"/>
    </xf>
    <xf numFmtId="179" fontId="16" fillId="0" borderId="15" xfId="5" applyNumberFormat="1" applyFont="1" applyFill="1" applyBorder="1" applyAlignment="1">
      <alignment horizontal="center" vertical="center"/>
    </xf>
    <xf numFmtId="3" fontId="17" fillId="0" borderId="1" xfId="5" applyNumberFormat="1" applyFont="1" applyFill="1" applyBorder="1" applyAlignment="1">
      <alignment horizontal="center"/>
    </xf>
    <xf numFmtId="0" fontId="17" fillId="0" borderId="1" xfId="5" applyFont="1" applyFill="1" applyBorder="1" applyAlignment="1">
      <alignment vertical="center" wrapText="1"/>
    </xf>
    <xf numFmtId="0" fontId="17" fillId="0" borderId="1" xfId="5" applyFont="1" applyFill="1" applyBorder="1" applyAlignment="1">
      <alignment horizontal="left" vertical="center" wrapText="1"/>
    </xf>
    <xf numFmtId="3" fontId="1" fillId="0" borderId="0" xfId="0" applyNumberFormat="1" applyFont="1" applyFill="1" applyAlignment="1">
      <alignment horizontal="center" wrapText="1"/>
    </xf>
    <xf numFmtId="3" fontId="1" fillId="5" borderId="0" xfId="0" applyNumberFormat="1" applyFont="1" applyFill="1" applyAlignment="1">
      <alignment horizontal="center" wrapText="1"/>
    </xf>
    <xf numFmtId="0" fontId="16" fillId="11" borderId="1" xfId="5" applyFont="1" applyFill="1" applyBorder="1" applyAlignment="1">
      <alignment vertical="center"/>
    </xf>
    <xf numFmtId="3" fontId="16" fillId="0" borderId="1" xfId="5" applyNumberFormat="1" applyFont="1" applyFill="1" applyBorder="1" applyAlignment="1">
      <alignment horizontal="center"/>
    </xf>
    <xf numFmtId="3" fontId="16" fillId="0" borderId="0" xfId="5" applyNumberFormat="1" applyFont="1"/>
    <xf numFmtId="0" fontId="6" fillId="0" borderId="0" xfId="0" applyFont="1" applyFill="1" applyBorder="1" applyAlignment="1">
      <alignment horizontal="centerContinuous"/>
    </xf>
    <xf numFmtId="0" fontId="6" fillId="0" borderId="0" xfId="0" applyFont="1" applyFill="1" applyBorder="1" applyAlignment="1">
      <alignment horizontal="center"/>
    </xf>
    <xf numFmtId="0" fontId="16" fillId="0" borderId="4" xfId="5" applyFont="1" applyFill="1" applyBorder="1" applyAlignment="1">
      <alignment horizontal="left" vertical="center"/>
    </xf>
    <xf numFmtId="0" fontId="16" fillId="0" borderId="1" xfId="5" applyFont="1" applyFill="1" applyBorder="1" applyAlignment="1">
      <alignment horizontal="left" vertical="center" wrapText="1"/>
    </xf>
    <xf numFmtId="0" fontId="16" fillId="0" borderId="4" xfId="5" applyFont="1" applyFill="1" applyBorder="1" applyAlignment="1">
      <alignment horizontal="left" vertical="center" wrapText="1"/>
    </xf>
    <xf numFmtId="0" fontId="16" fillId="0" borderId="1" xfId="5" applyFont="1" applyFill="1" applyBorder="1" applyAlignment="1">
      <alignment horizontal="left" vertical="center"/>
    </xf>
    <xf numFmtId="3" fontId="1" fillId="0" borderId="1" xfId="5" applyNumberFormat="1" applyBorder="1" applyAlignment="1">
      <alignment horizontal="center"/>
    </xf>
    <xf numFmtId="0" fontId="17" fillId="0" borderId="1" xfId="5" applyFont="1" applyFill="1" applyBorder="1" applyAlignment="1">
      <alignment horizontal="left" vertical="center"/>
    </xf>
    <xf numFmtId="0" fontId="0" fillId="0" borderId="0" xfId="0" applyAlignment="1">
      <alignment horizontal="center"/>
    </xf>
    <xf numFmtId="3" fontId="1" fillId="0" borderId="8" xfId="5" applyNumberFormat="1" applyBorder="1" applyAlignment="1">
      <alignment horizontal="center"/>
    </xf>
    <xf numFmtId="0" fontId="1" fillId="0" borderId="17" xfId="5" applyBorder="1" applyAlignment="1">
      <alignment horizontal="center"/>
    </xf>
    <xf numFmtId="0" fontId="1" fillId="0" borderId="7" xfId="5" applyBorder="1" applyAlignment="1">
      <alignment horizontal="center"/>
    </xf>
    <xf numFmtId="0" fontId="17" fillId="12" borderId="15" xfId="5" applyFont="1" applyFill="1" applyBorder="1"/>
    <xf numFmtId="0" fontId="17" fillId="12" borderId="17" xfId="5" applyFont="1" applyFill="1" applyBorder="1"/>
    <xf numFmtId="0" fontId="16" fillId="11" borderId="8" xfId="5" applyFont="1" applyFill="1" applyBorder="1" applyAlignment="1">
      <alignment vertical="center"/>
    </xf>
    <xf numFmtId="0" fontId="16" fillId="11" borderId="4" xfId="5" applyFont="1" applyFill="1" applyBorder="1" applyAlignment="1">
      <alignment vertical="center"/>
    </xf>
    <xf numFmtId="0" fontId="16" fillId="11" borderId="9" xfId="5" applyFont="1" applyFill="1" applyBorder="1" applyAlignment="1">
      <alignment vertical="center"/>
    </xf>
    <xf numFmtId="1" fontId="17" fillId="0" borderId="0" xfId="5" applyNumberFormat="1" applyFont="1" applyFill="1" applyBorder="1" applyAlignment="1">
      <alignment horizontal="left" vertical="center" indent="1"/>
    </xf>
    <xf numFmtId="180" fontId="17" fillId="0" borderId="0" xfId="7" applyNumberFormat="1" applyFont="1" applyFill="1" applyBorder="1" applyAlignment="1">
      <alignment horizontal="center" vertical="center"/>
    </xf>
    <xf numFmtId="0" fontId="0" fillId="0" borderId="0" xfId="0" applyAlignment="1"/>
    <xf numFmtId="172" fontId="0" fillId="0" borderId="0" xfId="1" applyNumberFormat="1" applyFont="1" applyAlignment="1"/>
    <xf numFmtId="165" fontId="17" fillId="0" borderId="1" xfId="7" applyNumberFormat="1" applyFont="1" applyFill="1" applyBorder="1" applyAlignment="1">
      <alignment horizontal="center" vertical="center"/>
    </xf>
    <xf numFmtId="0" fontId="4" fillId="0" borderId="0" xfId="5" applyFont="1"/>
    <xf numFmtId="0" fontId="19" fillId="0" borderId="0" xfId="5" applyFont="1"/>
    <xf numFmtId="43" fontId="1" fillId="0" borderId="0" xfId="14" applyFont="1"/>
    <xf numFmtId="0" fontId="20" fillId="0" borderId="0" xfId="5" applyFont="1"/>
    <xf numFmtId="43" fontId="9" fillId="0" borderId="0" xfId="14" applyFont="1"/>
    <xf numFmtId="0" fontId="9" fillId="0" borderId="0" xfId="5" applyFont="1"/>
    <xf numFmtId="43" fontId="21" fillId="0" borderId="0" xfId="14" applyFont="1" applyAlignment="1">
      <alignment horizontal="right"/>
    </xf>
    <xf numFmtId="0" fontId="21" fillId="0" borderId="13" xfId="5" applyFont="1" applyBorder="1" applyAlignment="1">
      <alignment horizontal="right"/>
    </xf>
    <xf numFmtId="0" fontId="21" fillId="2" borderId="0" xfId="5" applyFont="1" applyFill="1"/>
    <xf numFmtId="0" fontId="9" fillId="0" borderId="0" xfId="5" applyFont="1" applyAlignment="1">
      <alignment horizontal="right"/>
    </xf>
    <xf numFmtId="43" fontId="9" fillId="0" borderId="0" xfId="5" applyNumberFormat="1" applyFont="1" applyAlignment="1">
      <alignment horizontal="right"/>
    </xf>
    <xf numFmtId="2" fontId="9" fillId="2" borderId="0" xfId="5" applyNumberFormat="1" applyFont="1" applyFill="1"/>
    <xf numFmtId="4" fontId="9" fillId="2" borderId="0" xfId="5" applyNumberFormat="1" applyFont="1" applyFill="1"/>
    <xf numFmtId="2" fontId="1" fillId="0" borderId="0" xfId="5" applyNumberFormat="1"/>
    <xf numFmtId="43" fontId="1" fillId="0" borderId="0" xfId="5" applyNumberFormat="1"/>
    <xf numFmtId="0" fontId="1" fillId="0" borderId="0" xfId="5" applyFill="1"/>
    <xf numFmtId="0" fontId="16" fillId="11" borderId="1" xfId="6" applyFont="1" applyFill="1" applyBorder="1" applyAlignment="1">
      <alignment horizontal="center" vertical="center"/>
    </xf>
    <xf numFmtId="0" fontId="16" fillId="11" borderId="1" xfId="6" applyFont="1" applyFill="1" applyBorder="1" applyAlignment="1">
      <alignment horizontal="left" vertical="center"/>
    </xf>
    <xf numFmtId="165" fontId="17" fillId="0" borderId="0" xfId="5" applyNumberFormat="1" applyFont="1" applyAlignment="1">
      <alignment horizontal="center"/>
    </xf>
    <xf numFmtId="0" fontId="16" fillId="11" borderId="1" xfId="6" applyFont="1" applyFill="1" applyBorder="1" applyAlignment="1">
      <alignment vertical="center"/>
    </xf>
    <xf numFmtId="0" fontId="16" fillId="0" borderId="13" xfId="5" applyFont="1" applyFill="1" applyBorder="1" applyAlignment="1">
      <alignment horizontal="left" vertical="center"/>
    </xf>
    <xf numFmtId="0" fontId="16" fillId="0" borderId="0" xfId="5" applyFont="1" applyFill="1" applyBorder="1" applyAlignment="1">
      <alignment vertical="center" wrapText="1"/>
    </xf>
    <xf numFmtId="183" fontId="17" fillId="0" borderId="1" xfId="5" applyNumberFormat="1" applyFont="1" applyFill="1" applyBorder="1" applyAlignment="1">
      <alignment horizontal="center" vertical="center" wrapText="1"/>
    </xf>
    <xf numFmtId="0" fontId="16" fillId="11" borderId="1" xfId="6" applyNumberFormat="1" applyFont="1" applyFill="1" applyBorder="1" applyAlignment="1">
      <alignment horizontal="center" vertical="center" wrapText="1"/>
    </xf>
    <xf numFmtId="167" fontId="17" fillId="0" borderId="1" xfId="0" applyNumberFormat="1" applyFont="1" applyFill="1" applyBorder="1" applyAlignment="1">
      <alignment horizontal="center"/>
    </xf>
    <xf numFmtId="166" fontId="2" fillId="0" borderId="0" xfId="0" applyNumberFormat="1" applyFont="1" applyFill="1" applyAlignment="1">
      <alignment horizontal="center"/>
    </xf>
    <xf numFmtId="10" fontId="0" fillId="0" borderId="0" xfId="0" applyNumberFormat="1"/>
    <xf numFmtId="10" fontId="1" fillId="3" borderId="1" xfId="3" applyNumberFormat="1" applyFill="1" applyBorder="1"/>
    <xf numFmtId="0" fontId="13" fillId="11" borderId="1" xfId="0" applyFont="1" applyFill="1" applyBorder="1"/>
    <xf numFmtId="0" fontId="4" fillId="11" borderId="1" xfId="0" applyFont="1" applyFill="1" applyBorder="1"/>
    <xf numFmtId="0" fontId="13" fillId="11" borderId="15" xfId="0" applyFont="1" applyFill="1" applyBorder="1"/>
    <xf numFmtId="0" fontId="4" fillId="11" borderId="12" xfId="0" applyFont="1" applyFill="1" applyBorder="1"/>
    <xf numFmtId="0" fontId="4" fillId="11" borderId="10" xfId="0" applyFont="1" applyFill="1" applyBorder="1" applyAlignment="1">
      <alignment horizontal="center"/>
    </xf>
    <xf numFmtId="0" fontId="4" fillId="11" borderId="10" xfId="0" applyFont="1" applyFill="1" applyBorder="1"/>
    <xf numFmtId="0" fontId="4" fillId="11" borderId="11" xfId="0" applyFont="1" applyFill="1" applyBorder="1"/>
    <xf numFmtId="0" fontId="4" fillId="11" borderId="7" xfId="0" applyFont="1" applyFill="1" applyBorder="1" applyAlignment="1">
      <alignment horizontal="center"/>
    </xf>
    <xf numFmtId="0" fontId="4" fillId="11" borderId="15" xfId="0" applyFont="1" applyFill="1" applyBorder="1" applyAlignment="1">
      <alignment horizontal="center"/>
    </xf>
    <xf numFmtId="0" fontId="4" fillId="11" borderId="17" xfId="0" applyFont="1" applyFill="1" applyBorder="1" applyAlignment="1">
      <alignment horizontal="center"/>
    </xf>
    <xf numFmtId="0" fontId="0" fillId="11" borderId="10" xfId="0" applyFill="1" applyBorder="1"/>
    <xf numFmtId="0" fontId="4" fillId="11" borderId="9" xfId="0" applyFont="1" applyFill="1" applyBorder="1" applyAlignment="1">
      <alignment horizontal="center"/>
    </xf>
    <xf numFmtId="5" fontId="0" fillId="13" borderId="16" xfId="0" applyNumberFormat="1" applyFill="1" applyBorder="1"/>
    <xf numFmtId="0" fontId="13" fillId="0" borderId="17" xfId="0" applyFont="1" applyBorder="1"/>
    <xf numFmtId="0" fontId="1" fillId="0" borderId="5" xfId="0" applyFont="1" applyBorder="1"/>
    <xf numFmtId="0" fontId="1" fillId="0" borderId="0" xfId="0" applyFont="1" applyAlignment="1">
      <alignment wrapText="1"/>
    </xf>
    <xf numFmtId="3" fontId="1" fillId="5" borderId="21" xfId="0" applyNumberFormat="1" applyFont="1" applyFill="1" applyBorder="1" applyAlignment="1">
      <alignment horizontal="center"/>
    </xf>
    <xf numFmtId="10" fontId="0" fillId="0" borderId="0" xfId="3" applyNumberFormat="1" applyFont="1" applyFill="1" applyBorder="1"/>
    <xf numFmtId="165" fontId="22" fillId="0" borderId="22" xfId="0" applyNumberFormat="1" applyFont="1" applyBorder="1" applyAlignment="1">
      <alignment horizontal="center"/>
    </xf>
    <xf numFmtId="0" fontId="4" fillId="11" borderId="14" xfId="0" applyNumberFormat="1" applyFont="1" applyFill="1" applyBorder="1" applyAlignment="1">
      <alignment horizontal="center"/>
    </xf>
    <xf numFmtId="176" fontId="14" fillId="3" borderId="1" xfId="0" applyNumberFormat="1" applyFont="1" applyFill="1" applyBorder="1"/>
    <xf numFmtId="0" fontId="23" fillId="0" borderId="0" xfId="0" applyFont="1"/>
    <xf numFmtId="184" fontId="23" fillId="0" borderId="0" xfId="0" applyNumberFormat="1" applyFont="1"/>
    <xf numFmtId="9" fontId="23" fillId="0" borderId="0" xfId="0" applyNumberFormat="1" applyFont="1" applyAlignment="1">
      <alignment horizontal="center"/>
    </xf>
    <xf numFmtId="0" fontId="14" fillId="5" borderId="0" xfId="0" applyFont="1" applyFill="1"/>
    <xf numFmtId="0" fontId="0" fillId="5" borderId="0" xfId="0" applyFill="1"/>
    <xf numFmtId="177" fontId="14" fillId="0" borderId="1" xfId="0" applyNumberFormat="1" applyFont="1" applyBorder="1"/>
    <xf numFmtId="178" fontId="14" fillId="3" borderId="1" xfId="0" applyNumberFormat="1" applyFont="1" applyFill="1" applyBorder="1"/>
    <xf numFmtId="178" fontId="24" fillId="3" borderId="1" xfId="0" applyNumberFormat="1" applyFont="1" applyFill="1" applyBorder="1"/>
    <xf numFmtId="0" fontId="24" fillId="5" borderId="0" xfId="0" applyFont="1" applyFill="1"/>
    <xf numFmtId="172" fontId="0" fillId="0" borderId="2" xfId="1" applyNumberFormat="1" applyFont="1" applyFill="1" applyBorder="1" applyAlignment="1"/>
    <xf numFmtId="43" fontId="0" fillId="0" borderId="0" xfId="1" applyNumberFormat="1" applyFont="1" applyFill="1" applyBorder="1" applyAlignment="1"/>
    <xf numFmtId="3" fontId="17" fillId="0" borderId="8" xfId="5" applyNumberFormat="1" applyFont="1" applyFill="1" applyBorder="1" applyAlignment="1">
      <alignment horizontal="left" vertical="center"/>
    </xf>
    <xf numFmtId="3" fontId="17" fillId="0" borderId="9" xfId="5" applyNumberFormat="1" applyFont="1" applyFill="1" applyBorder="1" applyAlignment="1">
      <alignment horizontal="left" vertical="center"/>
    </xf>
    <xf numFmtId="0" fontId="17" fillId="0" borderId="8" xfId="5" applyFont="1" applyFill="1" applyBorder="1" applyAlignment="1">
      <alignment horizontal="left" vertical="center"/>
    </xf>
    <xf numFmtId="0" fontId="17" fillId="0" borderId="9" xfId="5" applyFont="1" applyFill="1" applyBorder="1" applyAlignment="1">
      <alignment horizontal="left" vertical="center"/>
    </xf>
    <xf numFmtId="0" fontId="17" fillId="0" borderId="8" xfId="5" applyFont="1" applyFill="1" applyBorder="1" applyAlignment="1">
      <alignment horizontal="center" vertical="center"/>
    </xf>
    <xf numFmtId="0" fontId="17" fillId="0" borderId="9" xfId="5" applyFont="1" applyFill="1" applyBorder="1" applyAlignment="1">
      <alignment horizontal="center" vertical="center"/>
    </xf>
    <xf numFmtId="0" fontId="17" fillId="0" borderId="1" xfId="5" applyFont="1" applyFill="1" applyBorder="1" applyAlignment="1">
      <alignment horizontal="left" vertical="center"/>
    </xf>
    <xf numFmtId="0" fontId="16" fillId="11" borderId="1" xfId="5" applyFont="1" applyFill="1" applyBorder="1" applyAlignment="1">
      <alignment horizontal="left" vertical="center"/>
    </xf>
    <xf numFmtId="0" fontId="17" fillId="0" borderId="8" xfId="5" applyFont="1" applyBorder="1" applyAlignment="1">
      <alignment horizontal="center"/>
    </xf>
    <xf numFmtId="0" fontId="17" fillId="0" borderId="4" xfId="5" applyFont="1" applyBorder="1" applyAlignment="1">
      <alignment horizontal="center"/>
    </xf>
    <xf numFmtId="0" fontId="17" fillId="0" borderId="9" xfId="5" applyFont="1" applyBorder="1" applyAlignment="1">
      <alignment horizontal="center"/>
    </xf>
    <xf numFmtId="0" fontId="17" fillId="0" borderId="8" xfId="5" applyFont="1" applyBorder="1" applyAlignment="1">
      <alignment horizontal="left"/>
    </xf>
    <xf numFmtId="0" fontId="17" fillId="0" borderId="4" xfId="5" applyFont="1" applyBorder="1" applyAlignment="1">
      <alignment horizontal="left"/>
    </xf>
    <xf numFmtId="0" fontId="17" fillId="0" borderId="9" xfId="5" applyFont="1" applyBorder="1" applyAlignment="1">
      <alignment horizontal="left"/>
    </xf>
    <xf numFmtId="0" fontId="16" fillId="0" borderId="1" xfId="5" applyFont="1" applyFill="1" applyBorder="1" applyAlignment="1">
      <alignment horizontal="left" vertical="center"/>
    </xf>
    <xf numFmtId="0" fontId="16" fillId="11" borderId="1" xfId="6" applyFont="1" applyFill="1" applyBorder="1" applyAlignment="1">
      <alignment horizontal="center" vertical="center"/>
    </xf>
    <xf numFmtId="181" fontId="17" fillId="0" borderId="8" xfId="5" applyNumberFormat="1" applyFont="1" applyFill="1" applyBorder="1" applyAlignment="1">
      <alignment horizontal="left" vertical="center" wrapText="1"/>
    </xf>
    <xf numFmtId="181" fontId="17" fillId="0" borderId="4" xfId="5" applyNumberFormat="1" applyFont="1" applyFill="1" applyBorder="1" applyAlignment="1">
      <alignment horizontal="left" vertical="center" wrapText="1"/>
    </xf>
    <xf numFmtId="0" fontId="17" fillId="0" borderId="1" xfId="5" applyFont="1" applyFill="1" applyBorder="1" applyAlignment="1">
      <alignment horizontal="center" vertical="center"/>
    </xf>
    <xf numFmtId="181" fontId="16" fillId="0" borderId="1" xfId="5" applyNumberFormat="1" applyFont="1" applyFill="1" applyBorder="1" applyAlignment="1">
      <alignment horizontal="left" vertical="center"/>
    </xf>
    <xf numFmtId="181" fontId="16" fillId="0" borderId="1" xfId="5" applyNumberFormat="1" applyFont="1" applyFill="1" applyBorder="1" applyAlignment="1">
      <alignment horizontal="center" vertical="center"/>
    </xf>
    <xf numFmtId="3" fontId="17" fillId="0" borderId="8" xfId="5" applyNumberFormat="1" applyFont="1" applyBorder="1" applyAlignment="1">
      <alignment horizontal="left"/>
    </xf>
    <xf numFmtId="3" fontId="17" fillId="0" borderId="9" xfId="5" applyNumberFormat="1" applyFont="1" applyBorder="1" applyAlignment="1">
      <alignment horizontal="left"/>
    </xf>
    <xf numFmtId="1" fontId="17" fillId="0" borderId="8" xfId="5" applyNumberFormat="1" applyFont="1" applyFill="1" applyBorder="1" applyAlignment="1">
      <alignment horizontal="left" vertical="center" wrapText="1" indent="1"/>
    </xf>
    <xf numFmtId="1" fontId="17" fillId="0" borderId="9" xfId="5" applyNumberFormat="1" applyFont="1" applyFill="1" applyBorder="1" applyAlignment="1">
      <alignment horizontal="left" vertical="center" wrapText="1" indent="1"/>
    </xf>
    <xf numFmtId="0" fontId="16" fillId="0" borderId="8" xfId="5" applyFont="1" applyFill="1" applyBorder="1" applyAlignment="1">
      <alignment horizontal="left" vertical="center"/>
    </xf>
    <xf numFmtId="0" fontId="16" fillId="0" borderId="4" xfId="5" applyFont="1" applyFill="1" applyBorder="1" applyAlignment="1">
      <alignment horizontal="left" vertical="center"/>
    </xf>
    <xf numFmtId="0" fontId="16" fillId="0" borderId="9" xfId="5" applyFont="1" applyFill="1" applyBorder="1" applyAlignment="1">
      <alignment horizontal="left" vertical="center"/>
    </xf>
    <xf numFmtId="0" fontId="16" fillId="11" borderId="8" xfId="5" applyFont="1" applyFill="1" applyBorder="1" applyAlignment="1">
      <alignment horizontal="left" vertical="center"/>
    </xf>
    <xf numFmtId="0" fontId="16" fillId="11" borderId="4" xfId="5" applyFont="1" applyFill="1" applyBorder="1" applyAlignment="1">
      <alignment horizontal="left" vertical="center"/>
    </xf>
    <xf numFmtId="0" fontId="16" fillId="11" borderId="9" xfId="5" applyFont="1" applyFill="1" applyBorder="1" applyAlignment="1">
      <alignment horizontal="left" vertical="center"/>
    </xf>
    <xf numFmtId="0" fontId="16" fillId="11" borderId="8" xfId="6" applyFont="1" applyFill="1" applyBorder="1" applyAlignment="1">
      <alignment horizontal="center" vertical="center"/>
    </xf>
    <xf numFmtId="0" fontId="16" fillId="11" borderId="9" xfId="6" applyFont="1" applyFill="1" applyBorder="1" applyAlignment="1">
      <alignment horizontal="center" vertical="center"/>
    </xf>
    <xf numFmtId="0" fontId="17" fillId="0" borderId="4" xfId="5" applyFont="1" applyFill="1" applyBorder="1" applyAlignment="1">
      <alignment horizontal="left" vertical="center"/>
    </xf>
    <xf numFmtId="0" fontId="16" fillId="11" borderId="8" xfId="6" applyFont="1" applyFill="1" applyBorder="1" applyAlignment="1">
      <alignment horizontal="left" vertical="center"/>
    </xf>
    <xf numFmtId="0" fontId="16" fillId="11" borderId="4" xfId="6" applyFont="1" applyFill="1" applyBorder="1" applyAlignment="1">
      <alignment horizontal="left" vertical="center"/>
    </xf>
    <xf numFmtId="0" fontId="16" fillId="11" borderId="1" xfId="6" applyFont="1" applyFill="1" applyBorder="1" applyAlignment="1">
      <alignment horizontal="left" vertical="center"/>
    </xf>
    <xf numFmtId="0" fontId="16" fillId="11" borderId="7" xfId="5" applyFont="1" applyFill="1" applyBorder="1" applyAlignment="1">
      <alignment horizontal="left" vertical="center" wrapText="1"/>
    </xf>
    <xf numFmtId="0" fontId="16" fillId="11" borderId="13" xfId="5" applyFont="1" applyFill="1" applyBorder="1" applyAlignment="1">
      <alignment horizontal="left" vertical="center" wrapText="1"/>
    </xf>
    <xf numFmtId="0" fontId="16" fillId="0" borderId="1" xfId="5" applyFont="1" applyFill="1" applyBorder="1" applyAlignment="1">
      <alignment horizontal="left" vertical="center" wrapText="1"/>
    </xf>
    <xf numFmtId="0" fontId="1" fillId="0" borderId="1" xfId="5" applyBorder="1" applyAlignment="1">
      <alignment horizontal="center"/>
    </xf>
    <xf numFmtId="3" fontId="1" fillId="0" borderId="1" xfId="5" applyNumberFormat="1" applyBorder="1" applyAlignment="1">
      <alignment horizontal="center"/>
    </xf>
    <xf numFmtId="0" fontId="16" fillId="11" borderId="1" xfId="5" applyFont="1" applyFill="1" applyBorder="1" applyAlignment="1">
      <alignment horizontal="left"/>
    </xf>
    <xf numFmtId="0" fontId="16" fillId="11" borderId="9" xfId="6" applyFont="1" applyFill="1" applyBorder="1" applyAlignment="1">
      <alignment horizontal="left" vertical="center"/>
    </xf>
    <xf numFmtId="0" fontId="16" fillId="0" borderId="8" xfId="5" applyFont="1" applyFill="1" applyBorder="1" applyAlignment="1">
      <alignment horizontal="left" vertical="center" wrapText="1"/>
    </xf>
    <xf numFmtId="0" fontId="16" fillId="0" borderId="9" xfId="5" applyFont="1" applyFill="1" applyBorder="1" applyAlignment="1">
      <alignment horizontal="left" vertical="center" wrapText="1"/>
    </xf>
    <xf numFmtId="0" fontId="16" fillId="11" borderId="8" xfId="5" applyFont="1" applyFill="1" applyBorder="1" applyAlignment="1">
      <alignment horizontal="center" vertical="center" wrapText="1"/>
    </xf>
    <xf numFmtId="0" fontId="16" fillId="11" borderId="4" xfId="5" applyFont="1" applyFill="1" applyBorder="1" applyAlignment="1">
      <alignment horizontal="center" vertical="center" wrapText="1"/>
    </xf>
    <xf numFmtId="0" fontId="16" fillId="11" borderId="9" xfId="5" applyFont="1" applyFill="1" applyBorder="1" applyAlignment="1">
      <alignment horizontal="center" vertical="center" wrapText="1"/>
    </xf>
    <xf numFmtId="3" fontId="1" fillId="0" borderId="15" xfId="5" applyNumberFormat="1" applyBorder="1" applyAlignment="1">
      <alignment horizontal="center"/>
    </xf>
    <xf numFmtId="1" fontId="17" fillId="0" borderId="1" xfId="5" applyNumberFormat="1" applyFont="1" applyFill="1" applyBorder="1" applyAlignment="1">
      <alignment horizontal="left" vertical="center" wrapText="1" indent="1"/>
    </xf>
    <xf numFmtId="0" fontId="16" fillId="0" borderId="8" xfId="5" applyFont="1" applyFill="1" applyBorder="1" applyAlignment="1">
      <alignment horizontal="center" vertical="center"/>
    </xf>
    <xf numFmtId="0" fontId="16" fillId="0" borderId="4" xfId="5" applyFont="1" applyFill="1" applyBorder="1" applyAlignment="1">
      <alignment horizontal="center" vertical="center"/>
    </xf>
    <xf numFmtId="0" fontId="16" fillId="0" borderId="9" xfId="5" applyFont="1" applyFill="1" applyBorder="1" applyAlignment="1">
      <alignment horizontal="center" vertical="center"/>
    </xf>
    <xf numFmtId="0" fontId="16" fillId="0" borderId="1" xfId="5" applyFont="1" applyFill="1" applyBorder="1" applyAlignment="1">
      <alignment horizontal="center" vertical="center"/>
    </xf>
    <xf numFmtId="0" fontId="16" fillId="11" borderId="8" xfId="6" applyFont="1" applyFill="1" applyBorder="1" applyAlignment="1">
      <alignment vertical="center"/>
    </xf>
    <xf numFmtId="0" fontId="16" fillId="11" borderId="4" xfId="6" applyFont="1" applyFill="1" applyBorder="1" applyAlignment="1">
      <alignment vertical="center"/>
    </xf>
    <xf numFmtId="0" fontId="17" fillId="0" borderId="4" xfId="5" applyFont="1" applyFill="1" applyBorder="1" applyAlignment="1">
      <alignment horizontal="center" vertical="center"/>
    </xf>
    <xf numFmtId="0" fontId="17" fillId="0" borderId="8" xfId="5" applyFont="1" applyFill="1" applyBorder="1" applyAlignment="1">
      <alignment horizontal="left" vertical="center" wrapText="1"/>
    </xf>
    <xf numFmtId="0" fontId="17" fillId="0" borderId="4" xfId="5" applyFont="1" applyFill="1" applyBorder="1" applyAlignment="1">
      <alignment horizontal="left" vertical="center" wrapText="1"/>
    </xf>
    <xf numFmtId="0" fontId="16" fillId="0" borderId="4" xfId="5" applyFont="1" applyFill="1" applyBorder="1" applyAlignment="1">
      <alignment horizontal="left" vertical="center" wrapText="1"/>
    </xf>
    <xf numFmtId="0" fontId="16" fillId="0" borderId="10" xfId="5" applyFont="1" applyFill="1" applyBorder="1" applyAlignment="1">
      <alignment horizontal="left" vertical="center" wrapText="1"/>
    </xf>
    <xf numFmtId="0" fontId="16" fillId="0" borderId="11" xfId="5" applyFont="1" applyFill="1" applyBorder="1" applyAlignment="1">
      <alignment horizontal="left" vertical="center" wrapText="1"/>
    </xf>
    <xf numFmtId="166" fontId="17" fillId="0" borderId="1" xfId="5" applyNumberFormat="1" applyFont="1" applyFill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3" fontId="0" fillId="5" borderId="1" xfId="0" applyNumberFormat="1" applyFill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4" fillId="0" borderId="0" xfId="5" applyFont="1" applyAlignment="1">
      <alignment horizontal="center"/>
    </xf>
    <xf numFmtId="0" fontId="4" fillId="11" borderId="7" xfId="0" applyNumberFormat="1" applyFont="1" applyFill="1" applyBorder="1" applyAlignment="1">
      <alignment horizontal="center"/>
    </xf>
    <xf numFmtId="0" fontId="4" fillId="11" borderId="13" xfId="0" applyNumberFormat="1" applyFont="1" applyFill="1" applyBorder="1" applyAlignment="1">
      <alignment horizontal="center"/>
    </xf>
    <xf numFmtId="0" fontId="4" fillId="11" borderId="14" xfId="0" applyNumberFormat="1" applyFont="1" applyFill="1" applyBorder="1" applyAlignment="1">
      <alignment horizontal="center"/>
    </xf>
    <xf numFmtId="0" fontId="4" fillId="11" borderId="6" xfId="0" applyNumberFormat="1" applyFont="1" applyFill="1" applyBorder="1" applyAlignment="1">
      <alignment horizontal="center"/>
    </xf>
    <xf numFmtId="0" fontId="4" fillId="11" borderId="5" xfId="0" applyNumberFormat="1" applyFont="1" applyFill="1" applyBorder="1" applyAlignment="1">
      <alignment horizontal="center"/>
    </xf>
    <xf numFmtId="0" fontId="4" fillId="0" borderId="26" xfId="0" applyFont="1" applyBorder="1" applyAlignment="1">
      <alignment horizontal="center" wrapText="1"/>
    </xf>
    <xf numFmtId="0" fontId="4" fillId="0" borderId="27" xfId="0" applyFont="1" applyBorder="1" applyAlignment="1">
      <alignment horizontal="center" wrapText="1"/>
    </xf>
    <xf numFmtId="0" fontId="4" fillId="0" borderId="28" xfId="0" applyFont="1" applyBorder="1" applyAlignment="1">
      <alignment horizontal="center" wrapText="1"/>
    </xf>
    <xf numFmtId="0" fontId="4" fillId="11" borderId="15" xfId="0" applyNumberFormat="1" applyFont="1" applyFill="1" applyBorder="1" applyAlignment="1">
      <alignment horizontal="center" wrapText="1"/>
    </xf>
    <xf numFmtId="0" fontId="4" fillId="11" borderId="16" xfId="0" applyNumberFormat="1" applyFont="1" applyFill="1" applyBorder="1" applyAlignment="1">
      <alignment horizontal="center" wrapText="1"/>
    </xf>
    <xf numFmtId="0" fontId="4" fillId="11" borderId="15" xfId="0" applyFont="1" applyFill="1" applyBorder="1" applyAlignment="1">
      <alignment horizontal="center" wrapText="1"/>
    </xf>
    <xf numFmtId="0" fontId="4" fillId="11" borderId="17" xfId="0" applyFont="1" applyFill="1" applyBorder="1" applyAlignment="1">
      <alignment horizontal="center" wrapText="1"/>
    </xf>
    <xf numFmtId="0" fontId="4" fillId="11" borderId="10" xfId="0" applyNumberFormat="1" applyFont="1" applyFill="1" applyBorder="1" applyAlignment="1">
      <alignment horizontal="center"/>
    </xf>
    <xf numFmtId="0" fontId="4" fillId="11" borderId="11" xfId="0" applyNumberFormat="1" applyFont="1" applyFill="1" applyBorder="1" applyAlignment="1">
      <alignment horizontal="center"/>
    </xf>
    <xf numFmtId="0" fontId="4" fillId="11" borderId="12" xfId="0" applyNumberFormat="1" applyFont="1" applyFill="1" applyBorder="1" applyAlignment="1">
      <alignment horizontal="center"/>
    </xf>
  </cellXfs>
  <cellStyles count="15">
    <cellStyle name="Comma" xfId="1" builtinId="3"/>
    <cellStyle name="Comma 2" xfId="8"/>
    <cellStyle name="Comma 3" xfId="9"/>
    <cellStyle name="Comma_CDM monthly amounts" xfId="2"/>
    <cellStyle name="Comma_Horizon 2011 Load Forecast Model  June 25, 2010" xfId="14"/>
    <cellStyle name="Comma0" xfId="10"/>
    <cellStyle name="Currency0" xfId="11"/>
    <cellStyle name="Date" xfId="12"/>
    <cellStyle name="Fixed" xfId="13"/>
    <cellStyle name="Normal" xfId="0" builtinId="0"/>
    <cellStyle name="Normal 2" xfId="5"/>
    <cellStyle name="Normal_OEB Trial Balance - Regulatory-July24-07" xfId="7"/>
    <cellStyle name="Normal_Sheet2" xfId="6"/>
    <cellStyle name="Percent" xfId="3" builtinId="5"/>
    <cellStyle name="Style 23" xfId="4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externalLink" Target="externalLinks/externalLink6.xml"/><Relationship Id="rId26" Type="http://schemas.openxmlformats.org/officeDocument/2006/relationships/externalLink" Target="externalLinks/externalLink14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9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5.xml"/><Relationship Id="rId25" Type="http://schemas.openxmlformats.org/officeDocument/2006/relationships/externalLink" Target="externalLinks/externalLink13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4.xml"/><Relationship Id="rId20" Type="http://schemas.openxmlformats.org/officeDocument/2006/relationships/externalLink" Target="externalLinks/externalLink8.xml"/><Relationship Id="rId29" Type="http://schemas.openxmlformats.org/officeDocument/2006/relationships/externalLink" Target="externalLinks/externalLink17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2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23" Type="http://schemas.openxmlformats.org/officeDocument/2006/relationships/externalLink" Target="externalLinks/externalLink11.xml"/><Relationship Id="rId28" Type="http://schemas.openxmlformats.org/officeDocument/2006/relationships/externalLink" Target="externalLinks/externalLink16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7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Relationship Id="rId22" Type="http://schemas.openxmlformats.org/officeDocument/2006/relationships/externalLink" Target="externalLinks/externalLink10.xml"/><Relationship Id="rId27" Type="http://schemas.openxmlformats.org/officeDocument/2006/relationships/externalLink" Target="externalLinks/externalLink15.xml"/><Relationship Id="rId30" Type="http://schemas.openxmlformats.org/officeDocument/2006/relationships/externalLink" Target="externalLinks/externalLink1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CA"/>
              <a:t>Actual vs. Predicted Purchases</a:t>
            </a:r>
          </a:p>
        </c:rich>
      </c:tx>
      <c:layout>
        <c:manualLayout>
          <c:xMode val="edge"/>
          <c:yMode val="edge"/>
          <c:x val="0.37686619396456039"/>
          <c:y val="3.384615384615384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427878221050777"/>
          <c:y val="0.19076951738208742"/>
          <c:w val="0.83830947594726068"/>
          <c:h val="0.584616262945106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Graph!$B$4:$B$5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chemeClr val="bg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Graph!$A$6:$A$22</c:f>
              <c:numCache>
                <c:formatCode>General</c:formatCode>
                <c:ptCount val="17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</c:numCache>
            </c:numRef>
          </c:cat>
          <c:val>
            <c:numRef>
              <c:f>Graph!$B$6:$B$22</c:f>
              <c:numCache>
                <c:formatCode>_(* #,##0_);_(* \(#,##0\);_(* "-"??_);_(@_)</c:formatCode>
                <c:ptCount val="17"/>
                <c:pt idx="0">
                  <c:v>1126.778593</c:v>
                </c:pt>
                <c:pt idx="1">
                  <c:v>1202.822244</c:v>
                </c:pt>
                <c:pt idx="2">
                  <c:v>1272.5511570000001</c:v>
                </c:pt>
                <c:pt idx="3">
                  <c:v>1350.8153901000001</c:v>
                </c:pt>
                <c:pt idx="4">
                  <c:v>1392.1735917999999</c:v>
                </c:pt>
                <c:pt idx="5">
                  <c:v>1420.9777300000001</c:v>
                </c:pt>
                <c:pt idx="6">
                  <c:v>1519.1447559999999</c:v>
                </c:pt>
                <c:pt idx="7">
                  <c:v>1523.7175299999999</c:v>
                </c:pt>
                <c:pt idx="8">
                  <c:v>1570.4059299999999</c:v>
                </c:pt>
                <c:pt idx="9">
                  <c:v>1640.988662</c:v>
                </c:pt>
                <c:pt idx="10">
                  <c:v>1599.360044</c:v>
                </c:pt>
                <c:pt idx="11">
                  <c:v>1609.193923</c:v>
                </c:pt>
                <c:pt idx="12">
                  <c:v>1557.5232289999999</c:v>
                </c:pt>
                <c:pt idx="13">
                  <c:v>1450.354846</c:v>
                </c:pt>
                <c:pt idx="14">
                  <c:v>1513.16563</c:v>
                </c:pt>
                <c:pt idx="15">
                  <c:v>1519.43926771</c:v>
                </c:pt>
                <c:pt idx="16">
                  <c:v>1526.5913362900003</c:v>
                </c:pt>
              </c:numCache>
            </c:numRef>
          </c:val>
        </c:ser>
        <c:ser>
          <c:idx val="1"/>
          <c:order val="1"/>
          <c:tx>
            <c:strRef>
              <c:f>Graph!$C$4:$C$5</c:f>
              <c:strCache>
                <c:ptCount val="1"/>
                <c:pt idx="0">
                  <c:v>Predicted</c:v>
                </c:pt>
              </c:strCache>
            </c:strRef>
          </c:tx>
          <c:spPr>
            <a:solidFill>
              <a:schemeClr val="tx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Graph!$A$6:$A$22</c:f>
              <c:numCache>
                <c:formatCode>General</c:formatCode>
                <c:ptCount val="17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</c:numCache>
            </c:numRef>
          </c:cat>
          <c:val>
            <c:numRef>
              <c:f>Graph!$C$6:$C$22</c:f>
              <c:numCache>
                <c:formatCode>_(* #,##0_);_(* \(#,##0\);_(* "-"??_);_(@_)</c:formatCode>
                <c:ptCount val="17"/>
                <c:pt idx="0">
                  <c:v>1160.636229055681</c:v>
                </c:pt>
                <c:pt idx="1">
                  <c:v>1199.6381919534881</c:v>
                </c:pt>
                <c:pt idx="2">
                  <c:v>1275.6438952985011</c:v>
                </c:pt>
                <c:pt idx="3">
                  <c:v>1379.2139670884619</c:v>
                </c:pt>
                <c:pt idx="4">
                  <c:v>1382.0395336418392</c:v>
                </c:pt>
                <c:pt idx="5">
                  <c:v>1416.5904032563885</c:v>
                </c:pt>
                <c:pt idx="6">
                  <c:v>1470.5755136215623</c:v>
                </c:pt>
                <c:pt idx="7">
                  <c:v>1500.8532652510455</c:v>
                </c:pt>
                <c:pt idx="8">
                  <c:v>1539.3780982646749</c:v>
                </c:pt>
                <c:pt idx="9">
                  <c:v>1627.2379810482955</c:v>
                </c:pt>
                <c:pt idx="10">
                  <c:v>1634.0262223421594</c:v>
                </c:pt>
                <c:pt idx="11">
                  <c:v>1622.7973186380689</c:v>
                </c:pt>
                <c:pt idx="12">
                  <c:v>1601.223664943572</c:v>
                </c:pt>
                <c:pt idx="13">
                  <c:v>1444.4593689156191</c:v>
                </c:pt>
                <c:pt idx="14">
                  <c:v>1492.4113399877301</c:v>
                </c:pt>
                <c:pt idx="15">
                  <c:v>1537.7577518746832</c:v>
                </c:pt>
                <c:pt idx="16">
                  <c:v>1511.5211147182199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4358016"/>
        <c:axId val="204359552"/>
      </c:barChart>
      <c:catAx>
        <c:axId val="204358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43595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04359552"/>
        <c:scaling>
          <c:orientation val="minMax"/>
          <c:min val="6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CA"/>
                  <a:t>GWh's</a:t>
                </a:r>
              </a:p>
            </c:rich>
          </c:tx>
          <c:layout>
            <c:manualLayout>
              <c:xMode val="edge"/>
              <c:yMode val="edge"/>
              <c:x val="1.9900497512437811E-2"/>
              <c:y val="0.29538493842115887"/>
            </c:manualLayout>
          </c:layout>
          <c:overlay val="0"/>
          <c:spPr>
            <a:noFill/>
            <a:ln w="25400">
              <a:noFill/>
            </a:ln>
          </c:spPr>
        </c:title>
        <c:numFmt formatCode="_(* #,##0_);_(* \(#,##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4358016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6351640746399236"/>
          <c:y val="0.90461667676155866"/>
          <c:w val="0.16339901542157972"/>
          <c:h val="9.538332323844134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Actual</a:t>
            </a:r>
            <a:r>
              <a:rPr lang="en-US" baseline="0"/>
              <a:t> vs. Predicted kWh Purchases</a:t>
            </a:r>
            <a:endParaRPr lang="en-US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3075345892026288"/>
          <c:y val="0.14600956353139943"/>
          <c:w val="0.83507590164486223"/>
          <c:h val="0.7149194830456169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'Purchased Power Model'!$B$2</c:f>
              <c:strCache>
                <c:ptCount val="1"/>
                <c:pt idx="0">
                  <c:v>Purchased kWh</c:v>
                </c:pt>
              </c:strCache>
            </c:strRef>
          </c:tx>
          <c:invertIfNegative val="0"/>
          <c:cat>
            <c:numRef>
              <c:f>'Purchased Power Model'!$A$3:$A$230</c:f>
              <c:numCache>
                <c:formatCode>mmm\-yy</c:formatCode>
                <c:ptCount val="228"/>
                <c:pt idx="0">
                  <c:v>35095</c:v>
                </c:pt>
                <c:pt idx="1">
                  <c:v>35124</c:v>
                </c:pt>
                <c:pt idx="2">
                  <c:v>35155</c:v>
                </c:pt>
                <c:pt idx="3">
                  <c:v>35185</c:v>
                </c:pt>
                <c:pt idx="4">
                  <c:v>35216</c:v>
                </c:pt>
                <c:pt idx="5">
                  <c:v>35246</c:v>
                </c:pt>
                <c:pt idx="6">
                  <c:v>35277</c:v>
                </c:pt>
                <c:pt idx="7">
                  <c:v>35308</c:v>
                </c:pt>
                <c:pt idx="8">
                  <c:v>35338</c:v>
                </c:pt>
                <c:pt idx="9">
                  <c:v>35369</c:v>
                </c:pt>
                <c:pt idx="10">
                  <c:v>35399</c:v>
                </c:pt>
                <c:pt idx="11">
                  <c:v>35430</c:v>
                </c:pt>
                <c:pt idx="12">
                  <c:v>35461</c:v>
                </c:pt>
                <c:pt idx="13">
                  <c:v>35489</c:v>
                </c:pt>
                <c:pt idx="14">
                  <c:v>35520</c:v>
                </c:pt>
                <c:pt idx="15">
                  <c:v>35550</c:v>
                </c:pt>
                <c:pt idx="16">
                  <c:v>35581</c:v>
                </c:pt>
                <c:pt idx="17">
                  <c:v>35611</c:v>
                </c:pt>
                <c:pt idx="18">
                  <c:v>35642</c:v>
                </c:pt>
                <c:pt idx="19">
                  <c:v>35673</c:v>
                </c:pt>
                <c:pt idx="20">
                  <c:v>35703</c:v>
                </c:pt>
                <c:pt idx="21">
                  <c:v>35734</c:v>
                </c:pt>
                <c:pt idx="22">
                  <c:v>35764</c:v>
                </c:pt>
                <c:pt idx="23">
                  <c:v>35795</c:v>
                </c:pt>
                <c:pt idx="24">
                  <c:v>35826</c:v>
                </c:pt>
                <c:pt idx="25">
                  <c:v>35854</c:v>
                </c:pt>
                <c:pt idx="26">
                  <c:v>35885</c:v>
                </c:pt>
                <c:pt idx="27">
                  <c:v>35915</c:v>
                </c:pt>
                <c:pt idx="28">
                  <c:v>35946</c:v>
                </c:pt>
                <c:pt idx="29">
                  <c:v>35976</c:v>
                </c:pt>
                <c:pt idx="30">
                  <c:v>36007</c:v>
                </c:pt>
                <c:pt idx="31">
                  <c:v>36038</c:v>
                </c:pt>
                <c:pt idx="32">
                  <c:v>36068</c:v>
                </c:pt>
                <c:pt idx="33">
                  <c:v>36099</c:v>
                </c:pt>
                <c:pt idx="34">
                  <c:v>36129</c:v>
                </c:pt>
                <c:pt idx="35">
                  <c:v>36160</c:v>
                </c:pt>
                <c:pt idx="36">
                  <c:v>36191</c:v>
                </c:pt>
                <c:pt idx="37">
                  <c:v>36219</c:v>
                </c:pt>
                <c:pt idx="38">
                  <c:v>36250</c:v>
                </c:pt>
                <c:pt idx="39">
                  <c:v>36280</c:v>
                </c:pt>
                <c:pt idx="40">
                  <c:v>36311</c:v>
                </c:pt>
                <c:pt idx="41">
                  <c:v>36341</c:v>
                </c:pt>
                <c:pt idx="42">
                  <c:v>36372</c:v>
                </c:pt>
                <c:pt idx="43">
                  <c:v>36403</c:v>
                </c:pt>
                <c:pt idx="44">
                  <c:v>36433</c:v>
                </c:pt>
                <c:pt idx="45">
                  <c:v>36464</c:v>
                </c:pt>
                <c:pt idx="46">
                  <c:v>36494</c:v>
                </c:pt>
                <c:pt idx="47">
                  <c:v>36525</c:v>
                </c:pt>
                <c:pt idx="48">
                  <c:v>36556</c:v>
                </c:pt>
                <c:pt idx="49">
                  <c:v>36585</c:v>
                </c:pt>
                <c:pt idx="50">
                  <c:v>36616</c:v>
                </c:pt>
                <c:pt idx="51">
                  <c:v>36646</c:v>
                </c:pt>
                <c:pt idx="52">
                  <c:v>36677</c:v>
                </c:pt>
                <c:pt idx="53">
                  <c:v>36707</c:v>
                </c:pt>
                <c:pt idx="54">
                  <c:v>36738</c:v>
                </c:pt>
                <c:pt idx="55">
                  <c:v>36769</c:v>
                </c:pt>
                <c:pt idx="56">
                  <c:v>36799</c:v>
                </c:pt>
                <c:pt idx="57">
                  <c:v>36830</c:v>
                </c:pt>
                <c:pt idx="58">
                  <c:v>36860</c:v>
                </c:pt>
                <c:pt idx="59">
                  <c:v>36891</c:v>
                </c:pt>
                <c:pt idx="60">
                  <c:v>36922</c:v>
                </c:pt>
                <c:pt idx="61">
                  <c:v>36950</c:v>
                </c:pt>
                <c:pt idx="62">
                  <c:v>36981</c:v>
                </c:pt>
                <c:pt idx="63">
                  <c:v>37011</c:v>
                </c:pt>
                <c:pt idx="64">
                  <c:v>37042</c:v>
                </c:pt>
                <c:pt idx="65">
                  <c:v>37072</c:v>
                </c:pt>
                <c:pt idx="66">
                  <c:v>37103</c:v>
                </c:pt>
                <c:pt idx="67">
                  <c:v>37134</c:v>
                </c:pt>
                <c:pt idx="68">
                  <c:v>37164</c:v>
                </c:pt>
                <c:pt idx="69">
                  <c:v>37195</c:v>
                </c:pt>
                <c:pt idx="70">
                  <c:v>37225</c:v>
                </c:pt>
                <c:pt idx="71">
                  <c:v>37256</c:v>
                </c:pt>
                <c:pt idx="72">
                  <c:v>37287</c:v>
                </c:pt>
                <c:pt idx="73">
                  <c:v>37315</c:v>
                </c:pt>
                <c:pt idx="74">
                  <c:v>37346</c:v>
                </c:pt>
                <c:pt idx="75">
                  <c:v>37376</c:v>
                </c:pt>
                <c:pt idx="76">
                  <c:v>37407</c:v>
                </c:pt>
                <c:pt idx="77">
                  <c:v>37437</c:v>
                </c:pt>
                <c:pt idx="78">
                  <c:v>37468</c:v>
                </c:pt>
                <c:pt idx="79">
                  <c:v>37499</c:v>
                </c:pt>
                <c:pt idx="80">
                  <c:v>37529</c:v>
                </c:pt>
                <c:pt idx="81">
                  <c:v>37560</c:v>
                </c:pt>
                <c:pt idx="82">
                  <c:v>37590</c:v>
                </c:pt>
                <c:pt idx="83">
                  <c:v>37621</c:v>
                </c:pt>
                <c:pt idx="84">
                  <c:v>37652</c:v>
                </c:pt>
                <c:pt idx="85">
                  <c:v>37680</c:v>
                </c:pt>
                <c:pt idx="86">
                  <c:v>37711</c:v>
                </c:pt>
                <c:pt idx="87">
                  <c:v>37741</c:v>
                </c:pt>
                <c:pt idx="88">
                  <c:v>37772</c:v>
                </c:pt>
                <c:pt idx="89">
                  <c:v>37802</c:v>
                </c:pt>
                <c:pt idx="90">
                  <c:v>37833</c:v>
                </c:pt>
                <c:pt idx="91">
                  <c:v>37864</c:v>
                </c:pt>
                <c:pt idx="92">
                  <c:v>37894</c:v>
                </c:pt>
                <c:pt idx="93">
                  <c:v>37925</c:v>
                </c:pt>
                <c:pt idx="94">
                  <c:v>37955</c:v>
                </c:pt>
                <c:pt idx="95">
                  <c:v>37986</c:v>
                </c:pt>
                <c:pt idx="96">
                  <c:v>38017</c:v>
                </c:pt>
                <c:pt idx="97">
                  <c:v>38046</c:v>
                </c:pt>
                <c:pt idx="98">
                  <c:v>38077</c:v>
                </c:pt>
                <c:pt idx="99">
                  <c:v>38107</c:v>
                </c:pt>
                <c:pt idx="100">
                  <c:v>38138</c:v>
                </c:pt>
                <c:pt idx="101">
                  <c:v>38168</c:v>
                </c:pt>
                <c:pt idx="102">
                  <c:v>38199</c:v>
                </c:pt>
                <c:pt idx="103">
                  <c:v>38230</c:v>
                </c:pt>
                <c:pt idx="104">
                  <c:v>38260</c:v>
                </c:pt>
                <c:pt idx="105">
                  <c:v>38291</c:v>
                </c:pt>
                <c:pt idx="106">
                  <c:v>38321</c:v>
                </c:pt>
                <c:pt idx="107">
                  <c:v>38352</c:v>
                </c:pt>
                <c:pt idx="108">
                  <c:v>38383</c:v>
                </c:pt>
                <c:pt idx="109">
                  <c:v>38411</c:v>
                </c:pt>
                <c:pt idx="110">
                  <c:v>38442</c:v>
                </c:pt>
                <c:pt idx="111">
                  <c:v>38472</c:v>
                </c:pt>
                <c:pt idx="112">
                  <c:v>38503</c:v>
                </c:pt>
                <c:pt idx="113">
                  <c:v>38533</c:v>
                </c:pt>
                <c:pt idx="114">
                  <c:v>38564</c:v>
                </c:pt>
                <c:pt idx="115">
                  <c:v>38595</c:v>
                </c:pt>
                <c:pt idx="116">
                  <c:v>38625</c:v>
                </c:pt>
                <c:pt idx="117">
                  <c:v>38656</c:v>
                </c:pt>
                <c:pt idx="118">
                  <c:v>38686</c:v>
                </c:pt>
                <c:pt idx="119">
                  <c:v>38717</c:v>
                </c:pt>
                <c:pt idx="120">
                  <c:v>38748</c:v>
                </c:pt>
                <c:pt idx="121">
                  <c:v>38776</c:v>
                </c:pt>
                <c:pt idx="122">
                  <c:v>38807</c:v>
                </c:pt>
                <c:pt idx="123">
                  <c:v>38837</c:v>
                </c:pt>
                <c:pt idx="124">
                  <c:v>38868</c:v>
                </c:pt>
                <c:pt idx="125">
                  <c:v>38898</c:v>
                </c:pt>
                <c:pt idx="126">
                  <c:v>38929</c:v>
                </c:pt>
                <c:pt idx="127">
                  <c:v>38960</c:v>
                </c:pt>
                <c:pt idx="128">
                  <c:v>38990</c:v>
                </c:pt>
                <c:pt idx="129">
                  <c:v>39021</c:v>
                </c:pt>
                <c:pt idx="130">
                  <c:v>39051</c:v>
                </c:pt>
                <c:pt idx="131">
                  <c:v>39082</c:v>
                </c:pt>
                <c:pt idx="132">
                  <c:v>39113</c:v>
                </c:pt>
                <c:pt idx="133">
                  <c:v>39141</c:v>
                </c:pt>
                <c:pt idx="134">
                  <c:v>39172</c:v>
                </c:pt>
                <c:pt idx="135">
                  <c:v>39202</c:v>
                </c:pt>
                <c:pt idx="136">
                  <c:v>39233</c:v>
                </c:pt>
                <c:pt idx="137">
                  <c:v>39263</c:v>
                </c:pt>
                <c:pt idx="138">
                  <c:v>39294</c:v>
                </c:pt>
                <c:pt idx="139">
                  <c:v>39325</c:v>
                </c:pt>
                <c:pt idx="140">
                  <c:v>39355</c:v>
                </c:pt>
                <c:pt idx="141">
                  <c:v>39386</c:v>
                </c:pt>
                <c:pt idx="142">
                  <c:v>39416</c:v>
                </c:pt>
                <c:pt idx="143">
                  <c:v>39447</c:v>
                </c:pt>
                <c:pt idx="144">
                  <c:v>39478</c:v>
                </c:pt>
                <c:pt idx="145">
                  <c:v>39507</c:v>
                </c:pt>
                <c:pt idx="146">
                  <c:v>39538</c:v>
                </c:pt>
                <c:pt idx="147">
                  <c:v>39568</c:v>
                </c:pt>
                <c:pt idx="148">
                  <c:v>39599</c:v>
                </c:pt>
                <c:pt idx="149">
                  <c:v>39629</c:v>
                </c:pt>
                <c:pt idx="150">
                  <c:v>39660</c:v>
                </c:pt>
                <c:pt idx="151">
                  <c:v>39691</c:v>
                </c:pt>
                <c:pt idx="152">
                  <c:v>39721</c:v>
                </c:pt>
                <c:pt idx="153">
                  <c:v>39752</c:v>
                </c:pt>
                <c:pt idx="154">
                  <c:v>39782</c:v>
                </c:pt>
                <c:pt idx="155">
                  <c:v>39813</c:v>
                </c:pt>
                <c:pt idx="156">
                  <c:v>39844</c:v>
                </c:pt>
                <c:pt idx="157">
                  <c:v>39872</c:v>
                </c:pt>
                <c:pt idx="158">
                  <c:v>39903</c:v>
                </c:pt>
                <c:pt idx="159">
                  <c:v>39933</c:v>
                </c:pt>
                <c:pt idx="160">
                  <c:v>39964</c:v>
                </c:pt>
                <c:pt idx="161">
                  <c:v>39994</c:v>
                </c:pt>
                <c:pt idx="162">
                  <c:v>40025</c:v>
                </c:pt>
                <c:pt idx="163">
                  <c:v>40056</c:v>
                </c:pt>
                <c:pt idx="164">
                  <c:v>40086</c:v>
                </c:pt>
                <c:pt idx="165">
                  <c:v>40117</c:v>
                </c:pt>
                <c:pt idx="166">
                  <c:v>40147</c:v>
                </c:pt>
                <c:pt idx="167">
                  <c:v>40178</c:v>
                </c:pt>
                <c:pt idx="168">
                  <c:v>40209</c:v>
                </c:pt>
                <c:pt idx="169">
                  <c:v>40237</c:v>
                </c:pt>
                <c:pt idx="170">
                  <c:v>40268</c:v>
                </c:pt>
                <c:pt idx="171">
                  <c:v>40298</c:v>
                </c:pt>
                <c:pt idx="172">
                  <c:v>40329</c:v>
                </c:pt>
                <c:pt idx="173">
                  <c:v>40359</c:v>
                </c:pt>
                <c:pt idx="174">
                  <c:v>40390</c:v>
                </c:pt>
                <c:pt idx="175">
                  <c:v>40421</c:v>
                </c:pt>
                <c:pt idx="176">
                  <c:v>40451</c:v>
                </c:pt>
                <c:pt idx="177">
                  <c:v>40482</c:v>
                </c:pt>
                <c:pt idx="178">
                  <c:v>40512</c:v>
                </c:pt>
                <c:pt idx="179">
                  <c:v>40543</c:v>
                </c:pt>
                <c:pt idx="180">
                  <c:v>40574</c:v>
                </c:pt>
                <c:pt idx="181">
                  <c:v>40602</c:v>
                </c:pt>
                <c:pt idx="182">
                  <c:v>40633</c:v>
                </c:pt>
                <c:pt idx="183">
                  <c:v>40663</c:v>
                </c:pt>
                <c:pt idx="184">
                  <c:v>40694</c:v>
                </c:pt>
                <c:pt idx="185">
                  <c:v>40724</c:v>
                </c:pt>
                <c:pt idx="186">
                  <c:v>40755</c:v>
                </c:pt>
                <c:pt idx="187">
                  <c:v>40786</c:v>
                </c:pt>
                <c:pt idx="188">
                  <c:v>40816</c:v>
                </c:pt>
                <c:pt idx="189">
                  <c:v>40847</c:v>
                </c:pt>
                <c:pt idx="190">
                  <c:v>40877</c:v>
                </c:pt>
                <c:pt idx="191">
                  <c:v>40908</c:v>
                </c:pt>
                <c:pt idx="192">
                  <c:v>40939</c:v>
                </c:pt>
                <c:pt idx="193">
                  <c:v>40968</c:v>
                </c:pt>
                <c:pt idx="194">
                  <c:v>40999</c:v>
                </c:pt>
                <c:pt idx="195">
                  <c:v>41029</c:v>
                </c:pt>
                <c:pt idx="196">
                  <c:v>41060</c:v>
                </c:pt>
                <c:pt idx="197">
                  <c:v>41090</c:v>
                </c:pt>
                <c:pt idx="198">
                  <c:v>41121</c:v>
                </c:pt>
                <c:pt idx="199">
                  <c:v>41152</c:v>
                </c:pt>
                <c:pt idx="200">
                  <c:v>41182</c:v>
                </c:pt>
                <c:pt idx="201">
                  <c:v>41213</c:v>
                </c:pt>
                <c:pt idx="202">
                  <c:v>41243</c:v>
                </c:pt>
                <c:pt idx="203">
                  <c:v>41274</c:v>
                </c:pt>
                <c:pt idx="204">
                  <c:v>41305</c:v>
                </c:pt>
                <c:pt idx="205">
                  <c:v>41333</c:v>
                </c:pt>
                <c:pt idx="206">
                  <c:v>41364</c:v>
                </c:pt>
                <c:pt idx="207">
                  <c:v>41394</c:v>
                </c:pt>
                <c:pt idx="208">
                  <c:v>41425</c:v>
                </c:pt>
                <c:pt idx="209">
                  <c:v>41455</c:v>
                </c:pt>
                <c:pt idx="210">
                  <c:v>41486</c:v>
                </c:pt>
                <c:pt idx="211">
                  <c:v>41517</c:v>
                </c:pt>
                <c:pt idx="212">
                  <c:v>41547</c:v>
                </c:pt>
                <c:pt idx="213">
                  <c:v>41578</c:v>
                </c:pt>
                <c:pt idx="214">
                  <c:v>41608</c:v>
                </c:pt>
                <c:pt idx="215">
                  <c:v>41639</c:v>
                </c:pt>
                <c:pt idx="216">
                  <c:v>41670</c:v>
                </c:pt>
                <c:pt idx="217">
                  <c:v>41698</c:v>
                </c:pt>
                <c:pt idx="218">
                  <c:v>41729</c:v>
                </c:pt>
                <c:pt idx="219">
                  <c:v>41759</c:v>
                </c:pt>
                <c:pt idx="220">
                  <c:v>41790</c:v>
                </c:pt>
                <c:pt idx="221">
                  <c:v>41820</c:v>
                </c:pt>
                <c:pt idx="222">
                  <c:v>41851</c:v>
                </c:pt>
                <c:pt idx="223">
                  <c:v>41882</c:v>
                </c:pt>
                <c:pt idx="224">
                  <c:v>41912</c:v>
                </c:pt>
                <c:pt idx="225">
                  <c:v>41943</c:v>
                </c:pt>
                <c:pt idx="226">
                  <c:v>41973</c:v>
                </c:pt>
                <c:pt idx="227">
                  <c:v>42004</c:v>
                </c:pt>
              </c:numCache>
            </c:numRef>
          </c:cat>
          <c:val>
            <c:numRef>
              <c:f>'Purchased Power Model'!$B$3:$B$206</c:f>
              <c:numCache>
                <c:formatCode>#,##0_);\(#,##0\)</c:formatCode>
                <c:ptCount val="204"/>
                <c:pt idx="0">
                  <c:v>105408735</c:v>
                </c:pt>
                <c:pt idx="1">
                  <c:v>97941163</c:v>
                </c:pt>
                <c:pt idx="2">
                  <c:v>98345544</c:v>
                </c:pt>
                <c:pt idx="3">
                  <c:v>88677350</c:v>
                </c:pt>
                <c:pt idx="4">
                  <c:v>86110774</c:v>
                </c:pt>
                <c:pt idx="5">
                  <c:v>87353968</c:v>
                </c:pt>
                <c:pt idx="6">
                  <c:v>89453162</c:v>
                </c:pt>
                <c:pt idx="7">
                  <c:v>95522933</c:v>
                </c:pt>
                <c:pt idx="8">
                  <c:v>88605608</c:v>
                </c:pt>
                <c:pt idx="9">
                  <c:v>91849048</c:v>
                </c:pt>
                <c:pt idx="10">
                  <c:v>97824062</c:v>
                </c:pt>
                <c:pt idx="11">
                  <c:v>99686246</c:v>
                </c:pt>
                <c:pt idx="12">
                  <c:v>108687484</c:v>
                </c:pt>
                <c:pt idx="13">
                  <c:v>96889088</c:v>
                </c:pt>
                <c:pt idx="14">
                  <c:v>101948722</c:v>
                </c:pt>
                <c:pt idx="15">
                  <c:v>95686072</c:v>
                </c:pt>
                <c:pt idx="16">
                  <c:v>93811439</c:v>
                </c:pt>
                <c:pt idx="17">
                  <c:v>99097140</c:v>
                </c:pt>
                <c:pt idx="18">
                  <c:v>102898353</c:v>
                </c:pt>
                <c:pt idx="19">
                  <c:v>97826498</c:v>
                </c:pt>
                <c:pt idx="20">
                  <c:v>95349179</c:v>
                </c:pt>
                <c:pt idx="21">
                  <c:v>100614082</c:v>
                </c:pt>
                <c:pt idx="22">
                  <c:v>103052415</c:v>
                </c:pt>
                <c:pt idx="23">
                  <c:v>106961772</c:v>
                </c:pt>
                <c:pt idx="24">
                  <c:v>110966443</c:v>
                </c:pt>
                <c:pt idx="25">
                  <c:v>100001015</c:v>
                </c:pt>
                <c:pt idx="26">
                  <c:v>109738133</c:v>
                </c:pt>
                <c:pt idx="27">
                  <c:v>96753486</c:v>
                </c:pt>
                <c:pt idx="28">
                  <c:v>101025669</c:v>
                </c:pt>
                <c:pt idx="29">
                  <c:v>107622236</c:v>
                </c:pt>
                <c:pt idx="30">
                  <c:v>111259024</c:v>
                </c:pt>
                <c:pt idx="31">
                  <c:v>110638583</c:v>
                </c:pt>
                <c:pt idx="32">
                  <c:v>103118005</c:v>
                </c:pt>
                <c:pt idx="33">
                  <c:v>102878594</c:v>
                </c:pt>
                <c:pt idx="34">
                  <c:v>107345949</c:v>
                </c:pt>
                <c:pt idx="35">
                  <c:v>111204020</c:v>
                </c:pt>
                <c:pt idx="36">
                  <c:v>120632212.69999999</c:v>
                </c:pt>
                <c:pt idx="37">
                  <c:v>107060675.09999999</c:v>
                </c:pt>
                <c:pt idx="38">
                  <c:v>116079398.90000001</c:v>
                </c:pt>
                <c:pt idx="39">
                  <c:v>102563424.80000001</c:v>
                </c:pt>
                <c:pt idx="40">
                  <c:v>104198219</c:v>
                </c:pt>
                <c:pt idx="41">
                  <c:v>116697000.7</c:v>
                </c:pt>
                <c:pt idx="42">
                  <c:v>119845846.3</c:v>
                </c:pt>
                <c:pt idx="43">
                  <c:v>114278129.30000001</c:v>
                </c:pt>
                <c:pt idx="44">
                  <c:v>109787767.09999999</c:v>
                </c:pt>
                <c:pt idx="45">
                  <c:v>108457636.09999999</c:v>
                </c:pt>
                <c:pt idx="46">
                  <c:v>113412855.90000001</c:v>
                </c:pt>
                <c:pt idx="47">
                  <c:v>117802224.19999999</c:v>
                </c:pt>
                <c:pt idx="48">
                  <c:v>124909563.80000001</c:v>
                </c:pt>
                <c:pt idx="49">
                  <c:v>116693943</c:v>
                </c:pt>
                <c:pt idx="50">
                  <c:v>116756801</c:v>
                </c:pt>
                <c:pt idx="51">
                  <c:v>106597677</c:v>
                </c:pt>
                <c:pt idx="52">
                  <c:v>111500528</c:v>
                </c:pt>
                <c:pt idx="53">
                  <c:v>115580544</c:v>
                </c:pt>
                <c:pt idx="54">
                  <c:v>113052205</c:v>
                </c:pt>
                <c:pt idx="55">
                  <c:v>120498144</c:v>
                </c:pt>
                <c:pt idx="56">
                  <c:v>111937721</c:v>
                </c:pt>
                <c:pt idx="57">
                  <c:v>112766680</c:v>
                </c:pt>
                <c:pt idx="58">
                  <c:v>117889023</c:v>
                </c:pt>
                <c:pt idx="59">
                  <c:v>123990762</c:v>
                </c:pt>
                <c:pt idx="60">
                  <c:v>127737949</c:v>
                </c:pt>
                <c:pt idx="61">
                  <c:v>114030713</c:v>
                </c:pt>
                <c:pt idx="62">
                  <c:v>122670396</c:v>
                </c:pt>
                <c:pt idx="63">
                  <c:v>108161574</c:v>
                </c:pt>
                <c:pt idx="64">
                  <c:v>110929304</c:v>
                </c:pt>
                <c:pt idx="65">
                  <c:v>120266540</c:v>
                </c:pt>
                <c:pt idx="66">
                  <c:v>119101349</c:v>
                </c:pt>
                <c:pt idx="67">
                  <c:v>132583402</c:v>
                </c:pt>
                <c:pt idx="68">
                  <c:v>113406955</c:v>
                </c:pt>
                <c:pt idx="69">
                  <c:v>118039640</c:v>
                </c:pt>
                <c:pt idx="70">
                  <c:v>117162207</c:v>
                </c:pt>
                <c:pt idx="71">
                  <c:v>116887701</c:v>
                </c:pt>
                <c:pt idx="72">
                  <c:v>128380096</c:v>
                </c:pt>
                <c:pt idx="73">
                  <c:v>117791339</c:v>
                </c:pt>
                <c:pt idx="74">
                  <c:v>125657099</c:v>
                </c:pt>
                <c:pt idx="75">
                  <c:v>119793772</c:v>
                </c:pt>
                <c:pt idx="76">
                  <c:v>120443399.99999999</c:v>
                </c:pt>
                <c:pt idx="77">
                  <c:v>125484770</c:v>
                </c:pt>
                <c:pt idx="78">
                  <c:v>140900710</c:v>
                </c:pt>
                <c:pt idx="79">
                  <c:v>136973540</c:v>
                </c:pt>
                <c:pt idx="80">
                  <c:v>126481700</c:v>
                </c:pt>
                <c:pt idx="81">
                  <c:v>124987330</c:v>
                </c:pt>
                <c:pt idx="82">
                  <c:v>124898770</c:v>
                </c:pt>
                <c:pt idx="83">
                  <c:v>127352230</c:v>
                </c:pt>
                <c:pt idx="84">
                  <c:v>136012740</c:v>
                </c:pt>
                <c:pt idx="85">
                  <c:v>124189300</c:v>
                </c:pt>
                <c:pt idx="86">
                  <c:v>130304230</c:v>
                </c:pt>
                <c:pt idx="87">
                  <c:v>119866539.99999999</c:v>
                </c:pt>
                <c:pt idx="88">
                  <c:v>118911520</c:v>
                </c:pt>
                <c:pt idx="89">
                  <c:v>123452030</c:v>
                </c:pt>
                <c:pt idx="90">
                  <c:v>133250359.99999999</c:v>
                </c:pt>
                <c:pt idx="91">
                  <c:v>130044509.99999999</c:v>
                </c:pt>
                <c:pt idx="92">
                  <c:v>123893240</c:v>
                </c:pt>
                <c:pt idx="93">
                  <c:v>127104740</c:v>
                </c:pt>
                <c:pt idx="94">
                  <c:v>126597630</c:v>
                </c:pt>
                <c:pt idx="95">
                  <c:v>130090690</c:v>
                </c:pt>
                <c:pt idx="96">
                  <c:v>140542520</c:v>
                </c:pt>
                <c:pt idx="97">
                  <c:v>129380670</c:v>
                </c:pt>
                <c:pt idx="98">
                  <c:v>134629040</c:v>
                </c:pt>
                <c:pt idx="99">
                  <c:v>121654149.99999999</c:v>
                </c:pt>
                <c:pt idx="100">
                  <c:v>123911560</c:v>
                </c:pt>
                <c:pt idx="101">
                  <c:v>128521509.99999999</c:v>
                </c:pt>
                <c:pt idx="102">
                  <c:v>130502320</c:v>
                </c:pt>
                <c:pt idx="103">
                  <c:v>134736160</c:v>
                </c:pt>
                <c:pt idx="104">
                  <c:v>131178500</c:v>
                </c:pt>
                <c:pt idx="105">
                  <c:v>127280000</c:v>
                </c:pt>
                <c:pt idx="106">
                  <c:v>131398790</c:v>
                </c:pt>
                <c:pt idx="107">
                  <c:v>136670710</c:v>
                </c:pt>
                <c:pt idx="108">
                  <c:v>145626785</c:v>
                </c:pt>
                <c:pt idx="109">
                  <c:v>130295706</c:v>
                </c:pt>
                <c:pt idx="110">
                  <c:v>139429744</c:v>
                </c:pt>
                <c:pt idx="111">
                  <c:v>125505720</c:v>
                </c:pt>
                <c:pt idx="112">
                  <c:v>126060714</c:v>
                </c:pt>
                <c:pt idx="113">
                  <c:v>148205860</c:v>
                </c:pt>
                <c:pt idx="114">
                  <c:v>144470140</c:v>
                </c:pt>
                <c:pt idx="115">
                  <c:v>149364543</c:v>
                </c:pt>
                <c:pt idx="116">
                  <c:v>131923136</c:v>
                </c:pt>
                <c:pt idx="117">
                  <c:v>129428087</c:v>
                </c:pt>
                <c:pt idx="118">
                  <c:v>133425806</c:v>
                </c:pt>
                <c:pt idx="119">
                  <c:v>137252421</c:v>
                </c:pt>
                <c:pt idx="120">
                  <c:v>139483995</c:v>
                </c:pt>
                <c:pt idx="121">
                  <c:v>129290507</c:v>
                </c:pt>
                <c:pt idx="122">
                  <c:v>138164067</c:v>
                </c:pt>
                <c:pt idx="123">
                  <c:v>120999808</c:v>
                </c:pt>
                <c:pt idx="124">
                  <c:v>130145724</c:v>
                </c:pt>
                <c:pt idx="125">
                  <c:v>136402808</c:v>
                </c:pt>
                <c:pt idx="126">
                  <c:v>144866595</c:v>
                </c:pt>
                <c:pt idx="127">
                  <c:v>143235418</c:v>
                </c:pt>
                <c:pt idx="128">
                  <c:v>124350425</c:v>
                </c:pt>
                <c:pt idx="129">
                  <c:v>129860299</c:v>
                </c:pt>
                <c:pt idx="130">
                  <c:v>131299426</c:v>
                </c:pt>
                <c:pt idx="131">
                  <c:v>131260972</c:v>
                </c:pt>
                <c:pt idx="132">
                  <c:v>141950997</c:v>
                </c:pt>
                <c:pt idx="133">
                  <c:v>134079334</c:v>
                </c:pt>
                <c:pt idx="134">
                  <c:v>137122151</c:v>
                </c:pt>
                <c:pt idx="135">
                  <c:v>124757179</c:v>
                </c:pt>
                <c:pt idx="136">
                  <c:v>128722398</c:v>
                </c:pt>
                <c:pt idx="137">
                  <c:v>139397997</c:v>
                </c:pt>
                <c:pt idx="138">
                  <c:v>134351987</c:v>
                </c:pt>
                <c:pt idx="139">
                  <c:v>145489294</c:v>
                </c:pt>
                <c:pt idx="140">
                  <c:v>128127734</c:v>
                </c:pt>
                <c:pt idx="141">
                  <c:v>130195410</c:v>
                </c:pt>
                <c:pt idx="142">
                  <c:v>132285360</c:v>
                </c:pt>
                <c:pt idx="143">
                  <c:v>132714082</c:v>
                </c:pt>
                <c:pt idx="144">
                  <c:v>140041421</c:v>
                </c:pt>
                <c:pt idx="145">
                  <c:v>132651127</c:v>
                </c:pt>
                <c:pt idx="146">
                  <c:v>133457374</c:v>
                </c:pt>
                <c:pt idx="147">
                  <c:v>122596206</c:v>
                </c:pt>
                <c:pt idx="148">
                  <c:v>121120167</c:v>
                </c:pt>
                <c:pt idx="149">
                  <c:v>130438115</c:v>
                </c:pt>
                <c:pt idx="150">
                  <c:v>139693948</c:v>
                </c:pt>
                <c:pt idx="151">
                  <c:v>131943162</c:v>
                </c:pt>
                <c:pt idx="152">
                  <c:v>126425825</c:v>
                </c:pt>
                <c:pt idx="153">
                  <c:v>125628543</c:v>
                </c:pt>
                <c:pt idx="154">
                  <c:v>125038661</c:v>
                </c:pt>
                <c:pt idx="155">
                  <c:v>128488680</c:v>
                </c:pt>
                <c:pt idx="156" formatCode="#,##0">
                  <c:v>132884999</c:v>
                </c:pt>
                <c:pt idx="157" formatCode="#,##0">
                  <c:v>117645114</c:v>
                </c:pt>
                <c:pt idx="158" formatCode="#,##0">
                  <c:v>124919264</c:v>
                </c:pt>
                <c:pt idx="159" formatCode="#,##0">
                  <c:v>113413654</c:v>
                </c:pt>
                <c:pt idx="160" formatCode="#,##0">
                  <c:v>110681364</c:v>
                </c:pt>
                <c:pt idx="161" formatCode="#,##0">
                  <c:v>118125725</c:v>
                </c:pt>
                <c:pt idx="162" formatCode="#,##0">
                  <c:v>117925787</c:v>
                </c:pt>
                <c:pt idx="163" formatCode="#,##0">
                  <c:v>129756657</c:v>
                </c:pt>
                <c:pt idx="164" formatCode="#,##0">
                  <c:v>117720372</c:v>
                </c:pt>
                <c:pt idx="165" formatCode="#,##0">
                  <c:v>119665804</c:v>
                </c:pt>
                <c:pt idx="166" formatCode="#,##0">
                  <c:v>119039063</c:v>
                </c:pt>
                <c:pt idx="167" formatCode="#,##0">
                  <c:v>128577043</c:v>
                </c:pt>
                <c:pt idx="168" formatCode="#,##0">
                  <c:v>134104887</c:v>
                </c:pt>
                <c:pt idx="169" formatCode="#,##0">
                  <c:v>119717521</c:v>
                </c:pt>
                <c:pt idx="170" formatCode="#,##0">
                  <c:v>125455107</c:v>
                </c:pt>
                <c:pt idx="171" formatCode="#,##0">
                  <c:v>112822227</c:v>
                </c:pt>
                <c:pt idx="172" formatCode="#,##0">
                  <c:v>122392253</c:v>
                </c:pt>
                <c:pt idx="173" formatCode="#,##0">
                  <c:v>127582818</c:v>
                </c:pt>
                <c:pt idx="174" formatCode="#,##0">
                  <c:v>140727870</c:v>
                </c:pt>
                <c:pt idx="175" formatCode="#,##0">
                  <c:v>139365541</c:v>
                </c:pt>
                <c:pt idx="176" formatCode="#,##0">
                  <c:v>119162847</c:v>
                </c:pt>
                <c:pt idx="177" formatCode="#,##0">
                  <c:v>117558713</c:v>
                </c:pt>
                <c:pt idx="178" formatCode="#,##0">
                  <c:v>122844772</c:v>
                </c:pt>
                <c:pt idx="179" formatCode="#,##0">
                  <c:v>131431074</c:v>
                </c:pt>
                <c:pt idx="180" formatCode="#,##0">
                  <c:v>136150616.80916667</c:v>
                </c:pt>
                <c:pt idx="181" formatCode="#,##0">
                  <c:v>122763330.80916667</c:v>
                </c:pt>
                <c:pt idx="182" formatCode="#,##0">
                  <c:v>131243784.80916667</c:v>
                </c:pt>
                <c:pt idx="183" formatCode="#,##0">
                  <c:v>114767690.80916667</c:v>
                </c:pt>
                <c:pt idx="184" formatCode="#,##0">
                  <c:v>114321528.80916667</c:v>
                </c:pt>
                <c:pt idx="185" formatCode="#,##0">
                  <c:v>124731711.80916667</c:v>
                </c:pt>
                <c:pt idx="186" formatCode="#,##0">
                  <c:v>144387087.80916667</c:v>
                </c:pt>
                <c:pt idx="187" formatCode="#,##0">
                  <c:v>137940608.80916667</c:v>
                </c:pt>
                <c:pt idx="188" formatCode="#,##0">
                  <c:v>121929647.80916667</c:v>
                </c:pt>
                <c:pt idx="189" formatCode="#,##0">
                  <c:v>120057899.80916667</c:v>
                </c:pt>
                <c:pt idx="190" formatCode="#,##0">
                  <c:v>123311493.80916667</c:v>
                </c:pt>
                <c:pt idx="191" formatCode="#,##0">
                  <c:v>127833865.80916667</c:v>
                </c:pt>
                <c:pt idx="192" formatCode="#,##0">
                  <c:v>134599029.95666668</c:v>
                </c:pt>
                <c:pt idx="193" formatCode="#,##0">
                  <c:v>124673922.26666667</c:v>
                </c:pt>
                <c:pt idx="194" formatCode="#,##0">
                  <c:v>124843814.56666668</c:v>
                </c:pt>
                <c:pt idx="195" formatCode="#,##0">
                  <c:v>118034723.41333333</c:v>
                </c:pt>
                <c:pt idx="196" formatCode="#,##0">
                  <c:v>123884608.03333333</c:v>
                </c:pt>
                <c:pt idx="197" formatCode="#,##0">
                  <c:v>130856826.21333334</c:v>
                </c:pt>
                <c:pt idx="198" formatCode="#,##0">
                  <c:v>145238062.58333334</c:v>
                </c:pt>
                <c:pt idx="199" formatCode="#,##0">
                  <c:v>136328817.12333333</c:v>
                </c:pt>
                <c:pt idx="200" formatCode="#,##0">
                  <c:v>118489635.30333333</c:v>
                </c:pt>
                <c:pt idx="201" formatCode="#,##0">
                  <c:v>120430908.03333333</c:v>
                </c:pt>
                <c:pt idx="202" formatCode="#,##0">
                  <c:v>124178017.12333333</c:v>
                </c:pt>
                <c:pt idx="203" formatCode="#,##0">
                  <c:v>125032971.67333333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4385664"/>
        <c:axId val="209257600"/>
      </c:barChart>
      <c:lineChart>
        <c:grouping val="standard"/>
        <c:varyColors val="0"/>
        <c:ser>
          <c:idx val="1"/>
          <c:order val="1"/>
          <c:tx>
            <c:strRef>
              <c:f>'Purchased Power Model'!$N$2</c:f>
              <c:strCache>
                <c:ptCount val="1"/>
                <c:pt idx="0">
                  <c:v>Predicted Purchases </c:v>
                </c:pt>
              </c:strCache>
            </c:strRef>
          </c:tx>
          <c:marker>
            <c:symbol val="none"/>
          </c:marker>
          <c:cat>
            <c:numRef>
              <c:f>'Purchased Power Model'!$A$3:$A$230</c:f>
              <c:numCache>
                <c:formatCode>mmm\-yy</c:formatCode>
                <c:ptCount val="228"/>
                <c:pt idx="0">
                  <c:v>35095</c:v>
                </c:pt>
                <c:pt idx="1">
                  <c:v>35124</c:v>
                </c:pt>
                <c:pt idx="2">
                  <c:v>35155</c:v>
                </c:pt>
                <c:pt idx="3">
                  <c:v>35185</c:v>
                </c:pt>
                <c:pt idx="4">
                  <c:v>35216</c:v>
                </c:pt>
                <c:pt idx="5">
                  <c:v>35246</c:v>
                </c:pt>
                <c:pt idx="6">
                  <c:v>35277</c:v>
                </c:pt>
                <c:pt idx="7">
                  <c:v>35308</c:v>
                </c:pt>
                <c:pt idx="8">
                  <c:v>35338</c:v>
                </c:pt>
                <c:pt idx="9">
                  <c:v>35369</c:v>
                </c:pt>
                <c:pt idx="10">
                  <c:v>35399</c:v>
                </c:pt>
                <c:pt idx="11">
                  <c:v>35430</c:v>
                </c:pt>
                <c:pt idx="12">
                  <c:v>35461</c:v>
                </c:pt>
                <c:pt idx="13">
                  <c:v>35489</c:v>
                </c:pt>
                <c:pt idx="14">
                  <c:v>35520</c:v>
                </c:pt>
                <c:pt idx="15">
                  <c:v>35550</c:v>
                </c:pt>
                <c:pt idx="16">
                  <c:v>35581</c:v>
                </c:pt>
                <c:pt idx="17">
                  <c:v>35611</c:v>
                </c:pt>
                <c:pt idx="18">
                  <c:v>35642</c:v>
                </c:pt>
                <c:pt idx="19">
                  <c:v>35673</c:v>
                </c:pt>
                <c:pt idx="20">
                  <c:v>35703</c:v>
                </c:pt>
                <c:pt idx="21">
                  <c:v>35734</c:v>
                </c:pt>
                <c:pt idx="22">
                  <c:v>35764</c:v>
                </c:pt>
                <c:pt idx="23">
                  <c:v>35795</c:v>
                </c:pt>
                <c:pt idx="24">
                  <c:v>35826</c:v>
                </c:pt>
                <c:pt idx="25">
                  <c:v>35854</c:v>
                </c:pt>
                <c:pt idx="26">
                  <c:v>35885</c:v>
                </c:pt>
                <c:pt idx="27">
                  <c:v>35915</c:v>
                </c:pt>
                <c:pt idx="28">
                  <c:v>35946</c:v>
                </c:pt>
                <c:pt idx="29">
                  <c:v>35976</c:v>
                </c:pt>
                <c:pt idx="30">
                  <c:v>36007</c:v>
                </c:pt>
                <c:pt idx="31">
                  <c:v>36038</c:v>
                </c:pt>
                <c:pt idx="32">
                  <c:v>36068</c:v>
                </c:pt>
                <c:pt idx="33">
                  <c:v>36099</c:v>
                </c:pt>
                <c:pt idx="34">
                  <c:v>36129</c:v>
                </c:pt>
                <c:pt idx="35">
                  <c:v>36160</c:v>
                </c:pt>
                <c:pt idx="36">
                  <c:v>36191</c:v>
                </c:pt>
                <c:pt idx="37">
                  <c:v>36219</c:v>
                </c:pt>
                <c:pt idx="38">
                  <c:v>36250</c:v>
                </c:pt>
                <c:pt idx="39">
                  <c:v>36280</c:v>
                </c:pt>
                <c:pt idx="40">
                  <c:v>36311</c:v>
                </c:pt>
                <c:pt idx="41">
                  <c:v>36341</c:v>
                </c:pt>
                <c:pt idx="42">
                  <c:v>36372</c:v>
                </c:pt>
                <c:pt idx="43">
                  <c:v>36403</c:v>
                </c:pt>
                <c:pt idx="44">
                  <c:v>36433</c:v>
                </c:pt>
                <c:pt idx="45">
                  <c:v>36464</c:v>
                </c:pt>
                <c:pt idx="46">
                  <c:v>36494</c:v>
                </c:pt>
                <c:pt idx="47">
                  <c:v>36525</c:v>
                </c:pt>
                <c:pt idx="48">
                  <c:v>36556</c:v>
                </c:pt>
                <c:pt idx="49">
                  <c:v>36585</c:v>
                </c:pt>
                <c:pt idx="50">
                  <c:v>36616</c:v>
                </c:pt>
                <c:pt idx="51">
                  <c:v>36646</c:v>
                </c:pt>
                <c:pt idx="52">
                  <c:v>36677</c:v>
                </c:pt>
                <c:pt idx="53">
                  <c:v>36707</c:v>
                </c:pt>
                <c:pt idx="54">
                  <c:v>36738</c:v>
                </c:pt>
                <c:pt idx="55">
                  <c:v>36769</c:v>
                </c:pt>
                <c:pt idx="56">
                  <c:v>36799</c:v>
                </c:pt>
                <c:pt idx="57">
                  <c:v>36830</c:v>
                </c:pt>
                <c:pt idx="58">
                  <c:v>36860</c:v>
                </c:pt>
                <c:pt idx="59">
                  <c:v>36891</c:v>
                </c:pt>
                <c:pt idx="60">
                  <c:v>36922</c:v>
                </c:pt>
                <c:pt idx="61">
                  <c:v>36950</c:v>
                </c:pt>
                <c:pt idx="62">
                  <c:v>36981</c:v>
                </c:pt>
                <c:pt idx="63">
                  <c:v>37011</c:v>
                </c:pt>
                <c:pt idx="64">
                  <c:v>37042</c:v>
                </c:pt>
                <c:pt idx="65">
                  <c:v>37072</c:v>
                </c:pt>
                <c:pt idx="66">
                  <c:v>37103</c:v>
                </c:pt>
                <c:pt idx="67">
                  <c:v>37134</c:v>
                </c:pt>
                <c:pt idx="68">
                  <c:v>37164</c:v>
                </c:pt>
                <c:pt idx="69">
                  <c:v>37195</c:v>
                </c:pt>
                <c:pt idx="70">
                  <c:v>37225</c:v>
                </c:pt>
                <c:pt idx="71">
                  <c:v>37256</c:v>
                </c:pt>
                <c:pt idx="72">
                  <c:v>37287</c:v>
                </c:pt>
                <c:pt idx="73">
                  <c:v>37315</c:v>
                </c:pt>
                <c:pt idx="74">
                  <c:v>37346</c:v>
                </c:pt>
                <c:pt idx="75">
                  <c:v>37376</c:v>
                </c:pt>
                <c:pt idx="76">
                  <c:v>37407</c:v>
                </c:pt>
                <c:pt idx="77">
                  <c:v>37437</c:v>
                </c:pt>
                <c:pt idx="78">
                  <c:v>37468</c:v>
                </c:pt>
                <c:pt idx="79">
                  <c:v>37499</c:v>
                </c:pt>
                <c:pt idx="80">
                  <c:v>37529</c:v>
                </c:pt>
                <c:pt idx="81">
                  <c:v>37560</c:v>
                </c:pt>
                <c:pt idx="82">
                  <c:v>37590</c:v>
                </c:pt>
                <c:pt idx="83">
                  <c:v>37621</c:v>
                </c:pt>
                <c:pt idx="84">
                  <c:v>37652</c:v>
                </c:pt>
                <c:pt idx="85">
                  <c:v>37680</c:v>
                </c:pt>
                <c:pt idx="86">
                  <c:v>37711</c:v>
                </c:pt>
                <c:pt idx="87">
                  <c:v>37741</c:v>
                </c:pt>
                <c:pt idx="88">
                  <c:v>37772</c:v>
                </c:pt>
                <c:pt idx="89">
                  <c:v>37802</c:v>
                </c:pt>
                <c:pt idx="90">
                  <c:v>37833</c:v>
                </c:pt>
                <c:pt idx="91">
                  <c:v>37864</c:v>
                </c:pt>
                <c:pt idx="92">
                  <c:v>37894</c:v>
                </c:pt>
                <c:pt idx="93">
                  <c:v>37925</c:v>
                </c:pt>
                <c:pt idx="94">
                  <c:v>37955</c:v>
                </c:pt>
                <c:pt idx="95">
                  <c:v>37986</c:v>
                </c:pt>
                <c:pt idx="96">
                  <c:v>38017</c:v>
                </c:pt>
                <c:pt idx="97">
                  <c:v>38046</c:v>
                </c:pt>
                <c:pt idx="98">
                  <c:v>38077</c:v>
                </c:pt>
                <c:pt idx="99">
                  <c:v>38107</c:v>
                </c:pt>
                <c:pt idx="100">
                  <c:v>38138</c:v>
                </c:pt>
                <c:pt idx="101">
                  <c:v>38168</c:v>
                </c:pt>
                <c:pt idx="102">
                  <c:v>38199</c:v>
                </c:pt>
                <c:pt idx="103">
                  <c:v>38230</c:v>
                </c:pt>
                <c:pt idx="104">
                  <c:v>38260</c:v>
                </c:pt>
                <c:pt idx="105">
                  <c:v>38291</c:v>
                </c:pt>
                <c:pt idx="106">
                  <c:v>38321</c:v>
                </c:pt>
                <c:pt idx="107">
                  <c:v>38352</c:v>
                </c:pt>
                <c:pt idx="108">
                  <c:v>38383</c:v>
                </c:pt>
                <c:pt idx="109">
                  <c:v>38411</c:v>
                </c:pt>
                <c:pt idx="110">
                  <c:v>38442</c:v>
                </c:pt>
                <c:pt idx="111">
                  <c:v>38472</c:v>
                </c:pt>
                <c:pt idx="112">
                  <c:v>38503</c:v>
                </c:pt>
                <c:pt idx="113">
                  <c:v>38533</c:v>
                </c:pt>
                <c:pt idx="114">
                  <c:v>38564</c:v>
                </c:pt>
                <c:pt idx="115">
                  <c:v>38595</c:v>
                </c:pt>
                <c:pt idx="116">
                  <c:v>38625</c:v>
                </c:pt>
                <c:pt idx="117">
                  <c:v>38656</c:v>
                </c:pt>
                <c:pt idx="118">
                  <c:v>38686</c:v>
                </c:pt>
                <c:pt idx="119">
                  <c:v>38717</c:v>
                </c:pt>
                <c:pt idx="120">
                  <c:v>38748</c:v>
                </c:pt>
                <c:pt idx="121">
                  <c:v>38776</c:v>
                </c:pt>
                <c:pt idx="122">
                  <c:v>38807</c:v>
                </c:pt>
                <c:pt idx="123">
                  <c:v>38837</c:v>
                </c:pt>
                <c:pt idx="124">
                  <c:v>38868</c:v>
                </c:pt>
                <c:pt idx="125">
                  <c:v>38898</c:v>
                </c:pt>
                <c:pt idx="126">
                  <c:v>38929</c:v>
                </c:pt>
                <c:pt idx="127">
                  <c:v>38960</c:v>
                </c:pt>
                <c:pt idx="128">
                  <c:v>38990</c:v>
                </c:pt>
                <c:pt idx="129">
                  <c:v>39021</c:v>
                </c:pt>
                <c:pt idx="130">
                  <c:v>39051</c:v>
                </c:pt>
                <c:pt idx="131">
                  <c:v>39082</c:v>
                </c:pt>
                <c:pt idx="132">
                  <c:v>39113</c:v>
                </c:pt>
                <c:pt idx="133">
                  <c:v>39141</c:v>
                </c:pt>
                <c:pt idx="134">
                  <c:v>39172</c:v>
                </c:pt>
                <c:pt idx="135">
                  <c:v>39202</c:v>
                </c:pt>
                <c:pt idx="136">
                  <c:v>39233</c:v>
                </c:pt>
                <c:pt idx="137">
                  <c:v>39263</c:v>
                </c:pt>
                <c:pt idx="138">
                  <c:v>39294</c:v>
                </c:pt>
                <c:pt idx="139">
                  <c:v>39325</c:v>
                </c:pt>
                <c:pt idx="140">
                  <c:v>39355</c:v>
                </c:pt>
                <c:pt idx="141">
                  <c:v>39386</c:v>
                </c:pt>
                <c:pt idx="142">
                  <c:v>39416</c:v>
                </c:pt>
                <c:pt idx="143">
                  <c:v>39447</c:v>
                </c:pt>
                <c:pt idx="144">
                  <c:v>39478</c:v>
                </c:pt>
                <c:pt idx="145">
                  <c:v>39507</c:v>
                </c:pt>
                <c:pt idx="146">
                  <c:v>39538</c:v>
                </c:pt>
                <c:pt idx="147">
                  <c:v>39568</c:v>
                </c:pt>
                <c:pt idx="148">
                  <c:v>39599</c:v>
                </c:pt>
                <c:pt idx="149">
                  <c:v>39629</c:v>
                </c:pt>
                <c:pt idx="150">
                  <c:v>39660</c:v>
                </c:pt>
                <c:pt idx="151">
                  <c:v>39691</c:v>
                </c:pt>
                <c:pt idx="152">
                  <c:v>39721</c:v>
                </c:pt>
                <c:pt idx="153">
                  <c:v>39752</c:v>
                </c:pt>
                <c:pt idx="154">
                  <c:v>39782</c:v>
                </c:pt>
                <c:pt idx="155">
                  <c:v>39813</c:v>
                </c:pt>
                <c:pt idx="156">
                  <c:v>39844</c:v>
                </c:pt>
                <c:pt idx="157">
                  <c:v>39872</c:v>
                </c:pt>
                <c:pt idx="158">
                  <c:v>39903</c:v>
                </c:pt>
                <c:pt idx="159">
                  <c:v>39933</c:v>
                </c:pt>
                <c:pt idx="160">
                  <c:v>39964</c:v>
                </c:pt>
                <c:pt idx="161">
                  <c:v>39994</c:v>
                </c:pt>
                <c:pt idx="162">
                  <c:v>40025</c:v>
                </c:pt>
                <c:pt idx="163">
                  <c:v>40056</c:v>
                </c:pt>
                <c:pt idx="164">
                  <c:v>40086</c:v>
                </c:pt>
                <c:pt idx="165">
                  <c:v>40117</c:v>
                </c:pt>
                <c:pt idx="166">
                  <c:v>40147</c:v>
                </c:pt>
                <c:pt idx="167">
                  <c:v>40178</c:v>
                </c:pt>
                <c:pt idx="168">
                  <c:v>40209</c:v>
                </c:pt>
                <c:pt idx="169">
                  <c:v>40237</c:v>
                </c:pt>
                <c:pt idx="170">
                  <c:v>40268</c:v>
                </c:pt>
                <c:pt idx="171">
                  <c:v>40298</c:v>
                </c:pt>
                <c:pt idx="172">
                  <c:v>40329</c:v>
                </c:pt>
                <c:pt idx="173">
                  <c:v>40359</c:v>
                </c:pt>
                <c:pt idx="174">
                  <c:v>40390</c:v>
                </c:pt>
                <c:pt idx="175">
                  <c:v>40421</c:v>
                </c:pt>
                <c:pt idx="176">
                  <c:v>40451</c:v>
                </c:pt>
                <c:pt idx="177">
                  <c:v>40482</c:v>
                </c:pt>
                <c:pt idx="178">
                  <c:v>40512</c:v>
                </c:pt>
                <c:pt idx="179">
                  <c:v>40543</c:v>
                </c:pt>
                <c:pt idx="180">
                  <c:v>40574</c:v>
                </c:pt>
                <c:pt idx="181">
                  <c:v>40602</c:v>
                </c:pt>
                <c:pt idx="182">
                  <c:v>40633</c:v>
                </c:pt>
                <c:pt idx="183">
                  <c:v>40663</c:v>
                </c:pt>
                <c:pt idx="184">
                  <c:v>40694</c:v>
                </c:pt>
                <c:pt idx="185">
                  <c:v>40724</c:v>
                </c:pt>
                <c:pt idx="186">
                  <c:v>40755</c:v>
                </c:pt>
                <c:pt idx="187">
                  <c:v>40786</c:v>
                </c:pt>
                <c:pt idx="188">
                  <c:v>40816</c:v>
                </c:pt>
                <c:pt idx="189">
                  <c:v>40847</c:v>
                </c:pt>
                <c:pt idx="190">
                  <c:v>40877</c:v>
                </c:pt>
                <c:pt idx="191">
                  <c:v>40908</c:v>
                </c:pt>
                <c:pt idx="192">
                  <c:v>40939</c:v>
                </c:pt>
                <c:pt idx="193">
                  <c:v>40968</c:v>
                </c:pt>
                <c:pt idx="194">
                  <c:v>40999</c:v>
                </c:pt>
                <c:pt idx="195">
                  <c:v>41029</c:v>
                </c:pt>
                <c:pt idx="196">
                  <c:v>41060</c:v>
                </c:pt>
                <c:pt idx="197">
                  <c:v>41090</c:v>
                </c:pt>
                <c:pt idx="198">
                  <c:v>41121</c:v>
                </c:pt>
                <c:pt idx="199">
                  <c:v>41152</c:v>
                </c:pt>
                <c:pt idx="200">
                  <c:v>41182</c:v>
                </c:pt>
                <c:pt idx="201">
                  <c:v>41213</c:v>
                </c:pt>
                <c:pt idx="202">
                  <c:v>41243</c:v>
                </c:pt>
                <c:pt idx="203">
                  <c:v>41274</c:v>
                </c:pt>
                <c:pt idx="204">
                  <c:v>41305</c:v>
                </c:pt>
                <c:pt idx="205">
                  <c:v>41333</c:v>
                </c:pt>
                <c:pt idx="206">
                  <c:v>41364</c:v>
                </c:pt>
                <c:pt idx="207">
                  <c:v>41394</c:v>
                </c:pt>
                <c:pt idx="208">
                  <c:v>41425</c:v>
                </c:pt>
                <c:pt idx="209">
                  <c:v>41455</c:v>
                </c:pt>
                <c:pt idx="210">
                  <c:v>41486</c:v>
                </c:pt>
                <c:pt idx="211">
                  <c:v>41517</c:v>
                </c:pt>
                <c:pt idx="212">
                  <c:v>41547</c:v>
                </c:pt>
                <c:pt idx="213">
                  <c:v>41578</c:v>
                </c:pt>
                <c:pt idx="214">
                  <c:v>41608</c:v>
                </c:pt>
                <c:pt idx="215">
                  <c:v>41639</c:v>
                </c:pt>
                <c:pt idx="216">
                  <c:v>41670</c:v>
                </c:pt>
                <c:pt idx="217">
                  <c:v>41698</c:v>
                </c:pt>
                <c:pt idx="218">
                  <c:v>41729</c:v>
                </c:pt>
                <c:pt idx="219">
                  <c:v>41759</c:v>
                </c:pt>
                <c:pt idx="220">
                  <c:v>41790</c:v>
                </c:pt>
                <c:pt idx="221">
                  <c:v>41820</c:v>
                </c:pt>
                <c:pt idx="222">
                  <c:v>41851</c:v>
                </c:pt>
                <c:pt idx="223">
                  <c:v>41882</c:v>
                </c:pt>
                <c:pt idx="224">
                  <c:v>41912</c:v>
                </c:pt>
                <c:pt idx="225">
                  <c:v>41943</c:v>
                </c:pt>
                <c:pt idx="226">
                  <c:v>41973</c:v>
                </c:pt>
                <c:pt idx="227">
                  <c:v>42004</c:v>
                </c:pt>
              </c:numCache>
            </c:numRef>
          </c:cat>
          <c:val>
            <c:numRef>
              <c:f>'Purchased Power Model'!$N$3:$N$230</c:f>
              <c:numCache>
                <c:formatCode>#,##0_);\(#,##0\)</c:formatCode>
                <c:ptCount val="228"/>
                <c:pt idx="0">
                  <c:v>104167780.94324757</c:v>
                </c:pt>
                <c:pt idx="1">
                  <c:v>98340366.838100418</c:v>
                </c:pt>
                <c:pt idx="2">
                  <c:v>99598764.779709235</c:v>
                </c:pt>
                <c:pt idx="3">
                  <c:v>93259567.168654919</c:v>
                </c:pt>
                <c:pt idx="4">
                  <c:v>95172022.250508845</c:v>
                </c:pt>
                <c:pt idx="5">
                  <c:v>94134890.36785388</c:v>
                </c:pt>
                <c:pt idx="6">
                  <c:v>100172896.81903376</c:v>
                </c:pt>
                <c:pt idx="7">
                  <c:v>100330377.49164499</c:v>
                </c:pt>
                <c:pt idx="8">
                  <c:v>88410978.91744408</c:v>
                </c:pt>
                <c:pt idx="9">
                  <c:v>94217082.979368389</c:v>
                </c:pt>
                <c:pt idx="10">
                  <c:v>94159118.326332465</c:v>
                </c:pt>
                <c:pt idx="11">
                  <c:v>98672382.173782468</c:v>
                </c:pt>
                <c:pt idx="12">
                  <c:v>106993537.03268144</c:v>
                </c:pt>
                <c:pt idx="13">
                  <c:v>97575931.2090379</c:v>
                </c:pt>
                <c:pt idx="14">
                  <c:v>97625475.509581164</c:v>
                </c:pt>
                <c:pt idx="15">
                  <c:v>96632686.270270914</c:v>
                </c:pt>
                <c:pt idx="16">
                  <c:v>94977735.114658326</c:v>
                </c:pt>
                <c:pt idx="17">
                  <c:v>100584988.50103541</c:v>
                </c:pt>
                <c:pt idx="18">
                  <c:v>106347865.71829103</c:v>
                </c:pt>
                <c:pt idx="19">
                  <c:v>96977669.675020084</c:v>
                </c:pt>
                <c:pt idx="20">
                  <c:v>94079977.076430663</c:v>
                </c:pt>
                <c:pt idx="21">
                  <c:v>101153405.79934743</c:v>
                </c:pt>
                <c:pt idx="22">
                  <c:v>98554631.145821109</c:v>
                </c:pt>
                <c:pt idx="23">
                  <c:v>108134288.90131268</c:v>
                </c:pt>
                <c:pt idx="24">
                  <c:v>109604933.51362313</c:v>
                </c:pt>
                <c:pt idx="25">
                  <c:v>100378061.63128588</c:v>
                </c:pt>
                <c:pt idx="26">
                  <c:v>105526289.25748032</c:v>
                </c:pt>
                <c:pt idx="27">
                  <c:v>98792621.971489638</c:v>
                </c:pt>
                <c:pt idx="28">
                  <c:v>97589924.861409992</c:v>
                </c:pt>
                <c:pt idx="29">
                  <c:v>111219399.42987941</c:v>
                </c:pt>
                <c:pt idx="30">
                  <c:v>112989823.38741547</c:v>
                </c:pt>
                <c:pt idx="31">
                  <c:v>114459065.37719852</c:v>
                </c:pt>
                <c:pt idx="32">
                  <c:v>102860324.8357005</c:v>
                </c:pt>
                <c:pt idx="33">
                  <c:v>103397603.81425381</c:v>
                </c:pt>
                <c:pt idx="34">
                  <c:v>105895992.91658548</c:v>
                </c:pt>
                <c:pt idx="35">
                  <c:v>112929854.30217877</c:v>
                </c:pt>
                <c:pt idx="36">
                  <c:v>117897042.71534976</c:v>
                </c:pt>
                <c:pt idx="37">
                  <c:v>108560925.96945135</c:v>
                </c:pt>
                <c:pt idx="38">
                  <c:v>116613039.75036618</c:v>
                </c:pt>
                <c:pt idx="39">
                  <c:v>106765699.98648638</c:v>
                </c:pt>
                <c:pt idx="40">
                  <c:v>104959691.57870567</c:v>
                </c:pt>
                <c:pt idx="41">
                  <c:v>120645524.50433098</c:v>
                </c:pt>
                <c:pt idx="42">
                  <c:v>133363640.07289404</c:v>
                </c:pt>
                <c:pt idx="43">
                  <c:v>113898522.17375977</c:v>
                </c:pt>
                <c:pt idx="44">
                  <c:v>111881577.50006779</c:v>
                </c:pt>
                <c:pt idx="45">
                  <c:v>110919908.6147728</c:v>
                </c:pt>
                <c:pt idx="46">
                  <c:v>113941630.15587719</c:v>
                </c:pt>
                <c:pt idx="47">
                  <c:v>119766764.06640002</c:v>
                </c:pt>
                <c:pt idx="48">
                  <c:v>120492821.90546007</c:v>
                </c:pt>
                <c:pt idx="49">
                  <c:v>113587025.21155983</c:v>
                </c:pt>
                <c:pt idx="50">
                  <c:v>115423881.32107329</c:v>
                </c:pt>
                <c:pt idx="51">
                  <c:v>106062122.54318832</c:v>
                </c:pt>
                <c:pt idx="52">
                  <c:v>113622410.52851166</c:v>
                </c:pt>
                <c:pt idx="53">
                  <c:v>115466678.42933047</c:v>
                </c:pt>
                <c:pt idx="54">
                  <c:v>115704760.11627916</c:v>
                </c:pt>
                <c:pt idx="55">
                  <c:v>119371898.70504569</c:v>
                </c:pt>
                <c:pt idx="56">
                  <c:v>110348387.79666485</c:v>
                </c:pt>
                <c:pt idx="57">
                  <c:v>111406014.83376665</c:v>
                </c:pt>
                <c:pt idx="58">
                  <c:v>116963597.1377205</c:v>
                </c:pt>
                <c:pt idx="59">
                  <c:v>123589935.11323878</c:v>
                </c:pt>
                <c:pt idx="60">
                  <c:v>125757086.34712978</c:v>
                </c:pt>
                <c:pt idx="61">
                  <c:v>116297994.03462163</c:v>
                </c:pt>
                <c:pt idx="62">
                  <c:v>120606689.30411389</c:v>
                </c:pt>
                <c:pt idx="63">
                  <c:v>110134800.01137769</c:v>
                </c:pt>
                <c:pt idx="64">
                  <c:v>113644812.9174106</c:v>
                </c:pt>
                <c:pt idx="65">
                  <c:v>121347024.15808316</c:v>
                </c:pt>
                <c:pt idx="66">
                  <c:v>122934639.70666087</c:v>
                </c:pt>
                <c:pt idx="67">
                  <c:v>129017468.04544191</c:v>
                </c:pt>
                <c:pt idx="68">
                  <c:v>108462764.96973158</c:v>
                </c:pt>
                <c:pt idx="69">
                  <c:v>114711718.31717888</c:v>
                </c:pt>
                <c:pt idx="70">
                  <c:v>115401833.72189215</c:v>
                </c:pt>
                <c:pt idx="71">
                  <c:v>118273571.72274633</c:v>
                </c:pt>
                <c:pt idx="72">
                  <c:v>124218182.65175007</c:v>
                </c:pt>
                <c:pt idx="73">
                  <c:v>115923229.37708113</c:v>
                </c:pt>
                <c:pt idx="74">
                  <c:v>119287224.72050349</c:v>
                </c:pt>
                <c:pt idx="75">
                  <c:v>118151210.7254279</c:v>
                </c:pt>
                <c:pt idx="76">
                  <c:v>118302219.008194</c:v>
                </c:pt>
                <c:pt idx="77">
                  <c:v>120781190.02600272</c:v>
                </c:pt>
                <c:pt idx="78">
                  <c:v>139655096.41143507</c:v>
                </c:pt>
                <c:pt idx="79">
                  <c:v>127525115.99320731</c:v>
                </c:pt>
                <c:pt idx="80">
                  <c:v>118084378.33141866</c:v>
                </c:pt>
                <c:pt idx="81">
                  <c:v>121381028.4174127</c:v>
                </c:pt>
                <c:pt idx="82">
                  <c:v>120130601.22593838</c:v>
                </c:pt>
                <c:pt idx="83">
                  <c:v>127136036.73319077</c:v>
                </c:pt>
                <c:pt idx="84">
                  <c:v>134927844.47745648</c:v>
                </c:pt>
                <c:pt idx="85">
                  <c:v>123937022.0030451</c:v>
                </c:pt>
                <c:pt idx="86">
                  <c:v>125614765.89430049</c:v>
                </c:pt>
                <c:pt idx="87">
                  <c:v>119594483.37806758</c:v>
                </c:pt>
                <c:pt idx="88">
                  <c:v>118782865.1368141</c:v>
                </c:pt>
                <c:pt idx="89">
                  <c:v>121345026.10643713</c:v>
                </c:pt>
                <c:pt idx="90">
                  <c:v>128933831.34783092</c:v>
                </c:pt>
                <c:pt idx="91">
                  <c:v>130481504.63014033</c:v>
                </c:pt>
                <c:pt idx="92">
                  <c:v>118078671.17498285</c:v>
                </c:pt>
                <c:pt idx="93">
                  <c:v>125378700.22098482</c:v>
                </c:pt>
                <c:pt idx="94">
                  <c:v>122612894.65083118</c:v>
                </c:pt>
                <c:pt idx="95">
                  <c:v>131165656.23015438</c:v>
                </c:pt>
                <c:pt idx="96">
                  <c:v>137276645.4335441</c:v>
                </c:pt>
                <c:pt idx="97">
                  <c:v>125936663.03834786</c:v>
                </c:pt>
                <c:pt idx="98">
                  <c:v>129959722.08887319</c:v>
                </c:pt>
                <c:pt idx="99">
                  <c:v>121504273.59073965</c:v>
                </c:pt>
                <c:pt idx="100">
                  <c:v>120814738.3872564</c:v>
                </c:pt>
                <c:pt idx="101">
                  <c:v>125513499.37616953</c:v>
                </c:pt>
                <c:pt idx="102">
                  <c:v>131960265.68166116</c:v>
                </c:pt>
                <c:pt idx="103">
                  <c:v>129420256.44799517</c:v>
                </c:pt>
                <c:pt idx="104">
                  <c:v>123661806.87646212</c:v>
                </c:pt>
                <c:pt idx="105">
                  <c:v>125252426.80435298</c:v>
                </c:pt>
                <c:pt idx="106">
                  <c:v>130148691.87070104</c:v>
                </c:pt>
                <c:pt idx="107">
                  <c:v>137929108.66857153</c:v>
                </c:pt>
                <c:pt idx="108">
                  <c:v>138249394.65915012</c:v>
                </c:pt>
                <c:pt idx="109">
                  <c:v>132538321.22587751</c:v>
                </c:pt>
                <c:pt idx="110">
                  <c:v>136927414.19169667</c:v>
                </c:pt>
                <c:pt idx="111">
                  <c:v>127320364.97926188</c:v>
                </c:pt>
                <c:pt idx="112">
                  <c:v>127928589.22734314</c:v>
                </c:pt>
                <c:pt idx="113">
                  <c:v>146921809.16552457</c:v>
                </c:pt>
                <c:pt idx="114">
                  <c:v>145820278.93945572</c:v>
                </c:pt>
                <c:pt idx="115">
                  <c:v>142410282.15698972</c:v>
                </c:pt>
                <c:pt idx="116">
                  <c:v>127708595.04730521</c:v>
                </c:pt>
                <c:pt idx="117">
                  <c:v>129227104.96867049</c:v>
                </c:pt>
                <c:pt idx="118">
                  <c:v>133046363.36179629</c:v>
                </c:pt>
                <c:pt idx="119">
                  <c:v>139139463.1252242</c:v>
                </c:pt>
                <c:pt idx="120">
                  <c:v>138398830.95478958</c:v>
                </c:pt>
                <c:pt idx="121">
                  <c:v>133071676.33430028</c:v>
                </c:pt>
                <c:pt idx="122">
                  <c:v>138929635.47255671</c:v>
                </c:pt>
                <c:pt idx="123">
                  <c:v>125952124.10927297</c:v>
                </c:pt>
                <c:pt idx="124">
                  <c:v>134359112.19394016</c:v>
                </c:pt>
                <c:pt idx="125">
                  <c:v>135565552.35330755</c:v>
                </c:pt>
                <c:pt idx="126">
                  <c:v>150424218.41985995</c:v>
                </c:pt>
                <c:pt idx="127">
                  <c:v>140552429.72995025</c:v>
                </c:pt>
                <c:pt idx="128">
                  <c:v>127482359.27576585</c:v>
                </c:pt>
                <c:pt idx="129">
                  <c:v>135041293.44800174</c:v>
                </c:pt>
                <c:pt idx="130">
                  <c:v>136583497.15351197</c:v>
                </c:pt>
                <c:pt idx="131">
                  <c:v>137665492.89690253</c:v>
                </c:pt>
                <c:pt idx="132">
                  <c:v>143756834.67941064</c:v>
                </c:pt>
                <c:pt idx="133">
                  <c:v>136503911.82466128</c:v>
                </c:pt>
                <c:pt idx="134">
                  <c:v>137709793.32784203</c:v>
                </c:pt>
                <c:pt idx="135">
                  <c:v>127951272.01032317</c:v>
                </c:pt>
                <c:pt idx="136">
                  <c:v>129718908.59924315</c:v>
                </c:pt>
                <c:pt idx="137">
                  <c:v>133876917.17411137</c:v>
                </c:pt>
                <c:pt idx="138">
                  <c:v>137166247.58715224</c:v>
                </c:pt>
                <c:pt idx="139">
                  <c:v>141124892.87755823</c:v>
                </c:pt>
                <c:pt idx="140">
                  <c:v>126789635.89499302</c:v>
                </c:pt>
                <c:pt idx="141">
                  <c:v>132612912.0732803</c:v>
                </c:pt>
                <c:pt idx="142">
                  <c:v>136725422.05125508</c:v>
                </c:pt>
                <c:pt idx="143">
                  <c:v>138860570.53823832</c:v>
                </c:pt>
                <c:pt idx="144">
                  <c:v>141413214.71276823</c:v>
                </c:pt>
                <c:pt idx="145">
                  <c:v>131833558.06699833</c:v>
                </c:pt>
                <c:pt idx="146">
                  <c:v>132384618.6485558</c:v>
                </c:pt>
                <c:pt idx="147">
                  <c:v>127348534.34950708</c:v>
                </c:pt>
                <c:pt idx="148">
                  <c:v>126478531.53460397</c:v>
                </c:pt>
                <c:pt idx="149">
                  <c:v>133616052.91830327</c:v>
                </c:pt>
                <c:pt idx="150">
                  <c:v>141794535.03952301</c:v>
                </c:pt>
                <c:pt idx="151">
                  <c:v>130641218.11577363</c:v>
                </c:pt>
                <c:pt idx="152">
                  <c:v>127640324.3082706</c:v>
                </c:pt>
                <c:pt idx="153">
                  <c:v>134121989.61954355</c:v>
                </c:pt>
                <c:pt idx="154">
                  <c:v>132066095.04055357</c:v>
                </c:pt>
                <c:pt idx="155">
                  <c:v>141884992.58917096</c:v>
                </c:pt>
                <c:pt idx="156">
                  <c:v>135504855.37690324</c:v>
                </c:pt>
                <c:pt idx="157">
                  <c:v>121339332.7633023</c:v>
                </c:pt>
                <c:pt idx="158">
                  <c:v>123590159.32225068</c:v>
                </c:pt>
                <c:pt idx="159">
                  <c:v>113658253.84963508</c:v>
                </c:pt>
                <c:pt idx="160">
                  <c:v>111565512.67219052</c:v>
                </c:pt>
                <c:pt idx="161">
                  <c:v>118616976.48638627</c:v>
                </c:pt>
                <c:pt idx="162">
                  <c:v>118203361.64368893</c:v>
                </c:pt>
                <c:pt idx="163">
                  <c:v>123921290.50115147</c:v>
                </c:pt>
                <c:pt idx="164">
                  <c:v>113400126.82823333</c:v>
                </c:pt>
                <c:pt idx="165">
                  <c:v>119208284.61836886</c:v>
                </c:pt>
                <c:pt idx="166">
                  <c:v>116941227.32980731</c:v>
                </c:pt>
                <c:pt idx="167">
                  <c:v>128509987.52370118</c:v>
                </c:pt>
                <c:pt idx="168">
                  <c:v>127253006.35078485</c:v>
                </c:pt>
                <c:pt idx="169">
                  <c:v>118338058.61052923</c:v>
                </c:pt>
                <c:pt idx="170">
                  <c:v>123816423.99944039</c:v>
                </c:pt>
                <c:pt idx="171">
                  <c:v>113333619.51430276</c:v>
                </c:pt>
                <c:pt idx="172">
                  <c:v>118220532.90091264</c:v>
                </c:pt>
                <c:pt idx="173">
                  <c:v>122828216.24737301</c:v>
                </c:pt>
                <c:pt idx="174">
                  <c:v>138424672.63887307</c:v>
                </c:pt>
                <c:pt idx="175">
                  <c:v>134765321.79407689</c:v>
                </c:pt>
                <c:pt idx="176">
                  <c:v>120847841.83675122</c:v>
                </c:pt>
                <c:pt idx="177">
                  <c:v>119557802.71404749</c:v>
                </c:pt>
                <c:pt idx="178">
                  <c:v>120403204.70609066</c:v>
                </c:pt>
                <c:pt idx="179">
                  <c:v>134622638.67454782</c:v>
                </c:pt>
                <c:pt idx="180">
                  <c:v>133937295.33128126</c:v>
                </c:pt>
                <c:pt idx="181">
                  <c:v>123064248.7254484</c:v>
                </c:pt>
                <c:pt idx="182">
                  <c:v>132601678.37807158</c:v>
                </c:pt>
                <c:pt idx="183">
                  <c:v>120595349.72514728</c:v>
                </c:pt>
                <c:pt idx="184">
                  <c:v>123740602.2870013</c:v>
                </c:pt>
                <c:pt idx="185">
                  <c:v>126330230.36333689</c:v>
                </c:pt>
                <c:pt idx="186">
                  <c:v>145739406.87609884</c:v>
                </c:pt>
                <c:pt idx="187">
                  <c:v>134455877.48007083</c:v>
                </c:pt>
                <c:pt idx="188">
                  <c:v>122480765.87120661</c:v>
                </c:pt>
                <c:pt idx="189">
                  <c:v>121368300.3896172</c:v>
                </c:pt>
                <c:pt idx="190">
                  <c:v>124184964.57987577</c:v>
                </c:pt>
                <c:pt idx="191">
                  <c:v>129259031.86752725</c:v>
                </c:pt>
                <c:pt idx="192">
                  <c:v>131303686.29481696</c:v>
                </c:pt>
                <c:pt idx="193">
                  <c:v>124298772.14367996</c:v>
                </c:pt>
                <c:pt idx="194">
                  <c:v>124393134.50082317</c:v>
                </c:pt>
                <c:pt idx="195">
                  <c:v>119686732.88472262</c:v>
                </c:pt>
                <c:pt idx="196">
                  <c:v>123012404.49589892</c:v>
                </c:pt>
                <c:pt idx="197">
                  <c:v>129029667.27223361</c:v>
                </c:pt>
                <c:pt idx="198">
                  <c:v>140828727.67246106</c:v>
                </c:pt>
                <c:pt idx="199">
                  <c:v>130543639.16240814</c:v>
                </c:pt>
                <c:pt idx="200">
                  <c:v>115181804.33833902</c:v>
                </c:pt>
                <c:pt idx="201">
                  <c:v>121667275.9697549</c:v>
                </c:pt>
                <c:pt idx="202">
                  <c:v>125257125.04153003</c:v>
                </c:pt>
                <c:pt idx="203">
                  <c:v>126318144.94155149</c:v>
                </c:pt>
                <c:pt idx="204">
                  <c:v>135291995.25045934</c:v>
                </c:pt>
                <c:pt idx="205">
                  <c:v>123663288.1971239</c:v>
                </c:pt>
                <c:pt idx="206">
                  <c:v>127031836.64387827</c:v>
                </c:pt>
                <c:pt idx="207">
                  <c:v>124105129.70400552</c:v>
                </c:pt>
                <c:pt idx="208">
                  <c:v>123966754.02334271</c:v>
                </c:pt>
                <c:pt idx="209">
                  <c:v>125090715.02724688</c:v>
                </c:pt>
                <c:pt idx="210">
                  <c:v>135669135.28964463</c:v>
                </c:pt>
                <c:pt idx="211">
                  <c:v>129853401.40072535</c:v>
                </c:pt>
                <c:pt idx="212">
                  <c:v>119242436.51127879</c:v>
                </c:pt>
                <c:pt idx="213">
                  <c:v>125305954.63413404</c:v>
                </c:pt>
                <c:pt idx="214">
                  <c:v>125253715.70230119</c:v>
                </c:pt>
                <c:pt idx="215">
                  <c:v>131131351.20586579</c:v>
                </c:pt>
                <c:pt idx="216">
                  <c:v>136537438.7556479</c:v>
                </c:pt>
                <c:pt idx="217">
                  <c:v>124716175.68198387</c:v>
                </c:pt>
                <c:pt idx="218">
                  <c:v>129537171.07099174</c:v>
                </c:pt>
                <c:pt idx="219">
                  <c:v>121482899.22304429</c:v>
                </c:pt>
                <c:pt idx="220">
                  <c:v>122796970.48463492</c:v>
                </c:pt>
                <c:pt idx="221">
                  <c:v>127018381.39337464</c:v>
                </c:pt>
                <c:pt idx="222">
                  <c:v>135759242.67286175</c:v>
                </c:pt>
                <c:pt idx="223">
                  <c:v>128105949.8010319</c:v>
                </c:pt>
                <c:pt idx="224">
                  <c:v>120592434.81642087</c:v>
                </c:pt>
                <c:pt idx="225">
                  <c:v>124818393.95636545</c:v>
                </c:pt>
                <c:pt idx="226">
                  <c:v>121283593.07903998</c:v>
                </c:pt>
                <c:pt idx="227">
                  <c:v>131903681.45002215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4385664"/>
        <c:axId val="209257600"/>
      </c:lineChart>
      <c:dateAx>
        <c:axId val="204385664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crossAx val="209257600"/>
        <c:crosses val="autoZero"/>
        <c:auto val="1"/>
        <c:lblOffset val="100"/>
        <c:baseTimeUnit val="months"/>
      </c:dateAx>
      <c:valAx>
        <c:axId val="209257600"/>
        <c:scaling>
          <c:orientation val="minMax"/>
        </c:scaling>
        <c:delete val="0"/>
        <c:axPos val="l"/>
        <c:majorGridlines/>
        <c:numFmt formatCode="#,##0_);\(#,##0\)" sourceLinked="1"/>
        <c:majorTickMark val="out"/>
        <c:minorTickMark val="none"/>
        <c:tickLblPos val="nextTo"/>
        <c:crossAx val="20438566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9557723325138874"/>
          <c:y val="3.1012026109562871E-2"/>
          <c:w val="0.20442276674861132"/>
          <c:h val="0.13037474828710544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24</xdr:row>
      <xdr:rowOff>57150</xdr:rowOff>
    </xdr:from>
    <xdr:to>
      <xdr:col>15</xdr:col>
      <xdr:colOff>114300</xdr:colOff>
      <xdr:row>43</xdr:row>
      <xdr:rowOff>76200</xdr:rowOff>
    </xdr:to>
    <xdr:graphicFrame macro="">
      <xdr:nvGraphicFramePr>
        <xdr:cNvPr id="4281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357186</xdr:colOff>
      <xdr:row>46</xdr:row>
      <xdr:rowOff>76199</xdr:rowOff>
    </xdr:from>
    <xdr:to>
      <xdr:col>15</xdr:col>
      <xdr:colOff>514349</xdr:colOff>
      <xdr:row>70</xdr:row>
      <xdr:rowOff>9524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BBacon\My%20Documents\Norfolk\2011%20Rates\Evidence\Documents%20and%20Settings\dg\Desktop\Dummy%20File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CCalhoun\Local%20Settings\Temporary%20Internet%20Files\Content.Outlook\EIW673TU\eng-daily-01012012-12312012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OEB%20Rate%20Applications\2014%20COS%20Rate%20Rebasing\Working%20Models%20April%202013\Loblaws%20historical%20for%20Grant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Load%20Forecast\Prorated%20Usage\StreetLights_AUS(1)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CCalhoun\Local%20Settings\Temporary%20Internet%20Files\Content.Outlook\EIW673TU\Customer%20Model%20Inputs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OEB%20Rate%20Applications/2014%20COS%20Rate%20Rebasing/Exhibit%203/Load%20Forecast/Load%20Forecast%20July%202_2013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OEB%20Rate%20Applications/2014%20COS%20Rate%20Rebasing/Interrogatories%20and%20background/Issue%208%20Load%20Forecast,%20Cost%20Allocation,%20Rate%20Design/8.5-Staff-31/Updated%20LV%20charges%202013%20and%202014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CE/Regulatory%20Filings/OEB%20RRR%20and%20USoA%20Filing/2012%20Filing/2012%20Qtr%20%231_OEB%202%201%203_Usage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CE/Regulatory%20Filings/OEB%20RRR%20and%20USoA%20Filing/2012%20Filing/2012%20Qtr%20%232_OEB%202%201%203_Usage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CE/Regulatory%20Filings/OEB%20RRR%20and%20USoA%20Filing/2012%20Filing/2012%20Qtr%20%233_OEB%202%201%203_Usag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dg\Desktop\Dummy%20Fil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CCalhoun\Local%20Settings\Temporary%20Internet%20Files\Content.Outlook\EIW673TU\Documents%20and%20Settings\dferraro\Local%20Settings\Temporary%20Internet%20Files\OLKB\Dummy%20Fil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BBacon\My%20Documents\Norfolk\2011%20Rates\Evidence\LDC%20FTY%20-%20LF\CostAllocation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LDC%20FTY%20-%20LF\CostAllocation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CCalhoun\Local%20Settings\Temporary%20Internet%20Files\Content.Outlook\EIW673TU\Energy%20Model%20Consumption%20Inputs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CCalhoun\Local%20Settings\Temporary%20Internet%20Files\Content.Outlook\EIW673TU\eng-daily-01012010-12312010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CCalhoun\Local%20Settings\Temporary%20Internet%20Files\Content.Outlook\EIW673TU\eng-daily-01012010-12312010%20part%20b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CCalhoun\Local%20Settings\Temporary%20Internet%20Files\Content.Outlook\EIW673TU\eng-daily-01012011-1231201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ummy File"/>
    </sheetNames>
    <sheetDataSet>
      <sheetData sheetId="0" refreshError="1"/>
      <sheetData sheetId="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g-daily-01012012-12312012"/>
    </sheetNames>
    <sheetDataSet>
      <sheetData sheetId="0" refreshError="1">
        <row r="56">
          <cell r="M56">
            <v>657.30000000000007</v>
          </cell>
          <cell r="O56">
            <v>0</v>
          </cell>
        </row>
        <row r="85">
          <cell r="M85">
            <v>573</v>
          </cell>
          <cell r="O85">
            <v>0</v>
          </cell>
        </row>
        <row r="116">
          <cell r="M116">
            <v>370.1</v>
          </cell>
          <cell r="O116">
            <v>0</v>
          </cell>
        </row>
        <row r="146">
          <cell r="M146">
            <v>365.3</v>
          </cell>
          <cell r="O146">
            <v>0</v>
          </cell>
        </row>
        <row r="177">
          <cell r="M177">
            <v>103.8</v>
          </cell>
          <cell r="O177">
            <v>18.2</v>
          </cell>
        </row>
        <row r="207">
          <cell r="M207">
            <v>42.100000000000009</v>
          </cell>
          <cell r="O207">
            <v>61.199999999999996</v>
          </cell>
        </row>
        <row r="238">
          <cell r="M238">
            <v>0</v>
          </cell>
          <cell r="O238">
            <v>116.40000000000002</v>
          </cell>
        </row>
        <row r="269">
          <cell r="M269">
            <v>19.400000000000002</v>
          </cell>
          <cell r="O269">
            <v>58.100000000000009</v>
          </cell>
        </row>
        <row r="299">
          <cell r="M299">
            <v>125.40000000000002</v>
          </cell>
          <cell r="O299">
            <v>16.399999999999999</v>
          </cell>
        </row>
        <row r="330">
          <cell r="M330">
            <v>279.2</v>
          </cell>
          <cell r="O330">
            <v>0</v>
          </cell>
        </row>
        <row r="360">
          <cell r="M360">
            <v>483.60000000000014</v>
          </cell>
          <cell r="O360">
            <v>0</v>
          </cell>
        </row>
        <row r="391">
          <cell r="M391">
            <v>565.50000000000011</v>
          </cell>
          <cell r="O391">
            <v>0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sage_"/>
      <sheetName val="Demand_billed"/>
      <sheetName val="Generation_2011"/>
      <sheetName val="LPC_Charges"/>
    </sheetNames>
    <sheetDataSet>
      <sheetData sheetId="0">
        <row r="3">
          <cell r="E3">
            <v>13550806.09</v>
          </cell>
          <cell r="F3">
            <v>13905906.889999999</v>
          </cell>
          <cell r="G3">
            <v>13508859.07</v>
          </cell>
          <cell r="H3">
            <v>13331163.18</v>
          </cell>
          <cell r="I3">
            <v>13270243.390000001</v>
          </cell>
          <cell r="J3">
            <v>13158880.130000001</v>
          </cell>
          <cell r="K3">
            <v>12901290.960000001</v>
          </cell>
        </row>
        <row r="4">
          <cell r="E4">
            <v>31901849.100000001</v>
          </cell>
          <cell r="F4">
            <v>23278781.600000001</v>
          </cell>
        </row>
        <row r="5">
          <cell r="F5">
            <v>9569052.4499999993</v>
          </cell>
          <cell r="G5">
            <v>30287887.399999999</v>
          </cell>
          <cell r="H5">
            <v>29875614.350000001</v>
          </cell>
          <cell r="I5">
            <v>29666589.699999999</v>
          </cell>
          <cell r="J5">
            <v>29612962.699999999</v>
          </cell>
          <cell r="K5">
            <v>29858703.309999999</v>
          </cell>
        </row>
        <row r="13">
          <cell r="E13">
            <v>45452655.189999998</v>
          </cell>
          <cell r="F13">
            <v>46753740.940000005</v>
          </cell>
          <cell r="G13">
            <v>43796746.469999999</v>
          </cell>
          <cell r="H13">
            <v>43206777.520000003</v>
          </cell>
          <cell r="I13">
            <v>42936833.090000004</v>
          </cell>
          <cell r="J13">
            <v>42771842.82</v>
          </cell>
          <cell r="K13">
            <v>42759994.270000003</v>
          </cell>
        </row>
      </sheetData>
      <sheetData sheetId="1">
        <row r="26">
          <cell r="F26">
            <v>81650.759999999995</v>
          </cell>
          <cell r="G26">
            <v>81847.960000000006</v>
          </cell>
          <cell r="H26">
            <v>75928.2</v>
          </cell>
          <cell r="I26">
            <v>73037.789999999994</v>
          </cell>
          <cell r="J26">
            <v>72484.789999999994</v>
          </cell>
          <cell r="K26">
            <v>72913.429999999993</v>
          </cell>
          <cell r="L26">
            <v>73441.350000000006</v>
          </cell>
        </row>
      </sheetData>
      <sheetData sheetId="2"/>
      <sheetData sheetId="3">
        <row r="56">
          <cell r="B56">
            <v>146551.17801061622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1"/>
      <sheetName val="Sheet1"/>
    </sheetNames>
    <sheetDataSet>
      <sheetData sheetId="0"/>
      <sheetData sheetId="1">
        <row r="16">
          <cell r="E16">
            <v>12526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# of Customers"/>
      <sheetName val="Sheet 2"/>
      <sheetName val="Sheet 3"/>
    </sheetNames>
    <sheetDataSet>
      <sheetData sheetId="0" refreshError="1">
        <row r="2">
          <cell r="B2">
            <v>45526</v>
          </cell>
          <cell r="C2">
            <v>4627</v>
          </cell>
          <cell r="D2">
            <v>707</v>
          </cell>
          <cell r="E2">
            <v>27</v>
          </cell>
          <cell r="F2">
            <v>2</v>
          </cell>
          <cell r="G2">
            <v>12591</v>
          </cell>
          <cell r="H2">
            <v>537</v>
          </cell>
          <cell r="I2">
            <v>2</v>
          </cell>
        </row>
        <row r="3">
          <cell r="B3">
            <v>46035</v>
          </cell>
          <cell r="C3">
            <v>4632</v>
          </cell>
          <cell r="D3">
            <v>740</v>
          </cell>
          <cell r="E3">
            <v>29</v>
          </cell>
          <cell r="F3">
            <v>3</v>
          </cell>
          <cell r="G3">
            <v>12656</v>
          </cell>
          <cell r="H3">
            <v>492</v>
          </cell>
          <cell r="I3">
            <v>2</v>
          </cell>
        </row>
        <row r="4">
          <cell r="B4">
            <v>46532</v>
          </cell>
          <cell r="C4">
            <v>4690</v>
          </cell>
          <cell r="D4">
            <v>733</v>
          </cell>
          <cell r="E4">
            <v>25</v>
          </cell>
          <cell r="F4">
            <v>3</v>
          </cell>
          <cell r="G4">
            <v>12788</v>
          </cell>
          <cell r="H4">
            <v>489</v>
          </cell>
          <cell r="I4">
            <v>2</v>
          </cell>
        </row>
      </sheetData>
      <sheetData sheetId="1" refreshError="1"/>
      <sheetData sheetId="2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ph"/>
      <sheetName val="Exibit 3 Tables"/>
      <sheetName val="Summary"/>
      <sheetName val="Purchased Power Model"/>
      <sheetName val="Rate Class Energy Model"/>
      <sheetName val="Rate Class Customer Model"/>
      <sheetName val="Rate Class Load Model"/>
      <sheetName val="CDM Activity"/>
      <sheetName val="HDD and CDD"/>
      <sheetName val="Weather Analysis "/>
      <sheetName val="2013 COP Forecast"/>
      <sheetName val="2014 COP Forecast"/>
      <sheetName val="2013 COP Forecast JAN 2014"/>
      <sheetName val="2014 COP Forecast JAN 2014"/>
    </sheetNames>
    <sheetDataSet>
      <sheetData sheetId="0"/>
      <sheetData sheetId="1"/>
      <sheetData sheetId="2"/>
      <sheetData sheetId="3"/>
      <sheetData sheetId="4">
        <row r="2">
          <cell r="H2" t="str">
            <v xml:space="preserve">Residential </v>
          </cell>
          <cell r="I2" t="str">
            <v>General Service &lt; 50 kW</v>
          </cell>
          <cell r="J2" t="str">
            <v>General Service &gt; 50 to 999 kW</v>
          </cell>
          <cell r="K2" t="str">
            <v>General Service &gt; 1000 to 4999 kW</v>
          </cell>
        </row>
      </sheetData>
      <sheetData sheetId="5">
        <row r="2">
          <cell r="F2" t="str">
            <v>Large User</v>
          </cell>
          <cell r="H2" t="str">
            <v>Street Lights</v>
          </cell>
          <cell r="I2" t="str">
            <v xml:space="preserve">Unmetered Loads </v>
          </cell>
          <cell r="J2" t="str">
            <v>Embedded Distributors - Hydro One</v>
          </cell>
        </row>
      </sheetData>
      <sheetData sheetId="6"/>
      <sheetData sheetId="7"/>
      <sheetData sheetId="8"/>
      <sheetData sheetId="9"/>
      <sheetData sheetId="10">
        <row r="94">
          <cell r="C94">
            <v>101361.12</v>
          </cell>
        </row>
      </sheetData>
      <sheetData sheetId="11"/>
      <sheetData sheetId="12"/>
      <sheetData sheetId="13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posed 2014 LV"/>
      <sheetName val="2013 Actual LV"/>
      <sheetName val="Historical LV Charges"/>
    </sheetNames>
    <sheetDataSet>
      <sheetData sheetId="0"/>
      <sheetData sheetId="1">
        <row r="18">
          <cell r="K18">
            <v>173822.49072</v>
          </cell>
        </row>
      </sheetData>
      <sheetData sheetId="2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 TOTAL"/>
      <sheetName val="GENERAL(SSS)"/>
      <sheetName val="BULLFROG(B)"/>
      <sheetName val="SUMMITT(C)"/>
      <sheetName val="CANADA(D)"/>
      <sheetName val="UNIVERSAL(E)"/>
      <sheetName val="SUPERIOR(F)"/>
      <sheetName val="ECNG(I)"/>
      <sheetName val="JUST(K)"/>
      <sheetName val="SPI(M)"/>
      <sheetName val="SHELL(N)"/>
      <sheetName val="CNE(O)"/>
      <sheetName val="DIRECT(P)"/>
      <sheetName val="PLANET(R)"/>
      <sheetName val="AEGENT(S)"/>
      <sheetName val="COMSATEC(T)"/>
      <sheetName val="AG(U)"/>
      <sheetName val="BLUE POWER(W)"/>
      <sheetName val="BRUCE POWER "/>
      <sheetName val="kwh Usage"/>
      <sheetName val="kw Usage"/>
      <sheetName val="Sheet1"/>
    </sheetNames>
    <sheetDataSet>
      <sheetData sheetId="0">
        <row r="8">
          <cell r="B8">
            <v>110939007.22999999</v>
          </cell>
          <cell r="F8">
            <v>101229477.84999999</v>
          </cell>
        </row>
        <row r="11">
          <cell r="B11">
            <v>42619609.649999991</v>
          </cell>
          <cell r="F11">
            <v>36847512.509999998</v>
          </cell>
        </row>
        <row r="12">
          <cell r="B12">
            <v>115759674.95</v>
          </cell>
          <cell r="F12">
            <v>38912994.090000004</v>
          </cell>
        </row>
        <row r="15">
          <cell r="B15">
            <v>61297242.899999999</v>
          </cell>
          <cell r="F15">
            <v>0</v>
          </cell>
        </row>
        <row r="18">
          <cell r="B18">
            <v>54778048.57</v>
          </cell>
          <cell r="F18">
            <v>0</v>
          </cell>
        </row>
        <row r="21">
          <cell r="B21">
            <v>2985558.38</v>
          </cell>
          <cell r="F21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53">
          <cell r="D53">
            <v>503151</v>
          </cell>
        </row>
        <row r="54">
          <cell r="D54">
            <v>14390.16</v>
          </cell>
        </row>
        <row r="55">
          <cell r="D55">
            <v>1005</v>
          </cell>
        </row>
        <row r="56">
          <cell r="D56">
            <v>28.74</v>
          </cell>
        </row>
      </sheetData>
      <sheetData sheetId="20"/>
      <sheetData sheetId="2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 TOTAL"/>
      <sheetName val="GENERAL(SSS)"/>
      <sheetName val="BULLFROG(B)"/>
      <sheetName val="SUMMITT(C)"/>
      <sheetName val="CANADA(D)"/>
      <sheetName val="UNIVERSAL(E)"/>
      <sheetName val="SUPERIOR(F)"/>
      <sheetName val="ECNG(I)"/>
      <sheetName val="JUST(K)"/>
      <sheetName val="SPI(M)"/>
      <sheetName val="SHELL(N)"/>
      <sheetName val="CNE(O)"/>
      <sheetName val="DIRECT(P)"/>
      <sheetName val="PLANET(R)"/>
      <sheetName val="AEGENT(S)"/>
      <sheetName val="COMSATEC(T)"/>
      <sheetName val="AG(U)"/>
      <sheetName val="BLUE POWER(W)"/>
      <sheetName val="BRUCE POWER "/>
      <sheetName val="kwh Usage"/>
      <sheetName val="kw Usage"/>
      <sheetName val="Sheet1"/>
    </sheetNames>
    <sheetDataSet>
      <sheetData sheetId="0">
        <row r="8">
          <cell r="B8">
            <v>88276071.399999991</v>
          </cell>
          <cell r="F8">
            <v>81040744.50999999</v>
          </cell>
        </row>
        <row r="11">
          <cell r="B11">
            <v>39259652.959999993</v>
          </cell>
          <cell r="F11">
            <v>33429182.27</v>
          </cell>
        </row>
        <row r="12">
          <cell r="B12">
            <v>112746716.67</v>
          </cell>
          <cell r="F12">
            <v>36876894.390000001</v>
          </cell>
        </row>
        <row r="15">
          <cell r="B15">
            <v>61682817.809999995</v>
          </cell>
          <cell r="F15">
            <v>0</v>
          </cell>
        </row>
        <row r="18">
          <cell r="B18">
            <v>50986244.32</v>
          </cell>
          <cell r="F18">
            <v>0</v>
          </cell>
        </row>
        <row r="21">
          <cell r="B21">
            <v>2241543.73</v>
          </cell>
          <cell r="F21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53">
          <cell r="D53">
            <v>501298.9</v>
          </cell>
        </row>
        <row r="54">
          <cell r="D54">
            <v>14337.15</v>
          </cell>
        </row>
        <row r="55">
          <cell r="D55">
            <v>1005</v>
          </cell>
        </row>
        <row r="56">
          <cell r="D56">
            <v>28.74</v>
          </cell>
        </row>
      </sheetData>
      <sheetData sheetId="20"/>
      <sheetData sheetId="2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 TOTAL"/>
      <sheetName val="GENERAL(SSS)"/>
      <sheetName val="BULLFROG(B)"/>
      <sheetName val="SUMMITT(C)"/>
      <sheetName val="CANADA(D)"/>
      <sheetName val="HUDSON"/>
      <sheetName val="SUPERIOR(F)"/>
      <sheetName val="ECNG(I)"/>
      <sheetName val="JUST(K)"/>
      <sheetName val="ACTIVE "/>
      <sheetName val="SHELL(N)"/>
      <sheetName val="CNE(O)"/>
      <sheetName val="DIRECT(P)"/>
      <sheetName val="PLANET(R)"/>
      <sheetName val="AEGENT(S)"/>
      <sheetName val="COMSATEC(T)"/>
      <sheetName val="AG(U)"/>
      <sheetName val="BLUE POWER(W)"/>
      <sheetName val="BRUCE POWER "/>
      <sheetName val="kwh Usage"/>
      <sheetName val="kw Usage"/>
      <sheetName val="Sheet1"/>
    </sheetNames>
    <sheetDataSet>
      <sheetData sheetId="0">
        <row r="8">
          <cell r="B8">
            <v>115217369.28999999</v>
          </cell>
          <cell r="F8">
            <v>106571698.25999999</v>
          </cell>
        </row>
        <row r="11">
          <cell r="B11">
            <v>42107087.520000003</v>
          </cell>
          <cell r="F11">
            <v>36057464.859999999</v>
          </cell>
        </row>
        <row r="12">
          <cell r="B12">
            <v>120120617.00999999</v>
          </cell>
          <cell r="F12">
            <v>39771002.689999998</v>
          </cell>
        </row>
        <row r="15">
          <cell r="B15">
            <v>64370132.230000004</v>
          </cell>
          <cell r="F15">
            <v>0</v>
          </cell>
        </row>
        <row r="18">
          <cell r="B18">
            <v>54192994.75</v>
          </cell>
          <cell r="F18">
            <v>0</v>
          </cell>
        </row>
        <row r="21">
          <cell r="B21">
            <v>1958788.23</v>
          </cell>
          <cell r="F21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53">
          <cell r="D53">
            <v>500703</v>
          </cell>
        </row>
        <row r="54">
          <cell r="D54">
            <v>14320.14</v>
          </cell>
        </row>
        <row r="55">
          <cell r="D55">
            <v>1005</v>
          </cell>
        </row>
        <row r="56">
          <cell r="D56">
            <v>28.74</v>
          </cell>
        </row>
      </sheetData>
      <sheetData sheetId="20"/>
      <sheetData sheetId="2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ummy File"/>
    </sheetNames>
    <sheetDataSet>
      <sheetData sheetId="0"/>
      <sheetData sheetId="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ummy File"/>
    </sheetNames>
    <sheetDataSet>
      <sheetData sheetId="0" refreshError="1"/>
      <sheetData sheetId="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ClassRevenues"/>
      <sheetName val="ExistingRatesDetails"/>
      <sheetName val="ExistingRatesSummary"/>
      <sheetName val="LoadForecastDetails"/>
      <sheetName val="LoadForecastSummary"/>
      <sheetName val="Refs"/>
    </sheetNames>
    <sheetDataSet>
      <sheetData sheetId="0" refreshError="1">
        <row r="8">
          <cell r="C8" t="str">
            <v>C:\Documents and Settings\jcochrane.ERA-INC\My Documents\2008EDR\FTYv1.3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2">
          <cell r="B2" t="str">
            <v>Horizon_Utilities_Corporation_Detailed_CA_model_Run2.xls</v>
          </cell>
        </row>
        <row r="3">
          <cell r="B3" t="str">
            <v>'[Horizon_Utilities_Corporation_Detailed_CA_model_Run2.xls]I2 LDC class'!$C:$G</v>
          </cell>
        </row>
        <row r="4">
          <cell r="B4" t="str">
            <v>'[Horizon_Utilities_Corporation_Detailed_CA_model_Run2.xls]O1 Revenue to cost|RR'!$D$17:$W$17</v>
          </cell>
        </row>
        <row r="5">
          <cell r="B5" t="str">
            <v>Revenue Requirement (includes NI)</v>
          </cell>
        </row>
        <row r="6">
          <cell r="B6">
            <v>92033309.222477198</v>
          </cell>
        </row>
        <row r="7">
          <cell r="B7" t="str">
            <v>'[Horizon_Utilities_Corporation_Detailed_CA_model_Run2.xls]O1 Revenue to cost|RR'!$B:$W</v>
          </cell>
        </row>
        <row r="8">
          <cell r="B8">
            <v>498976676.05552793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ClassRevenues"/>
      <sheetName val="ExistingRatesDetails"/>
      <sheetName val="ExistingRatesSummary"/>
      <sheetName val="LoadForecastDetails"/>
      <sheetName val="LoadForecastSummary"/>
      <sheetName val="Refs"/>
    </sheetNames>
    <sheetDataSet>
      <sheetData sheetId="0" refreshError="1">
        <row r="8">
          <cell r="C8" t="str">
            <v>C:\Documents and Settings\jcochrane.ERA-INC\My Documents\2008EDR\FTYv1.3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2">
          <cell r="B2" t="str">
            <v>Horizon_Utilities_Corporation_Detailed_CA_model_Run2.xls</v>
          </cell>
        </row>
        <row r="3">
          <cell r="B3" t="str">
            <v>'[Horizon_Utilities_Corporation_Detailed_CA_model_Run2.xls]I2 LDC class'!$C:$G</v>
          </cell>
        </row>
        <row r="4">
          <cell r="B4" t="str">
            <v>'[Horizon_Utilities_Corporation_Detailed_CA_model_Run2.xls]O1 Revenue to cost|RR'!$D$17:$W$17</v>
          </cell>
        </row>
        <row r="5">
          <cell r="B5" t="str">
            <v>Revenue Requirement (includes NI)</v>
          </cell>
        </row>
        <row r="6">
          <cell r="B6">
            <v>92033309.222477198</v>
          </cell>
        </row>
        <row r="7">
          <cell r="B7" t="str">
            <v>'[Horizon_Utilities_Corporation_Detailed_CA_model_Run2.xls]O1 Revenue to cost|RR'!$B:$W</v>
          </cell>
        </row>
        <row r="8">
          <cell r="B8">
            <v>498976676.05552793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2"/>
      <sheetName val="2011"/>
      <sheetName val="2009"/>
      <sheetName val="2010"/>
      <sheetName val="2011_V2"/>
      <sheetName val="2012_V2"/>
      <sheetName val="Purchases"/>
    </sheetNames>
    <sheetDataSet>
      <sheetData sheetId="0" refreshError="1"/>
      <sheetData sheetId="1" refreshError="1"/>
      <sheetData sheetId="2" refreshError="1">
        <row r="15">
          <cell r="B15">
            <v>379582713.77996522</v>
          </cell>
          <cell r="C15">
            <v>160300294.19006816</v>
          </cell>
          <cell r="D15">
            <v>445793129.97929555</v>
          </cell>
          <cell r="E15">
            <v>222878299.67998713</v>
          </cell>
          <cell r="F15">
            <v>180679078.79999399</v>
          </cell>
          <cell r="G15">
            <v>9470530.1599761229</v>
          </cell>
          <cell r="H15">
            <v>2135656.9424311616</v>
          </cell>
          <cell r="L15">
            <v>13624264.42</v>
          </cell>
        </row>
        <row r="31">
          <cell r="B31">
            <v>1337289.374367215</v>
          </cell>
          <cell r="C31">
            <v>530195.33860000013</v>
          </cell>
          <cell r="D31">
            <v>411895.9939</v>
          </cell>
          <cell r="E31">
            <v>26450.66</v>
          </cell>
          <cell r="F31">
            <v>27009.021600000004</v>
          </cell>
          <cell r="G31">
            <v>80581.967535952397</v>
          </cell>
        </row>
      </sheetData>
      <sheetData sheetId="3" refreshError="1">
        <row r="15">
          <cell r="B15">
            <v>396266835.39498085</v>
          </cell>
          <cell r="C15">
            <v>163479892.81864908</v>
          </cell>
          <cell r="D15">
            <v>440022614.6330784</v>
          </cell>
          <cell r="E15">
            <v>251205555.85862434</v>
          </cell>
          <cell r="F15">
            <v>196557280.62270561</v>
          </cell>
          <cell r="G15">
            <v>9519205.9225450978</v>
          </cell>
          <cell r="H15">
            <v>2130241.9105078499</v>
          </cell>
          <cell r="L15">
            <v>13614985.119719518</v>
          </cell>
        </row>
        <row r="32">
          <cell r="B32">
            <v>1294863.0522035467</v>
          </cell>
          <cell r="C32">
            <v>570059.7252000001</v>
          </cell>
          <cell r="D32">
            <v>421436.3223</v>
          </cell>
          <cell r="E32">
            <v>26613.739999999998</v>
          </cell>
          <cell r="F32">
            <v>27708.199200000003</v>
          </cell>
          <cell r="G32">
            <v>73663.072638678961</v>
          </cell>
        </row>
      </sheetData>
      <sheetData sheetId="4" refreshError="1">
        <row r="14">
          <cell r="B14">
            <v>396556720.36740744</v>
          </cell>
          <cell r="C14">
            <v>158322069.2436029</v>
          </cell>
          <cell r="D14">
            <v>451064942.97214174</v>
          </cell>
          <cell r="E14">
            <v>250336227.32713026</v>
          </cell>
          <cell r="F14">
            <v>192474581.79186976</v>
          </cell>
          <cell r="G14">
            <v>9519485.5138937458</v>
          </cell>
          <cell r="H14">
            <v>2067610.5874618385</v>
          </cell>
          <cell r="L14">
            <v>13478593.744925424</v>
          </cell>
        </row>
        <row r="34">
          <cell r="B34">
            <v>1331831.0365679159</v>
          </cell>
          <cell r="C34">
            <v>582382.60674197262</v>
          </cell>
          <cell r="D34">
            <v>431698.85844270035</v>
          </cell>
          <cell r="E34">
            <v>26604.027249875653</v>
          </cell>
          <cell r="F34">
            <v>28171.38095313112</v>
          </cell>
          <cell r="G34">
            <v>78979.83257687786</v>
          </cell>
        </row>
      </sheetData>
      <sheetData sheetId="5" refreshError="1">
        <row r="15">
          <cell r="B15">
            <v>399587578.13183582</v>
          </cell>
          <cell r="C15">
            <v>158595034.3760052</v>
          </cell>
          <cell r="D15">
            <v>450952085.579036</v>
          </cell>
          <cell r="E15">
            <v>226229939.17028835</v>
          </cell>
          <cell r="F15">
            <v>233091354.3125</v>
          </cell>
          <cell r="G15">
            <v>9645171.1912231408</v>
          </cell>
          <cell r="H15">
            <v>2015389.596745051</v>
          </cell>
          <cell r="L15">
            <v>13008528.857421884</v>
          </cell>
        </row>
        <row r="32">
          <cell r="B32">
            <v>1350651.4097994231</v>
          </cell>
          <cell r="C32">
            <v>527946.7194752692</v>
          </cell>
          <cell r="D32">
            <v>483777.43670654291</v>
          </cell>
          <cell r="E32">
            <v>26876.159901697181</v>
          </cell>
          <cell r="F32">
            <v>29053.063102722168</v>
          </cell>
          <cell r="G32">
            <v>70981.98323059082</v>
          </cell>
        </row>
      </sheetData>
      <sheetData sheetId="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g-daily-01012010-12312010"/>
    </sheetNames>
    <sheetDataSet>
      <sheetData sheetId="0" refreshError="1">
        <row r="56">
          <cell r="M56">
            <v>727.0999999999998</v>
          </cell>
          <cell r="O56">
            <v>0</v>
          </cell>
        </row>
        <row r="85">
          <cell r="M85">
            <v>644.6999999999997</v>
          </cell>
          <cell r="O85">
            <v>0</v>
          </cell>
        </row>
        <row r="116">
          <cell r="M116">
            <v>470.90000000000003</v>
          </cell>
          <cell r="O116">
            <v>0</v>
          </cell>
        </row>
        <row r="146">
          <cell r="M146">
            <v>140.9</v>
          </cell>
          <cell r="O146">
            <v>0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g-daily-01012010-12312010 par"/>
    </sheetNames>
    <sheetDataSet>
      <sheetData sheetId="0" refreshError="1">
        <row r="146">
          <cell r="M146">
            <v>114.80000000000001</v>
          </cell>
          <cell r="O146">
            <v>0</v>
          </cell>
        </row>
        <row r="177">
          <cell r="M177">
            <v>144.69999999999999</v>
          </cell>
          <cell r="O177">
            <v>21</v>
          </cell>
        </row>
        <row r="207">
          <cell r="M207">
            <v>37.699999999999996</v>
          </cell>
          <cell r="O207">
            <v>26.800000000000004</v>
          </cell>
        </row>
        <row r="238">
          <cell r="M238">
            <v>6.7</v>
          </cell>
          <cell r="O238">
            <v>100.59999999999998</v>
          </cell>
        </row>
        <row r="269">
          <cell r="M269">
            <v>9.6999999999999993</v>
          </cell>
          <cell r="O269">
            <v>79.200000000000017</v>
          </cell>
        </row>
        <row r="299">
          <cell r="M299">
            <v>122.70000000000002</v>
          </cell>
          <cell r="O299">
            <v>16.7</v>
          </cell>
        </row>
        <row r="330">
          <cell r="M330">
            <v>279.59999999999997</v>
          </cell>
          <cell r="O330">
            <v>0</v>
          </cell>
        </row>
        <row r="360">
          <cell r="M360">
            <v>337.9</v>
          </cell>
          <cell r="O360">
            <v>0</v>
          </cell>
        </row>
        <row r="391">
          <cell r="M391">
            <v>719.39999999999986</v>
          </cell>
          <cell r="O391">
            <v>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g-daily-01012011-12312011"/>
    </sheetNames>
    <sheetDataSet>
      <sheetData sheetId="0" refreshError="1">
        <row r="56">
          <cell r="M56">
            <v>770.00000000000011</v>
          </cell>
          <cell r="O56">
            <v>0</v>
          </cell>
        </row>
        <row r="85">
          <cell r="M85">
            <v>640.80000000000007</v>
          </cell>
          <cell r="O85">
            <v>0</v>
          </cell>
        </row>
        <row r="116">
          <cell r="M116">
            <v>605.29999999999995</v>
          </cell>
          <cell r="O116">
            <v>0</v>
          </cell>
        </row>
        <row r="146">
          <cell r="M146">
            <v>298.69999999999993</v>
          </cell>
          <cell r="O146">
            <v>0</v>
          </cell>
        </row>
        <row r="177">
          <cell r="M177">
            <v>148.69999999999996</v>
          </cell>
          <cell r="O177">
            <v>13.2</v>
          </cell>
        </row>
        <row r="207">
          <cell r="M207">
            <v>48.500000000000007</v>
          </cell>
          <cell r="O207">
            <v>21.599999999999998</v>
          </cell>
        </row>
        <row r="238">
          <cell r="M238">
            <v>0.8</v>
          </cell>
          <cell r="O238">
            <v>128.19999999999999</v>
          </cell>
        </row>
        <row r="269">
          <cell r="M269">
            <v>6.8999999999999995</v>
          </cell>
          <cell r="O269">
            <v>54.3</v>
          </cell>
        </row>
        <row r="299">
          <cell r="M299">
            <v>88.9</v>
          </cell>
          <cell r="O299">
            <v>17.2</v>
          </cell>
        </row>
        <row r="330">
          <cell r="M330">
            <v>279.89999999999998</v>
          </cell>
          <cell r="O330">
            <v>0</v>
          </cell>
        </row>
        <row r="360">
          <cell r="M360">
            <v>382.4</v>
          </cell>
          <cell r="O360">
            <v>0</v>
          </cell>
        </row>
        <row r="391">
          <cell r="M391">
            <v>574.79999999999995</v>
          </cell>
          <cell r="O391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63"/>
  <sheetViews>
    <sheetView topLeftCell="A37" workbookViewId="0">
      <selection activeCell="Q50" sqref="Q50"/>
    </sheetView>
  </sheetViews>
  <sheetFormatPr defaultRowHeight="12.75" x14ac:dyDescent="0.2"/>
  <cols>
    <col min="1" max="1" width="10.42578125" customWidth="1"/>
    <col min="2" max="2" width="12" customWidth="1"/>
    <col min="3" max="3" width="16.140625" customWidth="1"/>
    <col min="4" max="4" width="12.7109375" customWidth="1"/>
  </cols>
  <sheetData>
    <row r="2" spans="1:3" x14ac:dyDescent="0.2">
      <c r="A2" s="18" t="s">
        <v>91</v>
      </c>
    </row>
    <row r="4" spans="1:3" x14ac:dyDescent="0.2">
      <c r="A4" s="306"/>
      <c r="B4" s="306" t="s">
        <v>93</v>
      </c>
      <c r="C4" s="105" t="s">
        <v>94</v>
      </c>
    </row>
    <row r="5" spans="1:3" x14ac:dyDescent="0.2">
      <c r="A5" s="306"/>
      <c r="B5" s="306"/>
      <c r="C5" s="306"/>
    </row>
    <row r="6" spans="1:3" x14ac:dyDescent="0.2">
      <c r="A6" s="306">
        <v>1996</v>
      </c>
      <c r="B6" s="307">
        <f>'Purchased Power Model'!B234/1000000</f>
        <v>1126.778593</v>
      </c>
      <c r="C6" s="307">
        <f>'Purchased Power Model'!N234/1000000</f>
        <v>1160.636229055681</v>
      </c>
    </row>
    <row r="7" spans="1:3" x14ac:dyDescent="0.2">
      <c r="A7" s="306">
        <v>1997</v>
      </c>
      <c r="B7" s="307">
        <f>'Purchased Power Model'!B235/1000000</f>
        <v>1202.822244</v>
      </c>
      <c r="C7" s="307">
        <f>'Purchased Power Model'!N235/1000000</f>
        <v>1199.6381919534881</v>
      </c>
    </row>
    <row r="8" spans="1:3" x14ac:dyDescent="0.2">
      <c r="A8" s="306">
        <v>1998</v>
      </c>
      <c r="B8" s="307">
        <f>'Purchased Power Model'!B236/1000000</f>
        <v>1272.5511570000001</v>
      </c>
      <c r="C8" s="307">
        <f>'Purchased Power Model'!N236/1000000</f>
        <v>1275.6438952985011</v>
      </c>
    </row>
    <row r="9" spans="1:3" x14ac:dyDescent="0.2">
      <c r="A9" s="306">
        <v>1999</v>
      </c>
      <c r="B9" s="307">
        <f>'Purchased Power Model'!B237/1000000</f>
        <v>1350.8153901000001</v>
      </c>
      <c r="C9" s="307">
        <f>'Purchased Power Model'!N237/1000000</f>
        <v>1379.2139670884619</v>
      </c>
    </row>
    <row r="10" spans="1:3" x14ac:dyDescent="0.2">
      <c r="A10" s="306">
        <v>2000</v>
      </c>
      <c r="B10" s="307">
        <f>'Purchased Power Model'!B238/1000000</f>
        <v>1392.1735917999999</v>
      </c>
      <c r="C10" s="307">
        <f>'Purchased Power Model'!N238/1000000</f>
        <v>1382.0395336418392</v>
      </c>
    </row>
    <row r="11" spans="1:3" x14ac:dyDescent="0.2">
      <c r="A11" s="306">
        <v>2001</v>
      </c>
      <c r="B11" s="307">
        <f>'Purchased Power Model'!B239/1000000</f>
        <v>1420.9777300000001</v>
      </c>
      <c r="C11" s="307">
        <f>'Purchased Power Model'!N239/1000000</f>
        <v>1416.5904032563885</v>
      </c>
    </row>
    <row r="12" spans="1:3" x14ac:dyDescent="0.2">
      <c r="A12" s="306">
        <v>2002</v>
      </c>
      <c r="B12" s="307">
        <f>'Purchased Power Model'!B240/1000000</f>
        <v>1519.1447559999999</v>
      </c>
      <c r="C12" s="307">
        <f>'Purchased Power Model'!N240/1000000</f>
        <v>1470.5755136215623</v>
      </c>
    </row>
    <row r="13" spans="1:3" x14ac:dyDescent="0.2">
      <c r="A13" s="306">
        <v>2003</v>
      </c>
      <c r="B13" s="307">
        <f>'Purchased Power Model'!B241/1000000</f>
        <v>1523.7175299999999</v>
      </c>
      <c r="C13" s="307">
        <f>'Purchased Power Model'!N241/1000000</f>
        <v>1500.8532652510455</v>
      </c>
    </row>
    <row r="14" spans="1:3" x14ac:dyDescent="0.2">
      <c r="A14" s="306">
        <v>2004</v>
      </c>
      <c r="B14" s="307">
        <f>'Purchased Power Model'!B242/1000000</f>
        <v>1570.4059299999999</v>
      </c>
      <c r="C14" s="307">
        <f>'Purchased Power Model'!N242/1000000</f>
        <v>1539.3780982646749</v>
      </c>
    </row>
    <row r="15" spans="1:3" x14ac:dyDescent="0.2">
      <c r="A15" s="306">
        <v>2005</v>
      </c>
      <c r="B15" s="307">
        <f>'Purchased Power Model'!B243/1000000</f>
        <v>1640.988662</v>
      </c>
      <c r="C15" s="307">
        <f>'Purchased Power Model'!N243/1000000</f>
        <v>1627.2379810482955</v>
      </c>
    </row>
    <row r="16" spans="1:3" x14ac:dyDescent="0.2">
      <c r="A16" s="306">
        <v>2006</v>
      </c>
      <c r="B16" s="307">
        <f>'Purchased Power Model'!B244/1000000</f>
        <v>1599.360044</v>
      </c>
      <c r="C16" s="307">
        <f>'Purchased Power Model'!N244/1000000</f>
        <v>1634.0262223421594</v>
      </c>
    </row>
    <row r="17" spans="1:3" x14ac:dyDescent="0.2">
      <c r="A17" s="306">
        <v>2007</v>
      </c>
      <c r="B17" s="307">
        <f>'Purchased Power Model'!B245/1000000</f>
        <v>1609.193923</v>
      </c>
      <c r="C17" s="307">
        <f>'Purchased Power Model'!N245/1000000</f>
        <v>1622.7973186380689</v>
      </c>
    </row>
    <row r="18" spans="1:3" x14ac:dyDescent="0.2">
      <c r="A18" s="306">
        <v>2008</v>
      </c>
      <c r="B18" s="307">
        <f>'Purchased Power Model'!B246/1000000</f>
        <v>1557.5232289999999</v>
      </c>
      <c r="C18" s="307">
        <f>'Purchased Power Model'!N246/1000000</f>
        <v>1601.223664943572</v>
      </c>
    </row>
    <row r="19" spans="1:3" x14ac:dyDescent="0.2">
      <c r="A19" s="306">
        <v>2009</v>
      </c>
      <c r="B19" s="307">
        <f>'Purchased Power Model'!B247/1000000</f>
        <v>1450.354846</v>
      </c>
      <c r="C19" s="307">
        <f>'Purchased Power Model'!N247/1000000</f>
        <v>1444.4593689156191</v>
      </c>
    </row>
    <row r="20" spans="1:3" x14ac:dyDescent="0.2">
      <c r="A20" s="306">
        <v>2010</v>
      </c>
      <c r="B20" s="307">
        <f>'Purchased Power Model'!B248/1000000</f>
        <v>1513.16563</v>
      </c>
      <c r="C20" s="307">
        <f>'Purchased Power Model'!N248/1000000</f>
        <v>1492.4113399877301</v>
      </c>
    </row>
    <row r="21" spans="1:3" x14ac:dyDescent="0.2">
      <c r="A21" s="306">
        <v>2011</v>
      </c>
      <c r="B21" s="307">
        <f>'Purchased Power Model'!B249/1000000</f>
        <v>1519.43926771</v>
      </c>
      <c r="C21" s="307">
        <f>'Purchased Power Model'!N249/1000000</f>
        <v>1537.7577518746832</v>
      </c>
    </row>
    <row r="22" spans="1:3" x14ac:dyDescent="0.2">
      <c r="A22" s="306">
        <v>2012</v>
      </c>
      <c r="B22" s="307">
        <f>'Purchased Power Model'!B250/1000000</f>
        <v>1526.5913362900003</v>
      </c>
      <c r="C22" s="307">
        <f>'Purchased Power Model'!N250/1000000</f>
        <v>1511.5211147182199</v>
      </c>
    </row>
    <row r="46" spans="1:4" x14ac:dyDescent="0.2">
      <c r="A46" s="18" t="s">
        <v>91</v>
      </c>
    </row>
    <row r="48" spans="1:4" ht="27.75" customHeight="1" x14ac:dyDescent="0.2">
      <c r="A48" s="81" t="s">
        <v>92</v>
      </c>
      <c r="B48" s="79" t="s">
        <v>95</v>
      </c>
      <c r="C48" s="80" t="s">
        <v>94</v>
      </c>
      <c r="D48" s="82" t="s">
        <v>96</v>
      </c>
    </row>
    <row r="49" spans="1:6" x14ac:dyDescent="0.2">
      <c r="A49" s="65">
        <v>1996</v>
      </c>
      <c r="B49" s="71">
        <f t="shared" ref="B49:C63" si="0">B6</f>
        <v>1126.778593</v>
      </c>
      <c r="C49" s="71">
        <f t="shared" si="0"/>
        <v>1160.636229055681</v>
      </c>
      <c r="D49" s="64">
        <f>C49/B49-1</f>
        <v>3.0048171189990924E-2</v>
      </c>
    </row>
    <row r="50" spans="1:6" x14ac:dyDescent="0.2">
      <c r="A50" s="65">
        <v>1997</v>
      </c>
      <c r="B50" s="71">
        <f t="shared" si="0"/>
        <v>1202.822244</v>
      </c>
      <c r="C50" s="71">
        <f t="shared" si="0"/>
        <v>1199.6381919534881</v>
      </c>
      <c r="D50" s="64">
        <f t="shared" ref="D50:D61" si="1">C50/B50-1</f>
        <v>-2.6471509505205937E-3</v>
      </c>
    </row>
    <row r="51" spans="1:6" x14ac:dyDescent="0.2">
      <c r="A51" s="65">
        <v>1998</v>
      </c>
      <c r="B51" s="71">
        <f t="shared" si="0"/>
        <v>1272.5511570000001</v>
      </c>
      <c r="C51" s="71">
        <f t="shared" si="0"/>
        <v>1275.6438952985011</v>
      </c>
      <c r="D51" s="64">
        <f t="shared" si="1"/>
        <v>2.4303449660854071E-3</v>
      </c>
    </row>
    <row r="52" spans="1:6" x14ac:dyDescent="0.2">
      <c r="A52" s="65">
        <v>1999</v>
      </c>
      <c r="B52" s="71">
        <f t="shared" si="0"/>
        <v>1350.8153901000001</v>
      </c>
      <c r="C52" s="71">
        <f t="shared" si="0"/>
        <v>1379.2139670884619</v>
      </c>
      <c r="D52" s="64">
        <f t="shared" si="1"/>
        <v>2.1023285044420081E-2</v>
      </c>
      <c r="F52" s="68"/>
    </row>
    <row r="53" spans="1:6" x14ac:dyDescent="0.2">
      <c r="A53" s="65">
        <v>2000</v>
      </c>
      <c r="B53" s="71">
        <f t="shared" si="0"/>
        <v>1392.1735917999999</v>
      </c>
      <c r="C53" s="71">
        <f t="shared" si="0"/>
        <v>1382.0395336418392</v>
      </c>
      <c r="D53" s="64">
        <f t="shared" si="1"/>
        <v>-7.2793064154147435E-3</v>
      </c>
    </row>
    <row r="54" spans="1:6" x14ac:dyDescent="0.2">
      <c r="A54" s="65">
        <v>2001</v>
      </c>
      <c r="B54" s="71">
        <f t="shared" si="0"/>
        <v>1420.9777300000001</v>
      </c>
      <c r="C54" s="71">
        <f t="shared" si="0"/>
        <v>1416.5904032563885</v>
      </c>
      <c r="D54" s="64">
        <f t="shared" si="1"/>
        <v>-3.0875408185401243E-3</v>
      </c>
    </row>
    <row r="55" spans="1:6" x14ac:dyDescent="0.2">
      <c r="A55" s="65">
        <v>2002</v>
      </c>
      <c r="B55" s="71">
        <f t="shared" si="0"/>
        <v>1519.1447559999999</v>
      </c>
      <c r="C55" s="71">
        <f t="shared" si="0"/>
        <v>1470.5755136215623</v>
      </c>
      <c r="D55" s="64">
        <f t="shared" si="1"/>
        <v>-3.1971437999314345E-2</v>
      </c>
    </row>
    <row r="56" spans="1:6" x14ac:dyDescent="0.2">
      <c r="A56" s="65">
        <v>2003</v>
      </c>
      <c r="B56" s="71">
        <f t="shared" si="0"/>
        <v>1523.7175299999999</v>
      </c>
      <c r="C56" s="71">
        <f t="shared" si="0"/>
        <v>1500.8532652510455</v>
      </c>
      <c r="D56" s="64">
        <f t="shared" si="1"/>
        <v>-1.5005579642412004E-2</v>
      </c>
    </row>
    <row r="57" spans="1:6" x14ac:dyDescent="0.2">
      <c r="A57" s="65">
        <v>2004</v>
      </c>
      <c r="B57" s="71">
        <f t="shared" si="0"/>
        <v>1570.4059299999999</v>
      </c>
      <c r="C57" s="71">
        <f t="shared" si="0"/>
        <v>1539.3780982646749</v>
      </c>
      <c r="D57" s="64">
        <f t="shared" si="1"/>
        <v>-1.9757841678122667E-2</v>
      </c>
    </row>
    <row r="58" spans="1:6" x14ac:dyDescent="0.2">
      <c r="A58" s="65">
        <v>2005</v>
      </c>
      <c r="B58" s="71">
        <f t="shared" si="0"/>
        <v>1640.988662</v>
      </c>
      <c r="C58" s="71">
        <f t="shared" si="0"/>
        <v>1627.2379810482955</v>
      </c>
      <c r="D58" s="64">
        <f t="shared" si="1"/>
        <v>-8.3795100296094605E-3</v>
      </c>
    </row>
    <row r="59" spans="1:6" x14ac:dyDescent="0.2">
      <c r="A59" s="65">
        <v>2006</v>
      </c>
      <c r="B59" s="71">
        <f t="shared" si="0"/>
        <v>1599.360044</v>
      </c>
      <c r="C59" s="71">
        <f t="shared" si="0"/>
        <v>1634.0262223421594</v>
      </c>
      <c r="D59" s="64">
        <f t="shared" si="1"/>
        <v>2.1675030880138335E-2</v>
      </c>
    </row>
    <row r="60" spans="1:6" x14ac:dyDescent="0.2">
      <c r="A60" s="65">
        <v>2007</v>
      </c>
      <c r="B60" s="71">
        <f t="shared" si="0"/>
        <v>1609.193923</v>
      </c>
      <c r="C60" s="71">
        <f t="shared" si="0"/>
        <v>1622.7973186380689</v>
      </c>
      <c r="D60" s="64">
        <f t="shared" si="1"/>
        <v>8.4535464891069001E-3</v>
      </c>
    </row>
    <row r="61" spans="1:6" x14ac:dyDescent="0.2">
      <c r="A61" s="65">
        <v>2008</v>
      </c>
      <c r="B61" s="71">
        <f t="shared" si="0"/>
        <v>1557.5232289999999</v>
      </c>
      <c r="C61" s="71">
        <f t="shared" si="0"/>
        <v>1601.223664943572</v>
      </c>
      <c r="D61" s="64">
        <f t="shared" si="1"/>
        <v>2.8057646351528076E-2</v>
      </c>
    </row>
    <row r="62" spans="1:6" x14ac:dyDescent="0.2">
      <c r="A62" s="65" t="s">
        <v>97</v>
      </c>
      <c r="B62" s="71">
        <f t="shared" si="0"/>
        <v>1450.354846</v>
      </c>
      <c r="C62" s="71">
        <f t="shared" si="0"/>
        <v>1444.4593689156191</v>
      </c>
      <c r="D62" s="64"/>
    </row>
    <row r="63" spans="1:6" x14ac:dyDescent="0.2">
      <c r="A63" s="66" t="s">
        <v>98</v>
      </c>
      <c r="B63" s="72">
        <f t="shared" si="0"/>
        <v>1513.16563</v>
      </c>
      <c r="C63" s="72">
        <f t="shared" si="0"/>
        <v>1492.4113399877301</v>
      </c>
      <c r="D63" s="70"/>
    </row>
  </sheetData>
  <phoneticPr fontId="9" type="noConversion"/>
  <pageMargins left="0.75" right="0.75" top="1" bottom="1" header="0.5" footer="0.5"/>
  <pageSetup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4"/>
  <sheetViews>
    <sheetView topLeftCell="H5" workbookViewId="0">
      <selection activeCell="W8" sqref="W8"/>
    </sheetView>
  </sheetViews>
  <sheetFormatPr defaultRowHeight="12.75" x14ac:dyDescent="0.2"/>
  <cols>
    <col min="1" max="4" width="9.140625" style="190"/>
    <col min="5" max="5" width="9.28515625" style="311" customWidth="1"/>
    <col min="6" max="6" width="9.5703125" style="311" customWidth="1"/>
    <col min="7" max="20" width="9.140625" style="190"/>
    <col min="21" max="21" width="10.28515625" style="190" bestFit="1" customWidth="1"/>
    <col min="22" max="22" width="9.85546875" style="190" bestFit="1" customWidth="1"/>
    <col min="23" max="23" width="11" style="190" bestFit="1" customWidth="1"/>
    <col min="24" max="24" width="11.140625" style="190" customWidth="1"/>
    <col min="25" max="261" width="9.140625" style="190"/>
    <col min="262" max="262" width="9.28515625" style="190" customWidth="1"/>
    <col min="263" max="263" width="9.5703125" style="190" customWidth="1"/>
    <col min="264" max="277" width="9.140625" style="190"/>
    <col min="278" max="278" width="9.85546875" style="190" bestFit="1" customWidth="1"/>
    <col min="279" max="279" width="11" style="190" bestFit="1" customWidth="1"/>
    <col min="280" max="517" width="9.140625" style="190"/>
    <col min="518" max="518" width="9.28515625" style="190" customWidth="1"/>
    <col min="519" max="519" width="9.5703125" style="190" customWidth="1"/>
    <col min="520" max="533" width="9.140625" style="190"/>
    <col min="534" max="534" width="9.85546875" style="190" bestFit="1" customWidth="1"/>
    <col min="535" max="535" width="11" style="190" bestFit="1" customWidth="1"/>
    <col min="536" max="773" width="9.140625" style="190"/>
    <col min="774" max="774" width="9.28515625" style="190" customWidth="1"/>
    <col min="775" max="775" width="9.5703125" style="190" customWidth="1"/>
    <col min="776" max="789" width="9.140625" style="190"/>
    <col min="790" max="790" width="9.85546875" style="190" bestFit="1" customWidth="1"/>
    <col min="791" max="791" width="11" style="190" bestFit="1" customWidth="1"/>
    <col min="792" max="1029" width="9.140625" style="190"/>
    <col min="1030" max="1030" width="9.28515625" style="190" customWidth="1"/>
    <col min="1031" max="1031" width="9.5703125" style="190" customWidth="1"/>
    <col min="1032" max="1045" width="9.140625" style="190"/>
    <col min="1046" max="1046" width="9.85546875" style="190" bestFit="1" customWidth="1"/>
    <col min="1047" max="1047" width="11" style="190" bestFit="1" customWidth="1"/>
    <col min="1048" max="1285" width="9.140625" style="190"/>
    <col min="1286" max="1286" width="9.28515625" style="190" customWidth="1"/>
    <col min="1287" max="1287" width="9.5703125" style="190" customWidth="1"/>
    <col min="1288" max="1301" width="9.140625" style="190"/>
    <col min="1302" max="1302" width="9.85546875" style="190" bestFit="1" customWidth="1"/>
    <col min="1303" max="1303" width="11" style="190" bestFit="1" customWidth="1"/>
    <col min="1304" max="1541" width="9.140625" style="190"/>
    <col min="1542" max="1542" width="9.28515625" style="190" customWidth="1"/>
    <col min="1543" max="1543" width="9.5703125" style="190" customWidth="1"/>
    <col min="1544" max="1557" width="9.140625" style="190"/>
    <col min="1558" max="1558" width="9.85546875" style="190" bestFit="1" customWidth="1"/>
    <col min="1559" max="1559" width="11" style="190" bestFit="1" customWidth="1"/>
    <col min="1560" max="1797" width="9.140625" style="190"/>
    <col min="1798" max="1798" width="9.28515625" style="190" customWidth="1"/>
    <col min="1799" max="1799" width="9.5703125" style="190" customWidth="1"/>
    <col min="1800" max="1813" width="9.140625" style="190"/>
    <col min="1814" max="1814" width="9.85546875" style="190" bestFit="1" customWidth="1"/>
    <col min="1815" max="1815" width="11" style="190" bestFit="1" customWidth="1"/>
    <col min="1816" max="2053" width="9.140625" style="190"/>
    <col min="2054" max="2054" width="9.28515625" style="190" customWidth="1"/>
    <col min="2055" max="2055" width="9.5703125" style="190" customWidth="1"/>
    <col min="2056" max="2069" width="9.140625" style="190"/>
    <col min="2070" max="2070" width="9.85546875" style="190" bestFit="1" customWidth="1"/>
    <col min="2071" max="2071" width="11" style="190" bestFit="1" customWidth="1"/>
    <col min="2072" max="2309" width="9.140625" style="190"/>
    <col min="2310" max="2310" width="9.28515625" style="190" customWidth="1"/>
    <col min="2311" max="2311" width="9.5703125" style="190" customWidth="1"/>
    <col min="2312" max="2325" width="9.140625" style="190"/>
    <col min="2326" max="2326" width="9.85546875" style="190" bestFit="1" customWidth="1"/>
    <col min="2327" max="2327" width="11" style="190" bestFit="1" customWidth="1"/>
    <col min="2328" max="2565" width="9.140625" style="190"/>
    <col min="2566" max="2566" width="9.28515625" style="190" customWidth="1"/>
    <col min="2567" max="2567" width="9.5703125" style="190" customWidth="1"/>
    <col min="2568" max="2581" width="9.140625" style="190"/>
    <col min="2582" max="2582" width="9.85546875" style="190" bestFit="1" customWidth="1"/>
    <col min="2583" max="2583" width="11" style="190" bestFit="1" customWidth="1"/>
    <col min="2584" max="2821" width="9.140625" style="190"/>
    <col min="2822" max="2822" width="9.28515625" style="190" customWidth="1"/>
    <col min="2823" max="2823" width="9.5703125" style="190" customWidth="1"/>
    <col min="2824" max="2837" width="9.140625" style="190"/>
    <col min="2838" max="2838" width="9.85546875" style="190" bestFit="1" customWidth="1"/>
    <col min="2839" max="2839" width="11" style="190" bestFit="1" customWidth="1"/>
    <col min="2840" max="3077" width="9.140625" style="190"/>
    <col min="3078" max="3078" width="9.28515625" style="190" customWidth="1"/>
    <col min="3079" max="3079" width="9.5703125" style="190" customWidth="1"/>
    <col min="3080" max="3093" width="9.140625" style="190"/>
    <col min="3094" max="3094" width="9.85546875" style="190" bestFit="1" customWidth="1"/>
    <col min="3095" max="3095" width="11" style="190" bestFit="1" customWidth="1"/>
    <col min="3096" max="3333" width="9.140625" style="190"/>
    <col min="3334" max="3334" width="9.28515625" style="190" customWidth="1"/>
    <col min="3335" max="3335" width="9.5703125" style="190" customWidth="1"/>
    <col min="3336" max="3349" width="9.140625" style="190"/>
    <col min="3350" max="3350" width="9.85546875" style="190" bestFit="1" customWidth="1"/>
    <col min="3351" max="3351" width="11" style="190" bestFit="1" customWidth="1"/>
    <col min="3352" max="3589" width="9.140625" style="190"/>
    <col min="3590" max="3590" width="9.28515625" style="190" customWidth="1"/>
    <col min="3591" max="3591" width="9.5703125" style="190" customWidth="1"/>
    <col min="3592" max="3605" width="9.140625" style="190"/>
    <col min="3606" max="3606" width="9.85546875" style="190" bestFit="1" customWidth="1"/>
    <col min="3607" max="3607" width="11" style="190" bestFit="1" customWidth="1"/>
    <col min="3608" max="3845" width="9.140625" style="190"/>
    <col min="3846" max="3846" width="9.28515625" style="190" customWidth="1"/>
    <col min="3847" max="3847" width="9.5703125" style="190" customWidth="1"/>
    <col min="3848" max="3861" width="9.140625" style="190"/>
    <col min="3862" max="3862" width="9.85546875" style="190" bestFit="1" customWidth="1"/>
    <col min="3863" max="3863" width="11" style="190" bestFit="1" customWidth="1"/>
    <col min="3864" max="4101" width="9.140625" style="190"/>
    <col min="4102" max="4102" width="9.28515625" style="190" customWidth="1"/>
    <col min="4103" max="4103" width="9.5703125" style="190" customWidth="1"/>
    <col min="4104" max="4117" width="9.140625" style="190"/>
    <col min="4118" max="4118" width="9.85546875" style="190" bestFit="1" customWidth="1"/>
    <col min="4119" max="4119" width="11" style="190" bestFit="1" customWidth="1"/>
    <col min="4120" max="4357" width="9.140625" style="190"/>
    <col min="4358" max="4358" width="9.28515625" style="190" customWidth="1"/>
    <col min="4359" max="4359" width="9.5703125" style="190" customWidth="1"/>
    <col min="4360" max="4373" width="9.140625" style="190"/>
    <col min="4374" max="4374" width="9.85546875" style="190" bestFit="1" customWidth="1"/>
    <col min="4375" max="4375" width="11" style="190" bestFit="1" customWidth="1"/>
    <col min="4376" max="4613" width="9.140625" style="190"/>
    <col min="4614" max="4614" width="9.28515625" style="190" customWidth="1"/>
    <col min="4615" max="4615" width="9.5703125" style="190" customWidth="1"/>
    <col min="4616" max="4629" width="9.140625" style="190"/>
    <col min="4630" max="4630" width="9.85546875" style="190" bestFit="1" customWidth="1"/>
    <col min="4631" max="4631" width="11" style="190" bestFit="1" customWidth="1"/>
    <col min="4632" max="4869" width="9.140625" style="190"/>
    <col min="4870" max="4870" width="9.28515625" style="190" customWidth="1"/>
    <col min="4871" max="4871" width="9.5703125" style="190" customWidth="1"/>
    <col min="4872" max="4885" width="9.140625" style="190"/>
    <col min="4886" max="4886" width="9.85546875" style="190" bestFit="1" customWidth="1"/>
    <col min="4887" max="4887" width="11" style="190" bestFit="1" customWidth="1"/>
    <col min="4888" max="5125" width="9.140625" style="190"/>
    <col min="5126" max="5126" width="9.28515625" style="190" customWidth="1"/>
    <col min="5127" max="5127" width="9.5703125" style="190" customWidth="1"/>
    <col min="5128" max="5141" width="9.140625" style="190"/>
    <col min="5142" max="5142" width="9.85546875" style="190" bestFit="1" customWidth="1"/>
    <col min="5143" max="5143" width="11" style="190" bestFit="1" customWidth="1"/>
    <col min="5144" max="5381" width="9.140625" style="190"/>
    <col min="5382" max="5382" width="9.28515625" style="190" customWidth="1"/>
    <col min="5383" max="5383" width="9.5703125" style="190" customWidth="1"/>
    <col min="5384" max="5397" width="9.140625" style="190"/>
    <col min="5398" max="5398" width="9.85546875" style="190" bestFit="1" customWidth="1"/>
    <col min="5399" max="5399" width="11" style="190" bestFit="1" customWidth="1"/>
    <col min="5400" max="5637" width="9.140625" style="190"/>
    <col min="5638" max="5638" width="9.28515625" style="190" customWidth="1"/>
    <col min="5639" max="5639" width="9.5703125" style="190" customWidth="1"/>
    <col min="5640" max="5653" width="9.140625" style="190"/>
    <col min="5654" max="5654" width="9.85546875" style="190" bestFit="1" customWidth="1"/>
    <col min="5655" max="5655" width="11" style="190" bestFit="1" customWidth="1"/>
    <col min="5656" max="5893" width="9.140625" style="190"/>
    <col min="5894" max="5894" width="9.28515625" style="190" customWidth="1"/>
    <col min="5895" max="5895" width="9.5703125" style="190" customWidth="1"/>
    <col min="5896" max="5909" width="9.140625" style="190"/>
    <col min="5910" max="5910" width="9.85546875" style="190" bestFit="1" customWidth="1"/>
    <col min="5911" max="5911" width="11" style="190" bestFit="1" customWidth="1"/>
    <col min="5912" max="6149" width="9.140625" style="190"/>
    <col min="6150" max="6150" width="9.28515625" style="190" customWidth="1"/>
    <col min="6151" max="6151" width="9.5703125" style="190" customWidth="1"/>
    <col min="6152" max="6165" width="9.140625" style="190"/>
    <col min="6166" max="6166" width="9.85546875" style="190" bestFit="1" customWidth="1"/>
    <col min="6167" max="6167" width="11" style="190" bestFit="1" customWidth="1"/>
    <col min="6168" max="6405" width="9.140625" style="190"/>
    <col min="6406" max="6406" width="9.28515625" style="190" customWidth="1"/>
    <col min="6407" max="6407" width="9.5703125" style="190" customWidth="1"/>
    <col min="6408" max="6421" width="9.140625" style="190"/>
    <col min="6422" max="6422" width="9.85546875" style="190" bestFit="1" customWidth="1"/>
    <col min="6423" max="6423" width="11" style="190" bestFit="1" customWidth="1"/>
    <col min="6424" max="6661" width="9.140625" style="190"/>
    <col min="6662" max="6662" width="9.28515625" style="190" customWidth="1"/>
    <col min="6663" max="6663" width="9.5703125" style="190" customWidth="1"/>
    <col min="6664" max="6677" width="9.140625" style="190"/>
    <col min="6678" max="6678" width="9.85546875" style="190" bestFit="1" customWidth="1"/>
    <col min="6679" max="6679" width="11" style="190" bestFit="1" customWidth="1"/>
    <col min="6680" max="6917" width="9.140625" style="190"/>
    <col min="6918" max="6918" width="9.28515625" style="190" customWidth="1"/>
    <col min="6919" max="6919" width="9.5703125" style="190" customWidth="1"/>
    <col min="6920" max="6933" width="9.140625" style="190"/>
    <col min="6934" max="6934" width="9.85546875" style="190" bestFit="1" customWidth="1"/>
    <col min="6935" max="6935" width="11" style="190" bestFit="1" customWidth="1"/>
    <col min="6936" max="7173" width="9.140625" style="190"/>
    <col min="7174" max="7174" width="9.28515625" style="190" customWidth="1"/>
    <col min="7175" max="7175" width="9.5703125" style="190" customWidth="1"/>
    <col min="7176" max="7189" width="9.140625" style="190"/>
    <col min="7190" max="7190" width="9.85546875" style="190" bestFit="1" customWidth="1"/>
    <col min="7191" max="7191" width="11" style="190" bestFit="1" customWidth="1"/>
    <col min="7192" max="7429" width="9.140625" style="190"/>
    <col min="7430" max="7430" width="9.28515625" style="190" customWidth="1"/>
    <col min="7431" max="7431" width="9.5703125" style="190" customWidth="1"/>
    <col min="7432" max="7445" width="9.140625" style="190"/>
    <col min="7446" max="7446" width="9.85546875" style="190" bestFit="1" customWidth="1"/>
    <col min="7447" max="7447" width="11" style="190" bestFit="1" customWidth="1"/>
    <col min="7448" max="7685" width="9.140625" style="190"/>
    <col min="7686" max="7686" width="9.28515625" style="190" customWidth="1"/>
    <col min="7687" max="7687" width="9.5703125" style="190" customWidth="1"/>
    <col min="7688" max="7701" width="9.140625" style="190"/>
    <col min="7702" max="7702" width="9.85546875" style="190" bestFit="1" customWidth="1"/>
    <col min="7703" max="7703" width="11" style="190" bestFit="1" customWidth="1"/>
    <col min="7704" max="7941" width="9.140625" style="190"/>
    <col min="7942" max="7942" width="9.28515625" style="190" customWidth="1"/>
    <col min="7943" max="7943" width="9.5703125" style="190" customWidth="1"/>
    <col min="7944" max="7957" width="9.140625" style="190"/>
    <col min="7958" max="7958" width="9.85546875" style="190" bestFit="1" customWidth="1"/>
    <col min="7959" max="7959" width="11" style="190" bestFit="1" customWidth="1"/>
    <col min="7960" max="8197" width="9.140625" style="190"/>
    <col min="8198" max="8198" width="9.28515625" style="190" customWidth="1"/>
    <col min="8199" max="8199" width="9.5703125" style="190" customWidth="1"/>
    <col min="8200" max="8213" width="9.140625" style="190"/>
    <col min="8214" max="8214" width="9.85546875" style="190" bestFit="1" customWidth="1"/>
    <col min="8215" max="8215" width="11" style="190" bestFit="1" customWidth="1"/>
    <col min="8216" max="8453" width="9.140625" style="190"/>
    <col min="8454" max="8454" width="9.28515625" style="190" customWidth="1"/>
    <col min="8455" max="8455" width="9.5703125" style="190" customWidth="1"/>
    <col min="8456" max="8469" width="9.140625" style="190"/>
    <col min="8470" max="8470" width="9.85546875" style="190" bestFit="1" customWidth="1"/>
    <col min="8471" max="8471" width="11" style="190" bestFit="1" customWidth="1"/>
    <col min="8472" max="8709" width="9.140625" style="190"/>
    <col min="8710" max="8710" width="9.28515625" style="190" customWidth="1"/>
    <col min="8711" max="8711" width="9.5703125" style="190" customWidth="1"/>
    <col min="8712" max="8725" width="9.140625" style="190"/>
    <col min="8726" max="8726" width="9.85546875" style="190" bestFit="1" customWidth="1"/>
    <col min="8727" max="8727" width="11" style="190" bestFit="1" customWidth="1"/>
    <col min="8728" max="8965" width="9.140625" style="190"/>
    <col min="8966" max="8966" width="9.28515625" style="190" customWidth="1"/>
    <col min="8967" max="8967" width="9.5703125" style="190" customWidth="1"/>
    <col min="8968" max="8981" width="9.140625" style="190"/>
    <col min="8982" max="8982" width="9.85546875" style="190" bestFit="1" customWidth="1"/>
    <col min="8983" max="8983" width="11" style="190" bestFit="1" customWidth="1"/>
    <col min="8984" max="9221" width="9.140625" style="190"/>
    <col min="9222" max="9222" width="9.28515625" style="190" customWidth="1"/>
    <col min="9223" max="9223" width="9.5703125" style="190" customWidth="1"/>
    <col min="9224" max="9237" width="9.140625" style="190"/>
    <col min="9238" max="9238" width="9.85546875" style="190" bestFit="1" customWidth="1"/>
    <col min="9239" max="9239" width="11" style="190" bestFit="1" customWidth="1"/>
    <col min="9240" max="9477" width="9.140625" style="190"/>
    <col min="9478" max="9478" width="9.28515625" style="190" customWidth="1"/>
    <col min="9479" max="9479" width="9.5703125" style="190" customWidth="1"/>
    <col min="9480" max="9493" width="9.140625" style="190"/>
    <col min="9494" max="9494" width="9.85546875" style="190" bestFit="1" customWidth="1"/>
    <col min="9495" max="9495" width="11" style="190" bestFit="1" customWidth="1"/>
    <col min="9496" max="9733" width="9.140625" style="190"/>
    <col min="9734" max="9734" width="9.28515625" style="190" customWidth="1"/>
    <col min="9735" max="9735" width="9.5703125" style="190" customWidth="1"/>
    <col min="9736" max="9749" width="9.140625" style="190"/>
    <col min="9750" max="9750" width="9.85546875" style="190" bestFit="1" customWidth="1"/>
    <col min="9751" max="9751" width="11" style="190" bestFit="1" customWidth="1"/>
    <col min="9752" max="9989" width="9.140625" style="190"/>
    <col min="9990" max="9990" width="9.28515625" style="190" customWidth="1"/>
    <col min="9991" max="9991" width="9.5703125" style="190" customWidth="1"/>
    <col min="9992" max="10005" width="9.140625" style="190"/>
    <col min="10006" max="10006" width="9.85546875" style="190" bestFit="1" customWidth="1"/>
    <col min="10007" max="10007" width="11" style="190" bestFit="1" customWidth="1"/>
    <col min="10008" max="10245" width="9.140625" style="190"/>
    <col min="10246" max="10246" width="9.28515625" style="190" customWidth="1"/>
    <col min="10247" max="10247" width="9.5703125" style="190" customWidth="1"/>
    <col min="10248" max="10261" width="9.140625" style="190"/>
    <col min="10262" max="10262" width="9.85546875" style="190" bestFit="1" customWidth="1"/>
    <col min="10263" max="10263" width="11" style="190" bestFit="1" customWidth="1"/>
    <col min="10264" max="10501" width="9.140625" style="190"/>
    <col min="10502" max="10502" width="9.28515625" style="190" customWidth="1"/>
    <col min="10503" max="10503" width="9.5703125" style="190" customWidth="1"/>
    <col min="10504" max="10517" width="9.140625" style="190"/>
    <col min="10518" max="10518" width="9.85546875" style="190" bestFit="1" customWidth="1"/>
    <col min="10519" max="10519" width="11" style="190" bestFit="1" customWidth="1"/>
    <col min="10520" max="10757" width="9.140625" style="190"/>
    <col min="10758" max="10758" width="9.28515625" style="190" customWidth="1"/>
    <col min="10759" max="10759" width="9.5703125" style="190" customWidth="1"/>
    <col min="10760" max="10773" width="9.140625" style="190"/>
    <col min="10774" max="10774" width="9.85546875" style="190" bestFit="1" customWidth="1"/>
    <col min="10775" max="10775" width="11" style="190" bestFit="1" customWidth="1"/>
    <col min="10776" max="11013" width="9.140625" style="190"/>
    <col min="11014" max="11014" width="9.28515625" style="190" customWidth="1"/>
    <col min="11015" max="11015" width="9.5703125" style="190" customWidth="1"/>
    <col min="11016" max="11029" width="9.140625" style="190"/>
    <col min="11030" max="11030" width="9.85546875" style="190" bestFit="1" customWidth="1"/>
    <col min="11031" max="11031" width="11" style="190" bestFit="1" customWidth="1"/>
    <col min="11032" max="11269" width="9.140625" style="190"/>
    <col min="11270" max="11270" width="9.28515625" style="190" customWidth="1"/>
    <col min="11271" max="11271" width="9.5703125" style="190" customWidth="1"/>
    <col min="11272" max="11285" width="9.140625" style="190"/>
    <col min="11286" max="11286" width="9.85546875" style="190" bestFit="1" customWidth="1"/>
    <col min="11287" max="11287" width="11" style="190" bestFit="1" customWidth="1"/>
    <col min="11288" max="11525" width="9.140625" style="190"/>
    <col min="11526" max="11526" width="9.28515625" style="190" customWidth="1"/>
    <col min="11527" max="11527" width="9.5703125" style="190" customWidth="1"/>
    <col min="11528" max="11541" width="9.140625" style="190"/>
    <col min="11542" max="11542" width="9.85546875" style="190" bestFit="1" customWidth="1"/>
    <col min="11543" max="11543" width="11" style="190" bestFit="1" customWidth="1"/>
    <col min="11544" max="11781" width="9.140625" style="190"/>
    <col min="11782" max="11782" width="9.28515625" style="190" customWidth="1"/>
    <col min="11783" max="11783" width="9.5703125" style="190" customWidth="1"/>
    <col min="11784" max="11797" width="9.140625" style="190"/>
    <col min="11798" max="11798" width="9.85546875" style="190" bestFit="1" customWidth="1"/>
    <col min="11799" max="11799" width="11" style="190" bestFit="1" customWidth="1"/>
    <col min="11800" max="12037" width="9.140625" style="190"/>
    <col min="12038" max="12038" width="9.28515625" style="190" customWidth="1"/>
    <col min="12039" max="12039" width="9.5703125" style="190" customWidth="1"/>
    <col min="12040" max="12053" width="9.140625" style="190"/>
    <col min="12054" max="12054" width="9.85546875" style="190" bestFit="1" customWidth="1"/>
    <col min="12055" max="12055" width="11" style="190" bestFit="1" customWidth="1"/>
    <col min="12056" max="12293" width="9.140625" style="190"/>
    <col min="12294" max="12294" width="9.28515625" style="190" customWidth="1"/>
    <col min="12295" max="12295" width="9.5703125" style="190" customWidth="1"/>
    <col min="12296" max="12309" width="9.140625" style="190"/>
    <col min="12310" max="12310" width="9.85546875" style="190" bestFit="1" customWidth="1"/>
    <col min="12311" max="12311" width="11" style="190" bestFit="1" customWidth="1"/>
    <col min="12312" max="12549" width="9.140625" style="190"/>
    <col min="12550" max="12550" width="9.28515625" style="190" customWidth="1"/>
    <col min="12551" max="12551" width="9.5703125" style="190" customWidth="1"/>
    <col min="12552" max="12565" width="9.140625" style="190"/>
    <col min="12566" max="12566" width="9.85546875" style="190" bestFit="1" customWidth="1"/>
    <col min="12567" max="12567" width="11" style="190" bestFit="1" customWidth="1"/>
    <col min="12568" max="12805" width="9.140625" style="190"/>
    <col min="12806" max="12806" width="9.28515625" style="190" customWidth="1"/>
    <col min="12807" max="12807" width="9.5703125" style="190" customWidth="1"/>
    <col min="12808" max="12821" width="9.140625" style="190"/>
    <col min="12822" max="12822" width="9.85546875" style="190" bestFit="1" customWidth="1"/>
    <col min="12823" max="12823" width="11" style="190" bestFit="1" customWidth="1"/>
    <col min="12824" max="13061" width="9.140625" style="190"/>
    <col min="13062" max="13062" width="9.28515625" style="190" customWidth="1"/>
    <col min="13063" max="13063" width="9.5703125" style="190" customWidth="1"/>
    <col min="13064" max="13077" width="9.140625" style="190"/>
    <col min="13078" max="13078" width="9.85546875" style="190" bestFit="1" customWidth="1"/>
    <col min="13079" max="13079" width="11" style="190" bestFit="1" customWidth="1"/>
    <col min="13080" max="13317" width="9.140625" style="190"/>
    <col min="13318" max="13318" width="9.28515625" style="190" customWidth="1"/>
    <col min="13319" max="13319" width="9.5703125" style="190" customWidth="1"/>
    <col min="13320" max="13333" width="9.140625" style="190"/>
    <col min="13334" max="13334" width="9.85546875" style="190" bestFit="1" customWidth="1"/>
    <col min="13335" max="13335" width="11" style="190" bestFit="1" customWidth="1"/>
    <col min="13336" max="13573" width="9.140625" style="190"/>
    <col min="13574" max="13574" width="9.28515625" style="190" customWidth="1"/>
    <col min="13575" max="13575" width="9.5703125" style="190" customWidth="1"/>
    <col min="13576" max="13589" width="9.140625" style="190"/>
    <col min="13590" max="13590" width="9.85546875" style="190" bestFit="1" customWidth="1"/>
    <col min="13591" max="13591" width="11" style="190" bestFit="1" customWidth="1"/>
    <col min="13592" max="13829" width="9.140625" style="190"/>
    <col min="13830" max="13830" width="9.28515625" style="190" customWidth="1"/>
    <col min="13831" max="13831" width="9.5703125" style="190" customWidth="1"/>
    <col min="13832" max="13845" width="9.140625" style="190"/>
    <col min="13846" max="13846" width="9.85546875" style="190" bestFit="1" customWidth="1"/>
    <col min="13847" max="13847" width="11" style="190" bestFit="1" customWidth="1"/>
    <col min="13848" max="14085" width="9.140625" style="190"/>
    <col min="14086" max="14086" width="9.28515625" style="190" customWidth="1"/>
    <col min="14087" max="14087" width="9.5703125" style="190" customWidth="1"/>
    <col min="14088" max="14101" width="9.140625" style="190"/>
    <col min="14102" max="14102" width="9.85546875" style="190" bestFit="1" customWidth="1"/>
    <col min="14103" max="14103" width="11" style="190" bestFit="1" customWidth="1"/>
    <col min="14104" max="14341" width="9.140625" style="190"/>
    <col min="14342" max="14342" width="9.28515625" style="190" customWidth="1"/>
    <col min="14343" max="14343" width="9.5703125" style="190" customWidth="1"/>
    <col min="14344" max="14357" width="9.140625" style="190"/>
    <col min="14358" max="14358" width="9.85546875" style="190" bestFit="1" customWidth="1"/>
    <col min="14359" max="14359" width="11" style="190" bestFit="1" customWidth="1"/>
    <col min="14360" max="14597" width="9.140625" style="190"/>
    <col min="14598" max="14598" width="9.28515625" style="190" customWidth="1"/>
    <col min="14599" max="14599" width="9.5703125" style="190" customWidth="1"/>
    <col min="14600" max="14613" width="9.140625" style="190"/>
    <col min="14614" max="14614" width="9.85546875" style="190" bestFit="1" customWidth="1"/>
    <col min="14615" max="14615" width="11" style="190" bestFit="1" customWidth="1"/>
    <col min="14616" max="14853" width="9.140625" style="190"/>
    <col min="14854" max="14854" width="9.28515625" style="190" customWidth="1"/>
    <col min="14855" max="14855" width="9.5703125" style="190" customWidth="1"/>
    <col min="14856" max="14869" width="9.140625" style="190"/>
    <col min="14870" max="14870" width="9.85546875" style="190" bestFit="1" customWidth="1"/>
    <col min="14871" max="14871" width="11" style="190" bestFit="1" customWidth="1"/>
    <col min="14872" max="15109" width="9.140625" style="190"/>
    <col min="15110" max="15110" width="9.28515625" style="190" customWidth="1"/>
    <col min="15111" max="15111" width="9.5703125" style="190" customWidth="1"/>
    <col min="15112" max="15125" width="9.140625" style="190"/>
    <col min="15126" max="15126" width="9.85546875" style="190" bestFit="1" customWidth="1"/>
    <col min="15127" max="15127" width="11" style="190" bestFit="1" customWidth="1"/>
    <col min="15128" max="15365" width="9.140625" style="190"/>
    <col min="15366" max="15366" width="9.28515625" style="190" customWidth="1"/>
    <col min="15367" max="15367" width="9.5703125" style="190" customWidth="1"/>
    <col min="15368" max="15381" width="9.140625" style="190"/>
    <col min="15382" max="15382" width="9.85546875" style="190" bestFit="1" customWidth="1"/>
    <col min="15383" max="15383" width="11" style="190" bestFit="1" customWidth="1"/>
    <col min="15384" max="15621" width="9.140625" style="190"/>
    <col min="15622" max="15622" width="9.28515625" style="190" customWidth="1"/>
    <col min="15623" max="15623" width="9.5703125" style="190" customWidth="1"/>
    <col min="15624" max="15637" width="9.140625" style="190"/>
    <col min="15638" max="15638" width="9.85546875" style="190" bestFit="1" customWidth="1"/>
    <col min="15639" max="15639" width="11" style="190" bestFit="1" customWidth="1"/>
    <col min="15640" max="15877" width="9.140625" style="190"/>
    <col min="15878" max="15878" width="9.28515625" style="190" customWidth="1"/>
    <col min="15879" max="15879" width="9.5703125" style="190" customWidth="1"/>
    <col min="15880" max="15893" width="9.140625" style="190"/>
    <col min="15894" max="15894" width="9.85546875" style="190" bestFit="1" customWidth="1"/>
    <col min="15895" max="15895" width="11" style="190" bestFit="1" customWidth="1"/>
    <col min="15896" max="16133" width="9.140625" style="190"/>
    <col min="16134" max="16134" width="9.28515625" style="190" customWidth="1"/>
    <col min="16135" max="16135" width="9.5703125" style="190" customWidth="1"/>
    <col min="16136" max="16149" width="9.140625" style="190"/>
    <col min="16150" max="16150" width="9.85546875" style="190" bestFit="1" customWidth="1"/>
    <col min="16151" max="16151" width="11" style="190" bestFit="1" customWidth="1"/>
    <col min="16152" max="16384" width="9.140625" style="190"/>
  </cols>
  <sheetData>
    <row r="1" spans="1:25" x14ac:dyDescent="0.2">
      <c r="A1" s="309" t="s">
        <v>239</v>
      </c>
      <c r="D1" s="443"/>
      <c r="E1" s="443"/>
      <c r="F1" s="309"/>
      <c r="G1" s="309"/>
      <c r="H1" s="309"/>
      <c r="I1" s="309"/>
    </row>
    <row r="2" spans="1:25" x14ac:dyDescent="0.2">
      <c r="A2" s="310"/>
    </row>
    <row r="3" spans="1:25" x14ac:dyDescent="0.2">
      <c r="A3" s="312" t="s">
        <v>240</v>
      </c>
      <c r="B3" s="312"/>
      <c r="C3" s="312"/>
      <c r="D3" s="312"/>
      <c r="E3" s="313"/>
      <c r="F3" s="313"/>
    </row>
    <row r="4" spans="1:25" x14ac:dyDescent="0.2">
      <c r="A4" s="314"/>
      <c r="B4" s="314"/>
      <c r="C4" s="314"/>
      <c r="D4" s="314"/>
      <c r="E4" s="315"/>
      <c r="F4" s="315"/>
    </row>
    <row r="5" spans="1:25" x14ac:dyDescent="0.2">
      <c r="A5" s="316" t="s">
        <v>241</v>
      </c>
      <c r="B5" s="316">
        <v>1993</v>
      </c>
      <c r="C5" s="316">
        <v>1994</v>
      </c>
      <c r="D5" s="316">
        <v>1995</v>
      </c>
      <c r="E5" s="316">
        <v>1996</v>
      </c>
      <c r="F5" s="316">
        <v>1997</v>
      </c>
      <c r="G5" s="316">
        <v>1998</v>
      </c>
      <c r="H5" s="316">
        <v>1999</v>
      </c>
      <c r="I5" s="316">
        <v>2000</v>
      </c>
      <c r="J5" s="316">
        <f t="shared" ref="J5:P5" si="0">J25</f>
        <v>2001</v>
      </c>
      <c r="K5" s="316">
        <f t="shared" si="0"/>
        <v>2002</v>
      </c>
      <c r="L5" s="316">
        <f t="shared" si="0"/>
        <v>2003</v>
      </c>
      <c r="M5" s="316">
        <f t="shared" si="0"/>
        <v>2004</v>
      </c>
      <c r="N5" s="316">
        <f t="shared" si="0"/>
        <v>2005</v>
      </c>
      <c r="O5" s="316">
        <f t="shared" si="0"/>
        <v>2006</v>
      </c>
      <c r="P5" s="316">
        <f t="shared" si="0"/>
        <v>2007</v>
      </c>
      <c r="Q5" s="316">
        <v>2008</v>
      </c>
      <c r="R5" s="316">
        <v>2009</v>
      </c>
      <c r="S5" s="316">
        <v>2010</v>
      </c>
      <c r="T5" s="316">
        <v>2011</v>
      </c>
      <c r="U5" s="316">
        <f t="shared" ref="U5" si="1">U25</f>
        <v>2012</v>
      </c>
      <c r="V5" s="317" t="s">
        <v>242</v>
      </c>
      <c r="W5" s="317" t="s">
        <v>243</v>
      </c>
      <c r="X5" s="317" t="s">
        <v>257</v>
      </c>
      <c r="Y5" s="317" t="s">
        <v>258</v>
      </c>
    </row>
    <row r="6" spans="1:25" x14ac:dyDescent="0.2">
      <c r="A6" s="314"/>
      <c r="B6" s="314"/>
      <c r="C6" s="314"/>
      <c r="D6" s="314"/>
      <c r="E6" s="313"/>
      <c r="F6" s="313"/>
    </row>
    <row r="7" spans="1:25" x14ac:dyDescent="0.2">
      <c r="A7" s="318"/>
      <c r="B7" s="318"/>
      <c r="C7" s="318"/>
      <c r="D7" s="318"/>
      <c r="E7" s="313"/>
      <c r="F7" s="313"/>
      <c r="G7" s="313"/>
      <c r="H7" s="313"/>
    </row>
    <row r="8" spans="1:25" x14ac:dyDescent="0.2">
      <c r="A8" s="318" t="s">
        <v>244</v>
      </c>
      <c r="B8" s="319">
        <f>'HDD and CDD'!B27</f>
        <v>687.2</v>
      </c>
      <c r="C8" s="319">
        <f>'HDD and CDD'!B39</f>
        <v>968.6</v>
      </c>
      <c r="D8" s="319">
        <f>'HDD and CDD'!B51</f>
        <v>667.5</v>
      </c>
      <c r="E8" s="319">
        <f>'HDD and CDD'!B63</f>
        <v>789.4</v>
      </c>
      <c r="F8" s="319">
        <f>'HDD and CDD'!B75</f>
        <v>777.9</v>
      </c>
      <c r="G8" s="319">
        <f>'HDD and CDD'!B87</f>
        <v>652.79999999999995</v>
      </c>
      <c r="H8" s="319">
        <f>'HDD and CDD'!B99</f>
        <v>789.6</v>
      </c>
      <c r="I8" s="319">
        <f>'HDD and CDD'!B111</f>
        <v>773</v>
      </c>
      <c r="J8" s="319">
        <f>'HDD and CDD'!B123</f>
        <v>715</v>
      </c>
      <c r="K8" s="319">
        <f>'HDD and CDD'!B135</f>
        <v>625.70000000000005</v>
      </c>
      <c r="L8" s="319">
        <f>'HDD and CDD'!B147</f>
        <v>868.4</v>
      </c>
      <c r="M8" s="319">
        <f>'HDD and CDD'!B159</f>
        <v>879.2</v>
      </c>
      <c r="N8" s="319">
        <f>'HDD and CDD'!B171</f>
        <v>814.7</v>
      </c>
      <c r="O8" s="319">
        <f>'HDD and CDD'!B183</f>
        <v>590.6</v>
      </c>
      <c r="P8" s="319">
        <f>'HDD and CDD'!B195</f>
        <v>698.3</v>
      </c>
      <c r="Q8" s="319">
        <f>'HDD and CDD'!B207</f>
        <v>676.8</v>
      </c>
      <c r="R8" s="319">
        <f>'HDD and CDD'!B219</f>
        <v>891.8</v>
      </c>
      <c r="S8" s="319">
        <f>'HDD and CDD'!B231</f>
        <v>727.0999999999998</v>
      </c>
      <c r="T8" s="319">
        <f>'HDD and CDD'!B243</f>
        <v>770.00000000000011</v>
      </c>
      <c r="U8" s="319">
        <f>'HDD and CDD'!B255</f>
        <v>657.30000000000007</v>
      </c>
      <c r="V8" s="320">
        <f>AVERAGE(L8:U8)</f>
        <v>757.42</v>
      </c>
      <c r="W8" s="321">
        <f>TREND(B8:U8,$B$25:$U$25,2014)</f>
        <v>726.22142857142808</v>
      </c>
      <c r="X8" s="320">
        <f>AVERAGE(B8:U8)</f>
        <v>751.04499999999996</v>
      </c>
      <c r="Y8" s="321">
        <f>AVERAGE(E8:U8)</f>
        <v>746.91764705882338</v>
      </c>
    </row>
    <row r="9" spans="1:25" x14ac:dyDescent="0.2">
      <c r="A9" s="318" t="s">
        <v>245</v>
      </c>
      <c r="B9" s="319">
        <f>'HDD and CDD'!B28</f>
        <v>738.1</v>
      </c>
      <c r="C9" s="319">
        <f>'HDD and CDD'!B40</f>
        <v>774.2</v>
      </c>
      <c r="D9" s="319">
        <f>'HDD and CDD'!B52</f>
        <v>735.3</v>
      </c>
      <c r="E9" s="319">
        <f>'HDD and CDD'!B64</f>
        <v>712.6</v>
      </c>
      <c r="F9" s="319">
        <f>'HDD and CDD'!B76</f>
        <v>615</v>
      </c>
      <c r="G9" s="319">
        <f>'HDD and CDD'!B88</f>
        <v>547.1</v>
      </c>
      <c r="H9" s="319">
        <f>'HDD and CDD'!B100</f>
        <v>578.4</v>
      </c>
      <c r="I9" s="319">
        <f>'HDD and CDD'!B112</f>
        <v>643.79999999999995</v>
      </c>
      <c r="J9" s="319">
        <f>'HDD and CDD'!B124</f>
        <v>620.20000000000005</v>
      </c>
      <c r="K9" s="319">
        <f>'HDD and CDD'!B136</f>
        <v>592</v>
      </c>
      <c r="L9" s="319">
        <f>'HDD and CDD'!B148</f>
        <v>755.9</v>
      </c>
      <c r="M9" s="319">
        <f>'HDD and CDD'!B160</f>
        <v>699.2</v>
      </c>
      <c r="N9" s="319">
        <f>'HDD and CDD'!B172</f>
        <v>683.5</v>
      </c>
      <c r="O9" s="319">
        <f>'HDD and CDD'!B184</f>
        <v>651.20000000000005</v>
      </c>
      <c r="P9" s="319">
        <f>'HDD and CDD'!B196</f>
        <v>785.1</v>
      </c>
      <c r="Q9" s="319">
        <f>'HDD and CDD'!B208</f>
        <v>651.20000000000005</v>
      </c>
      <c r="R9" s="319">
        <f>'HDD and CDD'!B220</f>
        <v>649.6</v>
      </c>
      <c r="S9" s="319">
        <f>'HDD and CDD'!B232</f>
        <v>644.6999999999997</v>
      </c>
      <c r="T9" s="319">
        <f>'HDD and CDD'!B244</f>
        <v>640.80000000000007</v>
      </c>
      <c r="U9" s="319">
        <f>'HDD and CDD'!B256</f>
        <v>573</v>
      </c>
      <c r="V9" s="320">
        <f t="shared" ref="V9:V19" si="2">AVERAGE(L9:U9)</f>
        <v>673.42000000000007</v>
      </c>
      <c r="W9" s="321">
        <f t="shared" ref="W9:W19" si="3">TREND(B9:U9,$B$25:$U$25,2014)</f>
        <v>630.53353383458671</v>
      </c>
      <c r="X9" s="320">
        <f t="shared" ref="X9:X19" si="4">AVERAGE(B9:U9)</f>
        <v>664.54499999999996</v>
      </c>
      <c r="Y9" s="321">
        <f t="shared" ref="Y9:Y19" si="5">AVERAGE(E9:U9)</f>
        <v>649.60588235294108</v>
      </c>
    </row>
    <row r="10" spans="1:25" x14ac:dyDescent="0.2">
      <c r="A10" s="318" t="s">
        <v>246</v>
      </c>
      <c r="B10" s="319">
        <f>'HDD and CDD'!B29</f>
        <v>632</v>
      </c>
      <c r="C10" s="319">
        <f>'HDD and CDD'!B41</f>
        <v>619.9</v>
      </c>
      <c r="D10" s="319">
        <f>'HDD and CDD'!B53</f>
        <v>523.70000000000005</v>
      </c>
      <c r="E10" s="319">
        <f>'HDD and CDD'!B65</f>
        <v>670.4</v>
      </c>
      <c r="F10" s="319">
        <f>'HDD and CDD'!B77</f>
        <v>619.1</v>
      </c>
      <c r="G10" s="319">
        <f>'HDD and CDD'!B89</f>
        <v>505.1</v>
      </c>
      <c r="H10" s="319">
        <f>'HDD and CDD'!B101</f>
        <v>592.5</v>
      </c>
      <c r="I10" s="319">
        <f>'HDD and CDD'!B113</f>
        <v>446.9</v>
      </c>
      <c r="J10" s="319">
        <f>'HDD and CDD'!B125</f>
        <v>618.70000000000005</v>
      </c>
      <c r="K10" s="319">
        <f>'HDD and CDD'!B137</f>
        <v>581.20000000000005</v>
      </c>
      <c r="L10" s="319">
        <f>'HDD and CDD'!B149</f>
        <v>638.70000000000005</v>
      </c>
      <c r="M10" s="319">
        <f>'HDD and CDD'!B161</f>
        <v>540.9</v>
      </c>
      <c r="N10" s="319">
        <f>'HDD and CDD'!B173</f>
        <v>680.5</v>
      </c>
      <c r="O10" s="319">
        <f>'HDD and CDD'!B185</f>
        <v>562.4</v>
      </c>
      <c r="P10" s="319">
        <f>'HDD and CDD'!B197</f>
        <v>582</v>
      </c>
      <c r="Q10" s="319">
        <f>'HDD and CDD'!B209</f>
        <v>686.1</v>
      </c>
      <c r="R10" s="319">
        <f>'HDD and CDD'!B221</f>
        <v>562.6</v>
      </c>
      <c r="S10" s="319">
        <f>'HDD and CDD'!B233</f>
        <v>470.90000000000003</v>
      </c>
      <c r="T10" s="319">
        <f>'HDD and CDD'!B245</f>
        <v>605.29999999999995</v>
      </c>
      <c r="U10" s="319">
        <f>'HDD and CDD'!B257</f>
        <v>370.1</v>
      </c>
      <c r="V10" s="320">
        <f t="shared" si="2"/>
        <v>569.95000000000005</v>
      </c>
      <c r="W10" s="321">
        <f t="shared" si="3"/>
        <v>530.42533834586538</v>
      </c>
      <c r="X10" s="320">
        <f t="shared" si="4"/>
        <v>575.44999999999993</v>
      </c>
      <c r="Y10" s="321">
        <f t="shared" si="5"/>
        <v>572.55294117647043</v>
      </c>
    </row>
    <row r="11" spans="1:25" x14ac:dyDescent="0.2">
      <c r="A11" s="318" t="s">
        <v>247</v>
      </c>
      <c r="B11" s="319">
        <f>'HDD and CDD'!B30</f>
        <v>343.4</v>
      </c>
      <c r="C11" s="319">
        <f>'HDD and CDD'!B42</f>
        <v>343.8</v>
      </c>
      <c r="D11" s="319">
        <f>'HDD and CDD'!B54</f>
        <v>434.4</v>
      </c>
      <c r="E11" s="319">
        <f>'HDD and CDD'!B66</f>
        <v>421.9</v>
      </c>
      <c r="F11" s="319">
        <f>'HDD and CDD'!B78</f>
        <v>391.9</v>
      </c>
      <c r="G11" s="319">
        <f>'HDD and CDD'!B90</f>
        <v>312</v>
      </c>
      <c r="H11" s="319">
        <f>'HDD and CDD'!B102</f>
        <v>332.6</v>
      </c>
      <c r="I11" s="319">
        <f>'HDD and CDD'!B114</f>
        <v>358.3</v>
      </c>
      <c r="J11" s="319">
        <f>'HDD and CDD'!B126</f>
        <v>324.60000000000002</v>
      </c>
      <c r="K11" s="319">
        <f>'HDD and CDD'!B138</f>
        <v>356.2</v>
      </c>
      <c r="L11" s="319">
        <f>'HDD and CDD'!B150</f>
        <v>397.4</v>
      </c>
      <c r="M11" s="319">
        <f>'HDD and CDD'!B162</f>
        <v>354.1</v>
      </c>
      <c r="N11" s="319">
        <f>'HDD and CDD'!B174</f>
        <v>354.6</v>
      </c>
      <c r="O11" s="319">
        <f>'HDD and CDD'!B186</f>
        <v>322.5</v>
      </c>
      <c r="P11" s="319">
        <f>'HDD and CDD'!B198</f>
        <v>403</v>
      </c>
      <c r="Q11" s="319">
        <f>'HDD and CDD'!B210</f>
        <v>297.89999999999998</v>
      </c>
      <c r="R11" s="319">
        <f>'HDD and CDD'!B222</f>
        <v>341.5</v>
      </c>
      <c r="S11" s="319">
        <f>'HDD and CDD'!B234</f>
        <v>255.70000000000002</v>
      </c>
      <c r="T11" s="319">
        <f>'HDD and CDD'!B246</f>
        <v>298.69999999999993</v>
      </c>
      <c r="U11" s="319">
        <f>'HDD and CDD'!B258</f>
        <v>365.3</v>
      </c>
      <c r="V11" s="320">
        <f t="shared" si="2"/>
        <v>339.07</v>
      </c>
      <c r="W11" s="321">
        <f t="shared" si="3"/>
        <v>313.73496240601435</v>
      </c>
      <c r="X11" s="320">
        <f t="shared" si="4"/>
        <v>350.49</v>
      </c>
      <c r="Y11" s="321">
        <f t="shared" si="5"/>
        <v>346.36470588235295</v>
      </c>
    </row>
    <row r="12" spans="1:25" x14ac:dyDescent="0.2">
      <c r="A12" s="318" t="s">
        <v>121</v>
      </c>
      <c r="B12" s="319">
        <f>'HDD and CDD'!B31</f>
        <v>176.6</v>
      </c>
      <c r="C12" s="319">
        <f>'HDD and CDD'!B43</f>
        <v>226.7</v>
      </c>
      <c r="D12" s="319">
        <f>'HDD and CDD'!B55</f>
        <v>171.9</v>
      </c>
      <c r="E12" s="319">
        <f>'HDD and CDD'!B67</f>
        <v>216.1</v>
      </c>
      <c r="F12" s="319">
        <f>'HDD and CDD'!B79</f>
        <v>289</v>
      </c>
      <c r="G12" s="319">
        <f>'HDD and CDD'!B91</f>
        <v>77.099999999999994</v>
      </c>
      <c r="H12" s="319">
        <f>'HDD and CDD'!B103</f>
        <v>126.7</v>
      </c>
      <c r="I12" s="319">
        <f>'HDD and CDD'!B115</f>
        <v>152.4</v>
      </c>
      <c r="J12" s="319">
        <f>'HDD and CDD'!B127</f>
        <v>140.30000000000001</v>
      </c>
      <c r="K12" s="319">
        <f>'HDD and CDD'!B139</f>
        <v>266.8</v>
      </c>
      <c r="L12" s="319">
        <f>'HDD and CDD'!B151</f>
        <v>217</v>
      </c>
      <c r="M12" s="319">
        <f>'HDD and CDD'!B163</f>
        <v>196.2</v>
      </c>
      <c r="N12" s="319">
        <f>'HDD and CDD'!B175</f>
        <v>244.9</v>
      </c>
      <c r="O12" s="319">
        <f>'HDD and CDD'!B187</f>
        <v>177.8</v>
      </c>
      <c r="P12" s="319">
        <f>'HDD and CDD'!B199</f>
        <v>166.4</v>
      </c>
      <c r="Q12" s="319">
        <f>'HDD and CDD'!B211</f>
        <v>243.1</v>
      </c>
      <c r="R12" s="319">
        <f>'HDD and CDD'!B223</f>
        <v>192.8</v>
      </c>
      <c r="S12" s="319">
        <f>'HDD and CDD'!B235</f>
        <v>144.69999999999999</v>
      </c>
      <c r="T12" s="319">
        <f>'HDD and CDD'!B247</f>
        <v>148.69999999999996</v>
      </c>
      <c r="U12" s="319">
        <f>'HDD and CDD'!B259</f>
        <v>103.8</v>
      </c>
      <c r="V12" s="320">
        <f t="shared" si="2"/>
        <v>183.54000000000002</v>
      </c>
      <c r="W12" s="321">
        <f t="shared" si="3"/>
        <v>165.07270676691678</v>
      </c>
      <c r="X12" s="320">
        <f t="shared" si="4"/>
        <v>183.95</v>
      </c>
      <c r="Y12" s="321">
        <f t="shared" si="5"/>
        <v>182.57647058823531</v>
      </c>
    </row>
    <row r="13" spans="1:25" x14ac:dyDescent="0.2">
      <c r="A13" s="318" t="s">
        <v>248</v>
      </c>
      <c r="B13" s="319">
        <f>'HDD and CDD'!B32</f>
        <v>47.3</v>
      </c>
      <c r="C13" s="319">
        <f>'HDD and CDD'!B44</f>
        <v>38.4</v>
      </c>
      <c r="D13" s="319">
        <f>'HDD and CDD'!B56</f>
        <v>25.9</v>
      </c>
      <c r="E13" s="319">
        <f>'HDD and CDD'!B68</f>
        <v>29.4</v>
      </c>
      <c r="F13" s="319">
        <f>'HDD and CDD'!B80</f>
        <v>30.4</v>
      </c>
      <c r="G13" s="319">
        <f>'HDD and CDD'!B92</f>
        <v>66.7</v>
      </c>
      <c r="H13" s="319">
        <f>'HDD and CDD'!B104</f>
        <v>44.4</v>
      </c>
      <c r="I13" s="319">
        <f>'HDD and CDD'!B116</f>
        <v>41.1</v>
      </c>
      <c r="J13" s="319">
        <f>'HDD and CDD'!B128</f>
        <v>47</v>
      </c>
      <c r="K13" s="319">
        <f>'HDD and CDD'!B140</f>
        <v>53.1</v>
      </c>
      <c r="L13" s="319">
        <f>'HDD and CDD'!B152</f>
        <v>65.3</v>
      </c>
      <c r="M13" s="319">
        <f>'HDD and CDD'!B164</f>
        <v>92.5</v>
      </c>
      <c r="N13" s="319">
        <f>'HDD and CDD'!B176</f>
        <v>27.3</v>
      </c>
      <c r="O13" s="319">
        <f>'HDD and CDD'!B188</f>
        <v>44.1</v>
      </c>
      <c r="P13" s="319">
        <f>'HDD and CDD'!B200</f>
        <v>35.5</v>
      </c>
      <c r="Q13" s="319">
        <f>'HDD and CDD'!B212</f>
        <v>40.6</v>
      </c>
      <c r="R13" s="319">
        <f>'HDD and CDD'!B224</f>
        <v>75.7</v>
      </c>
      <c r="S13" s="319">
        <f>'HDD and CDD'!B236</f>
        <v>37.699999999999996</v>
      </c>
      <c r="T13" s="319">
        <f>'HDD and CDD'!B248</f>
        <v>48.500000000000007</v>
      </c>
      <c r="U13" s="319">
        <f>'HDD and CDD'!B260</f>
        <v>42.100000000000009</v>
      </c>
      <c r="V13" s="320">
        <f t="shared" si="2"/>
        <v>50.930000000000007</v>
      </c>
      <c r="W13" s="321">
        <f t="shared" si="3"/>
        <v>53.228345864661833</v>
      </c>
      <c r="X13" s="320">
        <f t="shared" si="4"/>
        <v>46.650000000000006</v>
      </c>
      <c r="Y13" s="321">
        <f t="shared" si="5"/>
        <v>48.317647058823539</v>
      </c>
    </row>
    <row r="14" spans="1:25" x14ac:dyDescent="0.2">
      <c r="A14" s="318" t="s">
        <v>249</v>
      </c>
      <c r="B14" s="319">
        <f>'HDD and CDD'!B33</f>
        <v>2.9</v>
      </c>
      <c r="C14" s="319">
        <f>'HDD and CDD'!B45</f>
        <v>6.3</v>
      </c>
      <c r="D14" s="319">
        <f>'HDD and CDD'!B57</f>
        <v>17.3</v>
      </c>
      <c r="E14" s="319">
        <f>'HDD and CDD'!B69</f>
        <v>18.899999999999999</v>
      </c>
      <c r="F14" s="319">
        <f>'HDD and CDD'!B81</f>
        <v>22.1</v>
      </c>
      <c r="G14" s="319">
        <f>'HDD and CDD'!B93</f>
        <v>6.9</v>
      </c>
      <c r="H14" s="319">
        <f>'HDD and CDD'!B105</f>
        <v>3.2</v>
      </c>
      <c r="I14" s="319">
        <f>'HDD and CDD'!B117</f>
        <v>18.600000000000001</v>
      </c>
      <c r="J14" s="319">
        <f>'HDD and CDD'!B129</f>
        <v>22.3</v>
      </c>
      <c r="K14" s="319">
        <f>'HDD and CDD'!B141</f>
        <v>4.7</v>
      </c>
      <c r="L14" s="319">
        <f>'HDD and CDD'!B153</f>
        <v>12.5</v>
      </c>
      <c r="M14" s="319">
        <f>'HDD and CDD'!B165</f>
        <v>21.3</v>
      </c>
      <c r="N14" s="319">
        <f>'HDD and CDD'!B177</f>
        <v>6.8</v>
      </c>
      <c r="O14" s="319">
        <f>'HDD and CDD'!B189</f>
        <v>6.5</v>
      </c>
      <c r="P14" s="319">
        <f>'HDD and CDD'!B201</f>
        <v>28</v>
      </c>
      <c r="Q14" s="319">
        <f>'HDD and CDD'!B213</f>
        <v>7.6</v>
      </c>
      <c r="R14" s="319">
        <f>'HDD and CDD'!B225</f>
        <v>37.6</v>
      </c>
      <c r="S14" s="319">
        <f>'HDD and CDD'!B237</f>
        <v>6.7</v>
      </c>
      <c r="T14" s="319">
        <f>'HDD and CDD'!B249</f>
        <v>0.8</v>
      </c>
      <c r="U14" s="319">
        <f>'HDD and CDD'!B261</f>
        <v>0</v>
      </c>
      <c r="V14" s="320">
        <f t="shared" si="2"/>
        <v>12.779999999999998</v>
      </c>
      <c r="W14" s="321">
        <f t="shared" si="3"/>
        <v>11.986240601503766</v>
      </c>
      <c r="X14" s="320">
        <f t="shared" si="4"/>
        <v>12.55</v>
      </c>
      <c r="Y14" s="321">
        <f t="shared" si="5"/>
        <v>13.205882352941176</v>
      </c>
    </row>
    <row r="15" spans="1:25" x14ac:dyDescent="0.2">
      <c r="A15" s="318" t="s">
        <v>250</v>
      </c>
      <c r="B15" s="319">
        <f>'HDD and CDD'!B34</f>
        <v>7.5</v>
      </c>
      <c r="C15" s="319">
        <f>'HDD and CDD'!B46</f>
        <v>39.200000000000003</v>
      </c>
      <c r="D15" s="319">
        <f>'HDD and CDD'!B58</f>
        <v>4.3</v>
      </c>
      <c r="E15" s="319">
        <f>'HDD and CDD'!B70</f>
        <v>6.2</v>
      </c>
      <c r="F15" s="319">
        <f>'HDD and CDD'!B82</f>
        <v>49.4</v>
      </c>
      <c r="G15" s="319">
        <f>'HDD and CDD'!B94</f>
        <v>12.1</v>
      </c>
      <c r="H15" s="319">
        <f>'HDD and CDD'!B106</f>
        <v>28.8</v>
      </c>
      <c r="I15" s="319">
        <f>'HDD and CDD'!B118</f>
        <v>29.7</v>
      </c>
      <c r="J15" s="319">
        <f>'HDD and CDD'!B130</f>
        <v>2.2999999999999998</v>
      </c>
      <c r="K15" s="319">
        <f>'HDD and CDD'!B142</f>
        <v>11</v>
      </c>
      <c r="L15" s="319">
        <f>'HDD and CDD'!B154</f>
        <v>18.899999999999999</v>
      </c>
      <c r="M15" s="319">
        <f>'HDD and CDD'!B166</f>
        <v>55</v>
      </c>
      <c r="N15" s="319">
        <f>'HDD and CDD'!B178</f>
        <v>11.9</v>
      </c>
      <c r="O15" s="319">
        <f>'HDD and CDD'!B190</f>
        <v>27.5</v>
      </c>
      <c r="P15" s="319">
        <f>'HDD and CDD'!B202</f>
        <v>19.7</v>
      </c>
      <c r="Q15" s="319">
        <f>'HDD and CDD'!B214</f>
        <v>36.200000000000003</v>
      </c>
      <c r="R15" s="319">
        <f>'HDD and CDD'!B226</f>
        <v>34.4</v>
      </c>
      <c r="S15" s="319">
        <f>'HDD and CDD'!B238</f>
        <v>9.6999999999999993</v>
      </c>
      <c r="T15" s="319">
        <f>'HDD and CDD'!B250</f>
        <v>6.8999999999999995</v>
      </c>
      <c r="U15" s="319">
        <f>'HDD and CDD'!B262</f>
        <v>19.400000000000002</v>
      </c>
      <c r="V15" s="320">
        <f t="shared" si="2"/>
        <v>23.96</v>
      </c>
      <c r="W15" s="321">
        <f t="shared" si="3"/>
        <v>22.50541353383457</v>
      </c>
      <c r="X15" s="320">
        <f t="shared" si="4"/>
        <v>21.504999999999992</v>
      </c>
      <c r="Y15" s="321">
        <f t="shared" si="5"/>
        <v>22.299999999999994</v>
      </c>
    </row>
    <row r="16" spans="1:25" x14ac:dyDescent="0.2">
      <c r="A16" s="318" t="s">
        <v>251</v>
      </c>
      <c r="B16" s="319">
        <f>'HDD and CDD'!B35</f>
        <v>156.4</v>
      </c>
      <c r="C16" s="319">
        <f>'HDD and CDD'!B47</f>
        <v>105.4</v>
      </c>
      <c r="D16" s="319">
        <f>'HDD and CDD'!B59</f>
        <v>143.6</v>
      </c>
      <c r="E16" s="319">
        <f>'HDD and CDD'!B71</f>
        <v>102.2</v>
      </c>
      <c r="F16" s="319">
        <f>'HDD and CDD'!B83</f>
        <v>115.2</v>
      </c>
      <c r="G16" s="319">
        <f>'HDD and CDD'!B95</f>
        <v>63</v>
      </c>
      <c r="H16" s="319">
        <f>'HDD and CDD'!B107</f>
        <v>88.9</v>
      </c>
      <c r="I16" s="319">
        <f>'HDD and CDD'!B119</f>
        <v>134</v>
      </c>
      <c r="J16" s="319">
        <f>'HDD and CDD'!B131</f>
        <v>118.8</v>
      </c>
      <c r="K16" s="319">
        <f>'HDD and CDD'!B143</f>
        <v>50.2</v>
      </c>
      <c r="L16" s="319">
        <f>'HDD and CDD'!B155</f>
        <v>104.1</v>
      </c>
      <c r="M16" s="319">
        <f>'HDD and CDD'!B167</f>
        <v>71.3</v>
      </c>
      <c r="N16" s="319">
        <f>'HDD and CDD'!B179</f>
        <v>63.4</v>
      </c>
      <c r="O16" s="319">
        <f>'HDD and CDD'!B191</f>
        <v>130.30000000000001</v>
      </c>
      <c r="P16" s="319">
        <f>'HDD and CDD'!B203</f>
        <v>74.7</v>
      </c>
      <c r="Q16" s="319">
        <f>'HDD and CDD'!B215</f>
        <v>93.2</v>
      </c>
      <c r="R16" s="319">
        <f>'HDD and CDD'!B227</f>
        <v>88.8</v>
      </c>
      <c r="S16" s="319">
        <f>'HDD and CDD'!B239</f>
        <v>122.70000000000002</v>
      </c>
      <c r="T16" s="319">
        <f>'HDD and CDD'!B251</f>
        <v>88.9</v>
      </c>
      <c r="U16" s="319">
        <f>'HDD and CDD'!B263</f>
        <v>125.40000000000002</v>
      </c>
      <c r="V16" s="320">
        <f t="shared" si="2"/>
        <v>96.28</v>
      </c>
      <c r="W16" s="321">
        <f t="shared" si="3"/>
        <v>87.795263157894624</v>
      </c>
      <c r="X16" s="320">
        <f t="shared" si="4"/>
        <v>102.02500000000001</v>
      </c>
      <c r="Y16" s="321">
        <f t="shared" si="5"/>
        <v>96.182352941176475</v>
      </c>
    </row>
    <row r="17" spans="1:25" x14ac:dyDescent="0.2">
      <c r="A17" s="318" t="s">
        <v>252</v>
      </c>
      <c r="B17" s="319">
        <f>'HDD and CDD'!B36</f>
        <v>335.9</v>
      </c>
      <c r="C17" s="319">
        <f>'HDD and CDD'!B48</f>
        <v>263.7</v>
      </c>
      <c r="D17" s="319">
        <f>'HDD and CDD'!B60</f>
        <v>245.5</v>
      </c>
      <c r="E17" s="319">
        <f>'HDD and CDD'!B72</f>
        <v>301.39999999999998</v>
      </c>
      <c r="F17" s="319">
        <f>'HDD and CDD'!B84</f>
        <v>288.89999999999998</v>
      </c>
      <c r="G17" s="319">
        <f>'HDD and CDD'!B96</f>
        <v>257.60000000000002</v>
      </c>
      <c r="H17" s="319">
        <f>'HDD and CDD'!B108</f>
        <v>319</v>
      </c>
      <c r="I17" s="319">
        <f>'HDD and CDD'!B120</f>
        <v>251.6</v>
      </c>
      <c r="J17" s="319">
        <f>'HDD and CDD'!B132</f>
        <v>276.7</v>
      </c>
      <c r="K17" s="319">
        <f>'HDD and CDD'!B144</f>
        <v>345.6</v>
      </c>
      <c r="L17" s="319">
        <f>'HDD and CDD'!B156</f>
        <v>331.9</v>
      </c>
      <c r="M17" s="319">
        <f>'HDD and CDD'!B168</f>
        <v>287.5</v>
      </c>
      <c r="N17" s="319">
        <f>'HDD and CDD'!B180</f>
        <v>259.89999999999998</v>
      </c>
      <c r="O17" s="319">
        <f>'HDD and CDD'!B192</f>
        <v>335.1</v>
      </c>
      <c r="P17" s="319">
        <f>'HDD and CDD'!B204</f>
        <v>184.7</v>
      </c>
      <c r="Q17" s="319">
        <f>'HDD and CDD'!B216</f>
        <v>325.7</v>
      </c>
      <c r="R17" s="319">
        <f>'HDD and CDD'!B228</f>
        <v>329.1</v>
      </c>
      <c r="S17" s="319">
        <f>'HDD and CDD'!B240</f>
        <v>279.59999999999997</v>
      </c>
      <c r="T17" s="319">
        <f>'HDD and CDD'!B252</f>
        <v>279.89999999999998</v>
      </c>
      <c r="U17" s="319">
        <f>'HDD and CDD'!B264</f>
        <v>279.2</v>
      </c>
      <c r="V17" s="320">
        <f t="shared" si="2"/>
        <v>289.26</v>
      </c>
      <c r="W17" s="321">
        <f t="shared" si="3"/>
        <v>288.84977443609023</v>
      </c>
      <c r="X17" s="320">
        <f t="shared" si="4"/>
        <v>288.92500000000001</v>
      </c>
      <c r="Y17" s="321">
        <f t="shared" si="5"/>
        <v>290.2</v>
      </c>
    </row>
    <row r="18" spans="1:25" x14ac:dyDescent="0.2">
      <c r="A18" s="318" t="s">
        <v>253</v>
      </c>
      <c r="B18" s="319">
        <f>'HDD and CDD'!B37</f>
        <v>463.5</v>
      </c>
      <c r="C18" s="319">
        <f>'HDD and CDD'!B49</f>
        <v>405.3</v>
      </c>
      <c r="D18" s="319">
        <f>'HDD and CDD'!B61</f>
        <v>539.20000000000005</v>
      </c>
      <c r="E18" s="319">
        <f>'HDD and CDD'!B73</f>
        <v>548.1</v>
      </c>
      <c r="F18" s="319">
        <f>'HDD and CDD'!B85</f>
        <v>471.4</v>
      </c>
      <c r="G18" s="319">
        <f>'HDD and CDD'!B97</f>
        <v>440.1</v>
      </c>
      <c r="H18" s="319">
        <f>'HDD and CDD'!B109</f>
        <v>405.1</v>
      </c>
      <c r="I18" s="319">
        <f>'HDD and CDD'!B121</f>
        <v>470.9</v>
      </c>
      <c r="J18" s="319">
        <f>'HDD and CDD'!B133</f>
        <v>370.8</v>
      </c>
      <c r="K18" s="319">
        <f>'HDD and CDD'!B145</f>
        <v>486.4</v>
      </c>
      <c r="L18" s="319">
        <f>'HDD and CDD'!B157</f>
        <v>434.4</v>
      </c>
      <c r="M18" s="319">
        <f>'HDD and CDD'!B169</f>
        <v>432.9</v>
      </c>
      <c r="N18" s="319">
        <f>'HDD and CDD'!B181</f>
        <v>433.1</v>
      </c>
      <c r="O18" s="319">
        <f>'HDD and CDD'!B193</f>
        <v>415.9</v>
      </c>
      <c r="P18" s="319">
        <f>'HDD and CDD'!B205</f>
        <v>511.8</v>
      </c>
      <c r="Q18" s="319">
        <f>'HDD and CDD'!B217</f>
        <v>499.7</v>
      </c>
      <c r="R18" s="319">
        <f>'HDD and CDD'!B229</f>
        <v>396.5</v>
      </c>
      <c r="S18" s="319">
        <f>'HDD and CDD'!B241</f>
        <v>337.9</v>
      </c>
      <c r="T18" s="319">
        <f>'HDD and CDD'!B253</f>
        <v>382.4</v>
      </c>
      <c r="U18" s="319">
        <f>'HDD and CDD'!B265</f>
        <v>483.60000000000014</v>
      </c>
      <c r="V18" s="320">
        <f t="shared" si="2"/>
        <v>432.82000000000005</v>
      </c>
      <c r="W18" s="321">
        <f t="shared" si="3"/>
        <v>411.68887218045074</v>
      </c>
      <c r="X18" s="320">
        <f t="shared" si="4"/>
        <v>446.44999999999993</v>
      </c>
      <c r="Y18" s="321">
        <f t="shared" si="5"/>
        <v>442.41176470588238</v>
      </c>
    </row>
    <row r="19" spans="1:25" x14ac:dyDescent="0.2">
      <c r="A19" s="318" t="s">
        <v>254</v>
      </c>
      <c r="B19" s="319">
        <f>'HDD and CDD'!B38</f>
        <v>649.6</v>
      </c>
      <c r="C19" s="319">
        <f>'HDD and CDD'!B50</f>
        <v>591.1</v>
      </c>
      <c r="D19" s="319">
        <f>'HDD and CDD'!B62</f>
        <v>741.3</v>
      </c>
      <c r="E19" s="319">
        <f>'HDD and CDD'!B74</f>
        <v>596.5</v>
      </c>
      <c r="F19" s="319">
        <f>'HDD and CDD'!B86</f>
        <v>630.70000000000005</v>
      </c>
      <c r="G19" s="319">
        <f>'HDD and CDD'!B98</f>
        <v>572.1</v>
      </c>
      <c r="H19" s="319">
        <f>'HDD and CDD'!B110</f>
        <v>623.70000000000005</v>
      </c>
      <c r="I19" s="319">
        <f>'HDD and CDD'!B122</f>
        <v>826.5</v>
      </c>
      <c r="J19" s="319">
        <f>'HDD and CDD'!B134</f>
        <v>563.29999999999995</v>
      </c>
      <c r="K19" s="319">
        <f>'HDD and CDD'!B146</f>
        <v>675.6</v>
      </c>
      <c r="L19" s="319">
        <f>'HDD and CDD'!B158</f>
        <v>610</v>
      </c>
      <c r="M19" s="319">
        <f>'HDD and CDD'!B170</f>
        <v>700.1</v>
      </c>
      <c r="N19" s="319">
        <f>'HDD and CDD'!B182</f>
        <v>721.6</v>
      </c>
      <c r="O19" s="319">
        <f>'HDD and CDD'!B194</f>
        <v>545.20000000000005</v>
      </c>
      <c r="P19" s="319">
        <f>'HDD and CDD'!B206</f>
        <v>686.6</v>
      </c>
      <c r="Q19" s="319">
        <f>'HDD and CDD'!B218</f>
        <v>694</v>
      </c>
      <c r="R19" s="319">
        <f>'HDD and CDD'!B230</f>
        <v>669.5</v>
      </c>
      <c r="S19" s="319">
        <f>'HDD and CDD'!B242</f>
        <v>719.39999999999986</v>
      </c>
      <c r="T19" s="319">
        <f>'HDD and CDD'!B254</f>
        <v>574.79999999999995</v>
      </c>
      <c r="U19" s="319">
        <f>'HDD and CDD'!B266</f>
        <v>565.50000000000011</v>
      </c>
      <c r="V19" s="320">
        <f t="shared" si="2"/>
        <v>648.66999999999996</v>
      </c>
      <c r="W19" s="321">
        <f t="shared" si="3"/>
        <v>645.63368421052633</v>
      </c>
      <c r="X19" s="320">
        <f t="shared" si="4"/>
        <v>647.85500000000002</v>
      </c>
      <c r="Y19" s="321">
        <f t="shared" si="5"/>
        <v>645.59411764705885</v>
      </c>
    </row>
    <row r="20" spans="1:25" x14ac:dyDescent="0.2">
      <c r="A20" s="318"/>
      <c r="B20" s="318"/>
      <c r="C20" s="318"/>
      <c r="D20" s="318"/>
      <c r="E20" s="318"/>
      <c r="F20" s="318"/>
      <c r="Q20" s="318"/>
      <c r="R20" s="318"/>
      <c r="S20" s="318"/>
      <c r="T20" s="318"/>
      <c r="U20" s="318"/>
    </row>
    <row r="21" spans="1:25" x14ac:dyDescent="0.2">
      <c r="A21" s="318" t="s">
        <v>12</v>
      </c>
      <c r="B21" s="319">
        <f t="shared" ref="B21:U21" si="6">SUM(B8:B19)</f>
        <v>4240.4000000000005</v>
      </c>
      <c r="C21" s="319">
        <f t="shared" si="6"/>
        <v>4382.6000000000004</v>
      </c>
      <c r="D21" s="319">
        <f t="shared" si="6"/>
        <v>4249.9000000000005</v>
      </c>
      <c r="E21" s="319">
        <f t="shared" si="6"/>
        <v>4413.1000000000004</v>
      </c>
      <c r="F21" s="319">
        <f t="shared" si="6"/>
        <v>4301</v>
      </c>
      <c r="G21" s="319">
        <f t="shared" si="6"/>
        <v>3512.5999999999995</v>
      </c>
      <c r="H21" s="319">
        <f t="shared" si="6"/>
        <v>3932.8999999999996</v>
      </c>
      <c r="I21" s="319">
        <f t="shared" si="6"/>
        <v>4146.7999999999993</v>
      </c>
      <c r="J21" s="319">
        <f t="shared" si="6"/>
        <v>3820.0000000000009</v>
      </c>
      <c r="K21" s="319">
        <f t="shared" si="6"/>
        <v>4048.4999999999995</v>
      </c>
      <c r="L21" s="319">
        <f t="shared" si="6"/>
        <v>4454.5</v>
      </c>
      <c r="M21" s="319">
        <f t="shared" si="6"/>
        <v>4330.2000000000007</v>
      </c>
      <c r="N21" s="319">
        <f t="shared" si="6"/>
        <v>4302.2000000000007</v>
      </c>
      <c r="O21" s="319">
        <f t="shared" si="6"/>
        <v>3809.1000000000004</v>
      </c>
      <c r="P21" s="319">
        <f t="shared" si="6"/>
        <v>4175.8</v>
      </c>
      <c r="Q21" s="319">
        <f t="shared" si="6"/>
        <v>4252.0999999999985</v>
      </c>
      <c r="R21" s="319">
        <f t="shared" si="6"/>
        <v>4269.8999999999996</v>
      </c>
      <c r="S21" s="319">
        <f t="shared" si="6"/>
        <v>3756.7999999999984</v>
      </c>
      <c r="T21" s="319">
        <f t="shared" si="6"/>
        <v>3845.7000000000007</v>
      </c>
      <c r="U21" s="319">
        <f t="shared" si="6"/>
        <v>3584.7</v>
      </c>
    </row>
    <row r="22" spans="1:25" x14ac:dyDescent="0.2">
      <c r="A22" s="312"/>
      <c r="B22" s="312"/>
      <c r="C22" s="312"/>
      <c r="D22" s="312"/>
      <c r="E22" s="313"/>
      <c r="F22" s="313"/>
      <c r="U22" s="323">
        <f>SUM(B21:U21)</f>
        <v>81828.799999999988</v>
      </c>
    </row>
    <row r="23" spans="1:25" x14ac:dyDescent="0.2">
      <c r="A23" s="312" t="s">
        <v>255</v>
      </c>
      <c r="B23" s="312"/>
      <c r="C23" s="312"/>
      <c r="D23" s="312"/>
      <c r="E23" s="313"/>
      <c r="F23" s="313"/>
    </row>
    <row r="24" spans="1:25" x14ac:dyDescent="0.2">
      <c r="A24" s="314"/>
      <c r="B24" s="314"/>
      <c r="C24" s="314"/>
      <c r="D24" s="314"/>
      <c r="E24" s="315"/>
      <c r="F24" s="315"/>
    </row>
    <row r="25" spans="1:25" x14ac:dyDescent="0.2">
      <c r="A25" s="316" t="s">
        <v>241</v>
      </c>
      <c r="B25" s="316">
        <v>1993</v>
      </c>
      <c r="C25" s="316">
        <v>1994</v>
      </c>
      <c r="D25" s="316">
        <v>1995</v>
      </c>
      <c r="E25" s="316">
        <v>1996</v>
      </c>
      <c r="F25" s="316">
        <v>1997</v>
      </c>
      <c r="G25" s="316">
        <v>1998</v>
      </c>
      <c r="H25" s="316">
        <v>1999</v>
      </c>
      <c r="I25" s="316">
        <v>2000</v>
      </c>
      <c r="J25" s="316">
        <v>2001</v>
      </c>
      <c r="K25" s="316">
        <v>2002</v>
      </c>
      <c r="L25" s="316">
        <v>2003</v>
      </c>
      <c r="M25" s="316">
        <v>2004</v>
      </c>
      <c r="N25" s="316">
        <v>2005</v>
      </c>
      <c r="O25" s="316">
        <v>2006</v>
      </c>
      <c r="P25" s="316">
        <v>2007</v>
      </c>
      <c r="Q25" s="316">
        <v>2008</v>
      </c>
      <c r="R25" s="316">
        <v>2009</v>
      </c>
      <c r="S25" s="316">
        <v>2010</v>
      </c>
      <c r="T25" s="316">
        <v>2011</v>
      </c>
      <c r="U25" s="316">
        <v>2012</v>
      </c>
      <c r="V25" s="317" t="s">
        <v>242</v>
      </c>
      <c r="W25" s="317" t="s">
        <v>243</v>
      </c>
      <c r="X25" s="317" t="s">
        <v>257</v>
      </c>
      <c r="Y25" s="317" t="s">
        <v>258</v>
      </c>
    </row>
    <row r="26" spans="1:25" x14ac:dyDescent="0.2">
      <c r="A26" s="314"/>
      <c r="B26" s="314"/>
      <c r="C26" s="314"/>
      <c r="D26" s="314"/>
      <c r="E26" s="313"/>
      <c r="F26" s="313"/>
      <c r="V26" s="324"/>
      <c r="W26" s="324"/>
    </row>
    <row r="27" spans="1:25" x14ac:dyDescent="0.2">
      <c r="E27" s="313"/>
      <c r="F27" s="313"/>
      <c r="V27" s="324"/>
      <c r="W27" s="324"/>
    </row>
    <row r="28" spans="1:25" x14ac:dyDescent="0.2">
      <c r="A28" s="318" t="s">
        <v>244</v>
      </c>
      <c r="B28" s="319">
        <f>'HDD and CDD'!C27</f>
        <v>0</v>
      </c>
      <c r="C28" s="319">
        <f>'HDD and CDD'!C39</f>
        <v>0</v>
      </c>
      <c r="D28" s="319">
        <f>'HDD and CDD'!C51</f>
        <v>0</v>
      </c>
      <c r="E28" s="319">
        <f>'HDD and CDD'!C63</f>
        <v>0</v>
      </c>
      <c r="F28" s="319">
        <f>'HDD and CDD'!C75</f>
        <v>0</v>
      </c>
      <c r="G28" s="319">
        <f>'HDD and CDD'!C87</f>
        <v>0</v>
      </c>
      <c r="H28" s="319">
        <f>'HDD and CDD'!C99</f>
        <v>0</v>
      </c>
      <c r="I28" s="319">
        <f>'HDD and CDD'!C111</f>
        <v>0</v>
      </c>
      <c r="J28" s="319">
        <f>'HDD and CDD'!C123</f>
        <v>0</v>
      </c>
      <c r="K28" s="319">
        <f>'HDD and CDD'!C135</f>
        <v>0</v>
      </c>
      <c r="L28" s="319">
        <f>'HDD and CDD'!C147</f>
        <v>0</v>
      </c>
      <c r="M28" s="319">
        <f>'HDD and CDD'!C159</f>
        <v>0</v>
      </c>
      <c r="N28" s="319">
        <f>'HDD and CDD'!C171</f>
        <v>0</v>
      </c>
      <c r="O28" s="319">
        <f>'HDD and CDD'!C183</f>
        <v>0</v>
      </c>
      <c r="P28" s="319">
        <f>'HDD and CDD'!C195</f>
        <v>0</v>
      </c>
      <c r="Q28" s="319">
        <f>'HDD and CDD'!C207</f>
        <v>0</v>
      </c>
      <c r="R28" s="319">
        <f>'HDD and CDD'!C219</f>
        <v>0</v>
      </c>
      <c r="S28" s="319">
        <f>'HDD and CDD'!C231</f>
        <v>0</v>
      </c>
      <c r="T28" s="319">
        <f>'HDD and CDD'!C243</f>
        <v>0</v>
      </c>
      <c r="U28" s="319">
        <f>'HDD and CDD'!C255</f>
        <v>0</v>
      </c>
      <c r="V28" s="320">
        <f>AVERAGE(L28:U28)</f>
        <v>0</v>
      </c>
      <c r="W28" s="321">
        <f>TREND(B28:U28,$B$25:$U$25,2014)</f>
        <v>0</v>
      </c>
      <c r="X28" s="320">
        <f>AVERAGE(B28:U28)</f>
        <v>0</v>
      </c>
      <c r="Y28" s="321">
        <f>AVERAGE(E28:U28)</f>
        <v>0</v>
      </c>
    </row>
    <row r="29" spans="1:25" x14ac:dyDescent="0.2">
      <c r="A29" s="318" t="s">
        <v>245</v>
      </c>
      <c r="B29" s="319">
        <f>'HDD and CDD'!C28</f>
        <v>0</v>
      </c>
      <c r="C29" s="319">
        <f>'HDD and CDD'!C40</f>
        <v>0</v>
      </c>
      <c r="D29" s="319">
        <f>'HDD and CDD'!C52</f>
        <v>0</v>
      </c>
      <c r="E29" s="319">
        <f>'HDD and CDD'!C64</f>
        <v>0</v>
      </c>
      <c r="F29" s="319">
        <f>'HDD and CDD'!C76</f>
        <v>0</v>
      </c>
      <c r="G29" s="319">
        <f>'HDD and CDD'!C88</f>
        <v>0</v>
      </c>
      <c r="H29" s="319">
        <f>'HDD and CDD'!C100</f>
        <v>0</v>
      </c>
      <c r="I29" s="319">
        <f>'HDD and CDD'!C112</f>
        <v>0</v>
      </c>
      <c r="J29" s="319">
        <f>'HDD and CDD'!C124</f>
        <v>0</v>
      </c>
      <c r="K29" s="319">
        <f>'HDD and CDD'!C136</f>
        <v>0</v>
      </c>
      <c r="L29" s="319">
        <f>'HDD and CDD'!C148</f>
        <v>0</v>
      </c>
      <c r="M29" s="319">
        <f>'HDD and CDD'!C160</f>
        <v>0</v>
      </c>
      <c r="N29" s="319">
        <f>'HDD and CDD'!C172</f>
        <v>0</v>
      </c>
      <c r="O29" s="319">
        <f>'HDD and CDD'!C184</f>
        <v>0</v>
      </c>
      <c r="P29" s="319">
        <f>'HDD and CDD'!C196</f>
        <v>0</v>
      </c>
      <c r="Q29" s="319">
        <f>'HDD and CDD'!C208</f>
        <v>0</v>
      </c>
      <c r="R29" s="319">
        <f>'HDD and CDD'!C220</f>
        <v>0</v>
      </c>
      <c r="S29" s="319">
        <f>'HDD and CDD'!C232</f>
        <v>0</v>
      </c>
      <c r="T29" s="319">
        <f>'HDD and CDD'!C244</f>
        <v>0</v>
      </c>
      <c r="U29" s="319">
        <f>'HDD and CDD'!C256</f>
        <v>0</v>
      </c>
      <c r="V29" s="320">
        <f t="shared" ref="V29:V39" si="7">AVERAGE(L29:U29)</f>
        <v>0</v>
      </c>
      <c r="W29" s="321">
        <f t="shared" ref="W29:W38" si="8">TREND(B29:U29,$B$25:$U$25,2014)</f>
        <v>0</v>
      </c>
      <c r="X29" s="320">
        <f t="shared" ref="X29:X39" si="9">AVERAGE(B29:U29)</f>
        <v>0</v>
      </c>
      <c r="Y29" s="321">
        <f t="shared" ref="Y29:Y39" si="10">AVERAGE(E29:U29)</f>
        <v>0</v>
      </c>
    </row>
    <row r="30" spans="1:25" x14ac:dyDescent="0.2">
      <c r="A30" s="318" t="s">
        <v>246</v>
      </c>
      <c r="B30" s="319">
        <f>'HDD and CDD'!C29</f>
        <v>0</v>
      </c>
      <c r="C30" s="319">
        <f>'HDD and CDD'!C41</f>
        <v>0</v>
      </c>
      <c r="D30" s="319">
        <f>'HDD and CDD'!C53</f>
        <v>0</v>
      </c>
      <c r="E30" s="319">
        <f>'HDD and CDD'!C65</f>
        <v>0</v>
      </c>
      <c r="F30" s="319">
        <f>'HDD and CDD'!C77</f>
        <v>0</v>
      </c>
      <c r="G30" s="319">
        <f>'HDD and CDD'!C89</f>
        <v>0</v>
      </c>
      <c r="H30" s="319">
        <f>'HDD and CDD'!C101</f>
        <v>0</v>
      </c>
      <c r="I30" s="319">
        <f>'HDD and CDD'!C113</f>
        <v>0</v>
      </c>
      <c r="J30" s="319">
        <f>'HDD and CDD'!C125</f>
        <v>0</v>
      </c>
      <c r="K30" s="319">
        <f>'HDD and CDD'!C137</f>
        <v>0</v>
      </c>
      <c r="L30" s="319">
        <f>'HDD and CDD'!C149</f>
        <v>0</v>
      </c>
      <c r="M30" s="319">
        <f>'HDD and CDD'!C161</f>
        <v>0</v>
      </c>
      <c r="N30" s="319">
        <f>'HDD and CDD'!C173</f>
        <v>0</v>
      </c>
      <c r="O30" s="319">
        <f>'HDD and CDD'!C185</f>
        <v>0</v>
      </c>
      <c r="P30" s="319">
        <f>'HDD and CDD'!C197</f>
        <v>0</v>
      </c>
      <c r="Q30" s="319">
        <f>'HDD and CDD'!C209</f>
        <v>0</v>
      </c>
      <c r="R30" s="319">
        <f>'HDD and CDD'!C221</f>
        <v>0</v>
      </c>
      <c r="S30" s="319">
        <f>'HDD and CDD'!C233</f>
        <v>0</v>
      </c>
      <c r="T30" s="319">
        <f>'HDD and CDD'!C245</f>
        <v>0</v>
      </c>
      <c r="U30" s="319">
        <f>'HDD and CDD'!C257</f>
        <v>0</v>
      </c>
      <c r="V30" s="320">
        <f t="shared" si="7"/>
        <v>0</v>
      </c>
      <c r="W30" s="321">
        <f t="shared" si="8"/>
        <v>0</v>
      </c>
      <c r="X30" s="320">
        <f t="shared" si="9"/>
        <v>0</v>
      </c>
      <c r="Y30" s="321">
        <f t="shared" si="10"/>
        <v>0</v>
      </c>
    </row>
    <row r="31" spans="1:25" x14ac:dyDescent="0.2">
      <c r="A31" s="318" t="s">
        <v>247</v>
      </c>
      <c r="B31" s="319">
        <f>'HDD and CDD'!C30</f>
        <v>0</v>
      </c>
      <c r="C31" s="319">
        <f>'HDD and CDD'!C42</f>
        <v>0</v>
      </c>
      <c r="D31" s="319">
        <f>'HDD and CDD'!C54</f>
        <v>0</v>
      </c>
      <c r="E31" s="319">
        <f>'HDD and CDD'!C66</f>
        <v>0</v>
      </c>
      <c r="F31" s="319">
        <f>'HDD and CDD'!C78</f>
        <v>0</v>
      </c>
      <c r="G31" s="319">
        <f>'HDD and CDD'!C90</f>
        <v>0</v>
      </c>
      <c r="H31" s="319">
        <f>'HDD and CDD'!C102</f>
        <v>0</v>
      </c>
      <c r="I31" s="319">
        <f>'HDD and CDD'!C114</f>
        <v>0</v>
      </c>
      <c r="J31" s="319">
        <f>'HDD and CDD'!C126</f>
        <v>0</v>
      </c>
      <c r="K31" s="319">
        <f>'HDD and CDD'!C138</f>
        <v>6.6</v>
      </c>
      <c r="L31" s="319">
        <f>'HDD and CDD'!C150</f>
        <v>0.7</v>
      </c>
      <c r="M31" s="319">
        <f>'HDD and CDD'!C162</f>
        <v>0</v>
      </c>
      <c r="N31" s="319">
        <f>'HDD and CDD'!C174</f>
        <v>0</v>
      </c>
      <c r="O31" s="319">
        <f>'HDD and CDD'!C186</f>
        <v>0</v>
      </c>
      <c r="P31" s="319">
        <f>'HDD and CDD'!C198</f>
        <v>0</v>
      </c>
      <c r="Q31" s="319">
        <f>'HDD and CDD'!C210</f>
        <v>0</v>
      </c>
      <c r="R31" s="319">
        <f>'HDD and CDD'!C222</f>
        <v>3.2</v>
      </c>
      <c r="S31" s="319">
        <f>'HDD and CDD'!C234</f>
        <v>0</v>
      </c>
      <c r="T31" s="319">
        <f>'HDD and CDD'!C246</f>
        <v>0</v>
      </c>
      <c r="U31" s="319">
        <f>'HDD and CDD'!C258</f>
        <v>0</v>
      </c>
      <c r="V31" s="320">
        <f t="shared" si="7"/>
        <v>0.39</v>
      </c>
      <c r="W31" s="321">
        <f t="shared" si="8"/>
        <v>0.83368421052631447</v>
      </c>
      <c r="X31" s="320">
        <f t="shared" si="9"/>
        <v>0.52500000000000002</v>
      </c>
      <c r="Y31" s="321">
        <f t="shared" si="10"/>
        <v>0.61764705882352944</v>
      </c>
    </row>
    <row r="32" spans="1:25" x14ac:dyDescent="0.2">
      <c r="A32" s="318" t="s">
        <v>121</v>
      </c>
      <c r="B32" s="319">
        <f>'HDD and CDD'!C31</f>
        <v>1.5</v>
      </c>
      <c r="C32" s="319">
        <f>'HDD and CDD'!C43</f>
        <v>6.9</v>
      </c>
      <c r="D32" s="319">
        <f>'HDD and CDD'!C55</f>
        <v>1.7</v>
      </c>
      <c r="E32" s="319">
        <f>'HDD and CDD'!C67</f>
        <v>10</v>
      </c>
      <c r="F32" s="319">
        <f>'HDD and CDD'!C79</f>
        <v>0</v>
      </c>
      <c r="G32" s="319">
        <f>'HDD and CDD'!C91</f>
        <v>16.8</v>
      </c>
      <c r="H32" s="319">
        <f>'HDD and CDD'!C103</f>
        <v>10.5</v>
      </c>
      <c r="I32" s="319">
        <f>'HDD and CDD'!C115</f>
        <v>18.7</v>
      </c>
      <c r="J32" s="319">
        <f>'HDD and CDD'!C127</f>
        <v>7.7</v>
      </c>
      <c r="K32" s="319">
        <f>'HDD and CDD'!C139</f>
        <v>5.3</v>
      </c>
      <c r="L32" s="319">
        <f>'HDD and CDD'!C151</f>
        <v>0</v>
      </c>
      <c r="M32" s="319">
        <f>'HDD and CDD'!C163</f>
        <v>6.7</v>
      </c>
      <c r="N32" s="319">
        <f>'HDD and CDD'!C175</f>
        <v>0</v>
      </c>
      <c r="O32" s="319">
        <f>'HDD and CDD'!C187</f>
        <v>17.7</v>
      </c>
      <c r="P32" s="319">
        <f>'HDD and CDD'!C199</f>
        <v>11.2</v>
      </c>
      <c r="Q32" s="319">
        <f>'HDD and CDD'!C211</f>
        <v>0.7</v>
      </c>
      <c r="R32" s="319">
        <f>'HDD and CDD'!C223</f>
        <v>2.2999999999999998</v>
      </c>
      <c r="S32" s="319">
        <f>'HDD and CDD'!C235</f>
        <v>21</v>
      </c>
      <c r="T32" s="319">
        <f>'HDD and CDD'!C247</f>
        <v>13.2</v>
      </c>
      <c r="U32" s="319">
        <f>'HDD and CDD'!C259</f>
        <v>18.2</v>
      </c>
      <c r="V32" s="320">
        <f t="shared" si="7"/>
        <v>9.1</v>
      </c>
      <c r="W32" s="321">
        <f t="shared" si="8"/>
        <v>12.99864661654135</v>
      </c>
      <c r="X32" s="320">
        <f t="shared" si="9"/>
        <v>8.504999999999999</v>
      </c>
      <c r="Y32" s="321">
        <f t="shared" si="10"/>
        <v>9.4117647058823533</v>
      </c>
    </row>
    <row r="33" spans="1:25" x14ac:dyDescent="0.2">
      <c r="A33" s="318" t="s">
        <v>248</v>
      </c>
      <c r="B33" s="319">
        <f>'HDD and CDD'!C32</f>
        <v>26.2</v>
      </c>
      <c r="C33" s="319">
        <f>'HDD and CDD'!C44</f>
        <v>61.6</v>
      </c>
      <c r="D33" s="319">
        <f>'HDD and CDD'!C56</f>
        <v>70.8</v>
      </c>
      <c r="E33" s="319">
        <f>'HDD and CDD'!C68</f>
        <v>38.6</v>
      </c>
      <c r="F33" s="319">
        <f>'HDD and CDD'!C80</f>
        <v>50.4</v>
      </c>
      <c r="G33" s="319">
        <f>'HDD and CDD'!C92</f>
        <v>63.7</v>
      </c>
      <c r="H33" s="319">
        <f>'HDD and CDD'!C104</f>
        <v>76.5</v>
      </c>
      <c r="I33" s="319">
        <f>'HDD and CDD'!C116</f>
        <v>35.4</v>
      </c>
      <c r="J33" s="319">
        <f>'HDD and CDD'!C128</f>
        <v>62.4</v>
      </c>
      <c r="K33" s="319">
        <f>'HDD and CDD'!C140</f>
        <v>54.5</v>
      </c>
      <c r="L33" s="319">
        <f>'HDD and CDD'!C152</f>
        <v>25.5</v>
      </c>
      <c r="M33" s="319">
        <f>'HDD and CDD'!C164</f>
        <v>16.3</v>
      </c>
      <c r="N33" s="319">
        <f>'HDD and CDD'!C176</f>
        <v>104.8</v>
      </c>
      <c r="O33" s="319">
        <f>'HDD and CDD'!C188</f>
        <v>32.200000000000003</v>
      </c>
      <c r="P33" s="319">
        <f>'HDD and CDD'!C200</f>
        <v>51.2</v>
      </c>
      <c r="Q33" s="319">
        <f>'HDD and CDD'!C212</f>
        <v>53</v>
      </c>
      <c r="R33" s="319">
        <f>'HDD and CDD'!C224</f>
        <v>26.2</v>
      </c>
      <c r="S33" s="319">
        <f>'HDD and CDD'!C236</f>
        <v>26.800000000000004</v>
      </c>
      <c r="T33" s="319">
        <f>'HDD and CDD'!C248</f>
        <v>21.599999999999998</v>
      </c>
      <c r="U33" s="319">
        <f>'HDD and CDD'!C260</f>
        <v>61.199999999999996</v>
      </c>
      <c r="V33" s="320">
        <f t="shared" si="7"/>
        <v>41.88</v>
      </c>
      <c r="W33" s="321">
        <f t="shared" si="8"/>
        <v>38.861729323308282</v>
      </c>
      <c r="X33" s="320">
        <f t="shared" si="9"/>
        <v>47.945</v>
      </c>
      <c r="Y33" s="321">
        <f t="shared" si="10"/>
        <v>47.076470588235296</v>
      </c>
    </row>
    <row r="34" spans="1:25" x14ac:dyDescent="0.2">
      <c r="A34" s="318" t="s">
        <v>249</v>
      </c>
      <c r="B34" s="319">
        <f>'HDD and CDD'!C33</f>
        <v>97.1</v>
      </c>
      <c r="C34" s="319">
        <f>'HDD and CDD'!C45</f>
        <v>77.7</v>
      </c>
      <c r="D34" s="319">
        <f>'HDD and CDD'!C57</f>
        <v>105.9</v>
      </c>
      <c r="E34" s="319">
        <f>'HDD and CDD'!C69</f>
        <v>41.9</v>
      </c>
      <c r="F34" s="319">
        <f>'HDD and CDD'!C81</f>
        <v>59.8</v>
      </c>
      <c r="G34" s="319">
        <f>'HDD and CDD'!C93</f>
        <v>64.8</v>
      </c>
      <c r="H34" s="319">
        <f>'HDD and CDD'!C105</f>
        <v>138.9</v>
      </c>
      <c r="I34" s="319">
        <f>'HDD and CDD'!C117</f>
        <v>44.8</v>
      </c>
      <c r="J34" s="319">
        <f>'HDD and CDD'!C129</f>
        <v>65.7</v>
      </c>
      <c r="K34" s="319">
        <f>'HDD and CDD'!C141</f>
        <v>129</v>
      </c>
      <c r="L34" s="319">
        <f>'HDD and CDD'!C153</f>
        <v>50.1</v>
      </c>
      <c r="M34" s="319">
        <f>'HDD and CDD'!C165</f>
        <v>49.3</v>
      </c>
      <c r="N34" s="319">
        <f>'HDD and CDD'!C177</f>
        <v>105.4</v>
      </c>
      <c r="O34" s="319">
        <f>'HDD and CDD'!C189</f>
        <v>117.2</v>
      </c>
      <c r="P34" s="319">
        <f>'HDD and CDD'!C201</f>
        <v>53.8</v>
      </c>
      <c r="Q34" s="319">
        <f>'HDD and CDD'!C213</f>
        <v>75.8</v>
      </c>
      <c r="R34" s="319">
        <f>'HDD and CDD'!C225</f>
        <v>14.5</v>
      </c>
      <c r="S34" s="319">
        <f>'HDD and CDD'!C237</f>
        <v>100.59999999999998</v>
      </c>
      <c r="T34" s="319">
        <f>'HDD and CDD'!C249</f>
        <v>128.19999999999999</v>
      </c>
      <c r="U34" s="319">
        <f>'HDD and CDD'!C261</f>
        <v>116.40000000000002</v>
      </c>
      <c r="V34" s="320">
        <f t="shared" si="7"/>
        <v>81.13000000000001</v>
      </c>
      <c r="W34" s="321">
        <f t="shared" si="8"/>
        <v>89.536165413534036</v>
      </c>
      <c r="X34" s="320">
        <f t="shared" si="9"/>
        <v>81.844999999999999</v>
      </c>
      <c r="Y34" s="321">
        <f t="shared" si="10"/>
        <v>79.776470588235298</v>
      </c>
    </row>
    <row r="35" spans="1:25" x14ac:dyDescent="0.2">
      <c r="A35" s="318" t="s">
        <v>250</v>
      </c>
      <c r="B35" s="319">
        <f>'HDD and CDD'!C34</f>
        <v>93.8</v>
      </c>
      <c r="C35" s="319">
        <f>'HDD and CDD'!C46</f>
        <v>27.3</v>
      </c>
      <c r="D35" s="319">
        <f>'HDD and CDD'!C58</f>
        <v>101.9</v>
      </c>
      <c r="E35" s="319">
        <f>'HDD and CDD'!C70</f>
        <v>55.2</v>
      </c>
      <c r="F35" s="319">
        <f>'HDD and CDD'!C82</f>
        <v>21.9</v>
      </c>
      <c r="G35" s="319">
        <f>'HDD and CDD'!C94</f>
        <v>83.1</v>
      </c>
      <c r="H35" s="319">
        <f>'HDD and CDD'!C106</f>
        <v>30.9</v>
      </c>
      <c r="I35" s="319">
        <f>'HDD and CDD'!C118</f>
        <v>46.3</v>
      </c>
      <c r="J35" s="319">
        <f>'HDD and CDD'!C130</f>
        <v>94.2</v>
      </c>
      <c r="K35" s="319">
        <f>'HDD and CDD'!C142</f>
        <v>72.3</v>
      </c>
      <c r="L35" s="319">
        <f>'HDD and CDD'!C154</f>
        <v>72.400000000000006</v>
      </c>
      <c r="M35" s="319">
        <f>'HDD and CDD'!C166</f>
        <v>30.6</v>
      </c>
      <c r="N35" s="319">
        <f>'HDD and CDD'!C178</f>
        <v>67.900000000000006</v>
      </c>
      <c r="O35" s="319">
        <f>'HDD and CDD'!C190</f>
        <v>45.5</v>
      </c>
      <c r="P35" s="319">
        <f>'HDD and CDD'!C202</f>
        <v>65.099999999999994</v>
      </c>
      <c r="Q35" s="319">
        <f>'HDD and CDD'!C214</f>
        <v>29.5</v>
      </c>
      <c r="R35" s="319">
        <f>'HDD and CDD'!C226</f>
        <v>57.3</v>
      </c>
      <c r="S35" s="319">
        <f>'HDD and CDD'!C238</f>
        <v>79.200000000000017</v>
      </c>
      <c r="T35" s="319">
        <f>'HDD and CDD'!C250</f>
        <v>54.3</v>
      </c>
      <c r="U35" s="319">
        <f>'HDD and CDD'!C262</f>
        <v>58.100000000000009</v>
      </c>
      <c r="V35" s="320">
        <f t="shared" si="7"/>
        <v>55.989999999999995</v>
      </c>
      <c r="W35" s="321">
        <f t="shared" si="8"/>
        <v>54.226390977443657</v>
      </c>
      <c r="X35" s="320">
        <f t="shared" si="9"/>
        <v>59.339999999999989</v>
      </c>
      <c r="Y35" s="321">
        <f t="shared" si="10"/>
        <v>56.694117647058818</v>
      </c>
    </row>
    <row r="36" spans="1:25" x14ac:dyDescent="0.2">
      <c r="A36" s="318" t="s">
        <v>251</v>
      </c>
      <c r="B36" s="319">
        <f>'HDD and CDD'!C35</f>
        <v>4</v>
      </c>
      <c r="C36" s="319">
        <f>'HDD and CDD'!C47</f>
        <v>7.5</v>
      </c>
      <c r="D36" s="319">
        <f>'HDD and CDD'!C59</f>
        <v>10.8</v>
      </c>
      <c r="E36" s="319">
        <f>'HDD and CDD'!C71</f>
        <v>12.6</v>
      </c>
      <c r="F36" s="319">
        <f>'HDD and CDD'!C83</f>
        <v>5.4</v>
      </c>
      <c r="G36" s="319">
        <f>'HDD and CDD'!C95</f>
        <v>26</v>
      </c>
      <c r="H36" s="319">
        <f>'HDD and CDD'!C107</f>
        <v>27.7</v>
      </c>
      <c r="I36" s="319">
        <f>'HDD and CDD'!C119</f>
        <v>23.8</v>
      </c>
      <c r="J36" s="319">
        <f>'HDD and CDD'!C131</f>
        <v>19.2</v>
      </c>
      <c r="K36" s="319">
        <f>'HDD and CDD'!C143</f>
        <v>47</v>
      </c>
      <c r="L36" s="319">
        <f>'HDD and CDD'!C155</f>
        <v>6</v>
      </c>
      <c r="M36" s="319">
        <f>'HDD and CDD'!C167</f>
        <v>13.7</v>
      </c>
      <c r="N36" s="319">
        <f>'HDD and CDD'!C179</f>
        <v>13.7</v>
      </c>
      <c r="O36" s="319">
        <f>'HDD and CDD'!C191</f>
        <v>2.2999999999999998</v>
      </c>
      <c r="P36" s="319">
        <f>'HDD and CDD'!C203</f>
        <v>28</v>
      </c>
      <c r="Q36" s="319">
        <f>'HDD and CDD'!C215</f>
        <v>12</v>
      </c>
      <c r="R36" s="319">
        <f>'HDD and CDD'!C227</f>
        <v>5.5</v>
      </c>
      <c r="S36" s="319">
        <f>'HDD and CDD'!C239</f>
        <v>16.7</v>
      </c>
      <c r="T36" s="319">
        <f>'HDD and CDD'!C251</f>
        <v>17.2</v>
      </c>
      <c r="U36" s="319">
        <f>'HDD and CDD'!C263</f>
        <v>16.399999999999999</v>
      </c>
      <c r="V36" s="320">
        <f t="shared" si="7"/>
        <v>13.15</v>
      </c>
      <c r="W36" s="321">
        <f t="shared" si="8"/>
        <v>17.517293233082682</v>
      </c>
      <c r="X36" s="320">
        <f t="shared" si="9"/>
        <v>15.774999999999997</v>
      </c>
      <c r="Y36" s="321">
        <f t="shared" si="10"/>
        <v>17.247058823529407</v>
      </c>
    </row>
    <row r="37" spans="1:25" x14ac:dyDescent="0.2">
      <c r="A37" s="318" t="s">
        <v>252</v>
      </c>
      <c r="B37" s="319">
        <f>'HDD and CDD'!C36</f>
        <v>1</v>
      </c>
      <c r="C37" s="319">
        <f>'HDD and CDD'!C48</f>
        <v>0</v>
      </c>
      <c r="D37" s="319">
        <f>'HDD and CDD'!C60</f>
        <v>0</v>
      </c>
      <c r="E37" s="319">
        <f>'HDD and CDD'!C72</f>
        <v>0</v>
      </c>
      <c r="F37" s="319">
        <f>'HDD and CDD'!C84</f>
        <v>1.6</v>
      </c>
      <c r="G37" s="319">
        <f>'HDD and CDD'!C96</f>
        <v>0</v>
      </c>
      <c r="H37" s="319">
        <f>'HDD and CDD'!C108</f>
        <v>0</v>
      </c>
      <c r="I37" s="319">
        <f>'HDD and CDD'!C120</f>
        <v>0</v>
      </c>
      <c r="J37" s="319">
        <f>'HDD and CDD'!C132</f>
        <v>0</v>
      </c>
      <c r="K37" s="319">
        <f>'HDD and CDD'!C144</f>
        <v>6.3</v>
      </c>
      <c r="L37" s="319">
        <f>'HDD and CDD'!C156</f>
        <v>0</v>
      </c>
      <c r="M37" s="319">
        <f>'HDD and CDD'!C168</f>
        <v>0</v>
      </c>
      <c r="N37" s="319">
        <f>'HDD and CDD'!C180</f>
        <v>2.6</v>
      </c>
      <c r="O37" s="319">
        <f>'HDD and CDD'!C192</f>
        <v>0</v>
      </c>
      <c r="P37" s="319">
        <f>'HDD and CDD'!C204</f>
        <v>10.9</v>
      </c>
      <c r="Q37" s="319">
        <f>'HDD and CDD'!C216</f>
        <v>0</v>
      </c>
      <c r="R37" s="319">
        <f>'HDD and CDD'!C228</f>
        <v>0</v>
      </c>
      <c r="S37" s="319">
        <f>'HDD and CDD'!C240</f>
        <v>0</v>
      </c>
      <c r="T37" s="319">
        <f>'HDD and CDD'!C252</f>
        <v>0</v>
      </c>
      <c r="U37" s="319">
        <f>'HDD and CDD'!C264</f>
        <v>0</v>
      </c>
      <c r="V37" s="320">
        <f t="shared" si="7"/>
        <v>1.35</v>
      </c>
      <c r="W37" s="321">
        <f t="shared" si="8"/>
        <v>1.7096992481203017</v>
      </c>
      <c r="X37" s="320">
        <f t="shared" si="9"/>
        <v>1.1199999999999999</v>
      </c>
      <c r="Y37" s="321">
        <f t="shared" si="10"/>
        <v>1.2588235294117647</v>
      </c>
    </row>
    <row r="38" spans="1:25" x14ac:dyDescent="0.2">
      <c r="A38" s="318" t="s">
        <v>253</v>
      </c>
      <c r="B38" s="319">
        <f>'HDD and CDD'!C37</f>
        <v>0</v>
      </c>
      <c r="C38" s="319">
        <f>'HDD and CDD'!C49</f>
        <v>0</v>
      </c>
      <c r="D38" s="319">
        <f>'HDD and CDD'!C61</f>
        <v>0</v>
      </c>
      <c r="E38" s="319">
        <f>'HDD and CDD'!C73</f>
        <v>0</v>
      </c>
      <c r="F38" s="319">
        <f>'HDD and CDD'!C85</f>
        <v>0</v>
      </c>
      <c r="G38" s="319">
        <f>'HDD and CDD'!C97</f>
        <v>0</v>
      </c>
      <c r="H38" s="319">
        <f>'HDD and CDD'!C109</f>
        <v>0</v>
      </c>
      <c r="I38" s="319">
        <f>'HDD and CDD'!C121</f>
        <v>0</v>
      </c>
      <c r="J38" s="319">
        <f>'HDD and CDD'!C133</f>
        <v>0</v>
      </c>
      <c r="K38" s="319">
        <f>'HDD and CDD'!C145</f>
        <v>0</v>
      </c>
      <c r="L38" s="319">
        <f>'HDD and CDD'!C157</f>
        <v>0</v>
      </c>
      <c r="M38" s="319">
        <f>'HDD and CDD'!C169</f>
        <v>0</v>
      </c>
      <c r="N38" s="319">
        <f>'HDD and CDD'!C181</f>
        <v>0</v>
      </c>
      <c r="O38" s="319">
        <f>'HDD and CDD'!C193</f>
        <v>0</v>
      </c>
      <c r="P38" s="319">
        <f>'HDD and CDD'!C205</f>
        <v>0</v>
      </c>
      <c r="Q38" s="319">
        <f>'HDD and CDD'!C217</f>
        <v>0</v>
      </c>
      <c r="R38" s="319">
        <f>'HDD and CDD'!C229</f>
        <v>0</v>
      </c>
      <c r="S38" s="319">
        <f>'HDD and CDD'!C241</f>
        <v>0</v>
      </c>
      <c r="T38" s="319">
        <f>'HDD and CDD'!C253</f>
        <v>0</v>
      </c>
      <c r="U38" s="319">
        <f>'HDD and CDD'!C265</f>
        <v>0</v>
      </c>
      <c r="V38" s="320">
        <f t="shared" si="7"/>
        <v>0</v>
      </c>
      <c r="W38" s="321">
        <f t="shared" si="8"/>
        <v>0</v>
      </c>
      <c r="X38" s="320">
        <f t="shared" si="9"/>
        <v>0</v>
      </c>
      <c r="Y38" s="321">
        <f t="shared" si="10"/>
        <v>0</v>
      </c>
    </row>
    <row r="39" spans="1:25" x14ac:dyDescent="0.2">
      <c r="A39" s="318" t="s">
        <v>254</v>
      </c>
      <c r="B39" s="319">
        <f>'HDD and CDD'!C38</f>
        <v>0</v>
      </c>
      <c r="C39" s="319">
        <f>'HDD and CDD'!C50</f>
        <v>0</v>
      </c>
      <c r="D39" s="319">
        <f>'HDD and CDD'!C62</f>
        <v>0</v>
      </c>
      <c r="E39" s="319">
        <f>'HDD and CDD'!C74</f>
        <v>0</v>
      </c>
      <c r="F39" s="319">
        <f>'HDD and CDD'!C86</f>
        <v>0</v>
      </c>
      <c r="G39" s="319">
        <f>'HDD and CDD'!C98</f>
        <v>0</v>
      </c>
      <c r="H39" s="319">
        <f>'HDD and CDD'!C110</f>
        <v>0</v>
      </c>
      <c r="I39" s="319">
        <f>'HDD and CDD'!C122</f>
        <v>0</v>
      </c>
      <c r="J39" s="319">
        <f>'HDD and CDD'!C134</f>
        <v>0</v>
      </c>
      <c r="K39" s="319">
        <f>'HDD and CDD'!C146</f>
        <v>0</v>
      </c>
      <c r="L39" s="319">
        <f>'HDD and CDD'!C158</f>
        <v>0</v>
      </c>
      <c r="M39" s="319">
        <f>'HDD and CDD'!C170</f>
        <v>0</v>
      </c>
      <c r="N39" s="319">
        <f>'HDD and CDD'!C182</f>
        <v>0</v>
      </c>
      <c r="O39" s="319">
        <f>'HDD and CDD'!C194</f>
        <v>0</v>
      </c>
      <c r="P39" s="319">
        <f>'HDD and CDD'!C206</f>
        <v>0</v>
      </c>
      <c r="Q39" s="319">
        <f>'HDD and CDD'!C218</f>
        <v>0</v>
      </c>
      <c r="R39" s="319">
        <f>'HDD and CDD'!C230</f>
        <v>0</v>
      </c>
      <c r="S39" s="319">
        <f>'HDD and CDD'!C242</f>
        <v>0</v>
      </c>
      <c r="T39" s="319">
        <f>'HDD and CDD'!C254</f>
        <v>0</v>
      </c>
      <c r="U39" s="319">
        <f>'HDD and CDD'!C266</f>
        <v>0</v>
      </c>
      <c r="V39" s="320">
        <f t="shared" si="7"/>
        <v>0</v>
      </c>
      <c r="W39" s="321">
        <f>TREND(B39:U39,$B$25:$U$25,2014)</f>
        <v>0</v>
      </c>
      <c r="X39" s="320">
        <f t="shared" si="9"/>
        <v>0</v>
      </c>
      <c r="Y39" s="321">
        <f t="shared" si="10"/>
        <v>0</v>
      </c>
    </row>
    <row r="40" spans="1:25" x14ac:dyDescent="0.2">
      <c r="A40" s="318"/>
      <c r="B40" s="318"/>
      <c r="C40" s="318"/>
      <c r="D40" s="318"/>
      <c r="E40" s="318"/>
      <c r="F40" s="318"/>
      <c r="G40" s="313"/>
      <c r="H40" s="313"/>
      <c r="Q40" s="318"/>
      <c r="R40" s="318"/>
      <c r="S40" s="318"/>
      <c r="T40" s="318"/>
      <c r="U40" s="318"/>
    </row>
    <row r="41" spans="1:25" x14ac:dyDescent="0.2">
      <c r="A41" s="318" t="s">
        <v>12</v>
      </c>
      <c r="B41" s="319">
        <f t="shared" ref="B41:U41" si="11">SUM(B28:B39)</f>
        <v>223.6</v>
      </c>
      <c r="C41" s="319">
        <f t="shared" si="11"/>
        <v>181</v>
      </c>
      <c r="D41" s="319">
        <f t="shared" si="11"/>
        <v>291.10000000000002</v>
      </c>
      <c r="E41" s="319">
        <f t="shared" si="11"/>
        <v>158.29999999999998</v>
      </c>
      <c r="F41" s="319">
        <f t="shared" si="11"/>
        <v>139.1</v>
      </c>
      <c r="G41" s="319">
        <f t="shared" si="11"/>
        <v>254.4</v>
      </c>
      <c r="H41" s="319">
        <f t="shared" si="11"/>
        <v>284.5</v>
      </c>
      <c r="I41" s="319">
        <f t="shared" si="11"/>
        <v>169</v>
      </c>
      <c r="J41" s="319">
        <f t="shared" si="11"/>
        <v>249.2</v>
      </c>
      <c r="K41" s="319">
        <f t="shared" si="11"/>
        <v>321</v>
      </c>
      <c r="L41" s="319">
        <f t="shared" si="11"/>
        <v>154.69999999999999</v>
      </c>
      <c r="M41" s="319">
        <f t="shared" si="11"/>
        <v>116.60000000000001</v>
      </c>
      <c r="N41" s="319">
        <f t="shared" si="11"/>
        <v>294.40000000000003</v>
      </c>
      <c r="O41" s="319">
        <f t="shared" si="11"/>
        <v>214.90000000000003</v>
      </c>
      <c r="P41" s="319">
        <f t="shared" si="11"/>
        <v>220.20000000000002</v>
      </c>
      <c r="Q41" s="319">
        <f t="shared" si="11"/>
        <v>171</v>
      </c>
      <c r="R41" s="319">
        <f t="shared" si="11"/>
        <v>109</v>
      </c>
      <c r="S41" s="319">
        <f t="shared" si="11"/>
        <v>244.29999999999998</v>
      </c>
      <c r="T41" s="319">
        <f t="shared" si="11"/>
        <v>234.5</v>
      </c>
      <c r="U41" s="319">
        <f t="shared" si="11"/>
        <v>270.3</v>
      </c>
      <c r="V41" s="322"/>
      <c r="W41" s="322"/>
    </row>
    <row r="42" spans="1:25" x14ac:dyDescent="0.2">
      <c r="A42" s="318"/>
      <c r="B42" s="318"/>
      <c r="C42" s="318"/>
      <c r="D42" s="318"/>
      <c r="E42" s="313"/>
      <c r="F42" s="313"/>
      <c r="G42" s="313"/>
      <c r="H42" s="313"/>
      <c r="I42" s="313"/>
      <c r="J42" s="313"/>
      <c r="K42" s="313"/>
      <c r="L42" s="313"/>
      <c r="M42" s="313"/>
      <c r="N42" s="313"/>
      <c r="O42" s="313"/>
      <c r="P42" s="313"/>
      <c r="U42" s="323">
        <f>SUM(B41:U41)</f>
        <v>4301.0999999999995</v>
      </c>
    </row>
    <row r="43" spans="1:25" x14ac:dyDescent="0.2">
      <c r="A43" s="318"/>
      <c r="B43" s="318"/>
      <c r="C43" s="318"/>
      <c r="D43" s="318"/>
      <c r="E43" s="313"/>
      <c r="F43" s="313"/>
      <c r="G43" s="313"/>
      <c r="H43" s="313"/>
    </row>
    <row r="44" spans="1:25" x14ac:dyDescent="0.2">
      <c r="A44" s="312"/>
      <c r="B44" s="312"/>
      <c r="C44" s="312"/>
      <c r="D44" s="312"/>
      <c r="E44" s="313"/>
      <c r="F44" s="313"/>
    </row>
  </sheetData>
  <mergeCells count="1">
    <mergeCell ref="D1:E1"/>
  </mergeCells>
  <pageMargins left="0.5" right="0.5" top="0.75" bottom="0.75" header="0.5" footer="0.5"/>
  <pageSetup paperSize="5" scale="72" orientation="landscape" r:id="rId1"/>
  <headerFooter alignWithMargins="0">
    <oddFooter>&amp;L&amp;8&amp;D
&amp;Z&amp;F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96"/>
  <sheetViews>
    <sheetView topLeftCell="A70" workbookViewId="0">
      <selection activeCell="D11" sqref="D11"/>
    </sheetView>
  </sheetViews>
  <sheetFormatPr defaultRowHeight="12.75" x14ac:dyDescent="0.2"/>
  <cols>
    <col min="1" max="1" width="1" customWidth="1"/>
    <col min="2" max="2" width="31.42578125" bestFit="1" customWidth="1"/>
    <col min="3" max="3" width="14.140625" customWidth="1"/>
    <col min="4" max="4" width="11.7109375" customWidth="1"/>
    <col min="5" max="5" width="13.42578125" customWidth="1"/>
    <col min="6" max="6" width="10" customWidth="1"/>
    <col min="7" max="7" width="12.7109375" customWidth="1"/>
    <col min="8" max="8" width="2.42578125" customWidth="1"/>
    <col min="9" max="9" width="5" bestFit="1" customWidth="1"/>
    <col min="11" max="11" width="8.85546875" customWidth="1"/>
    <col min="12" max="12" width="12.7109375" bestFit="1" customWidth="1"/>
  </cols>
  <sheetData>
    <row r="1" spans="2:12" ht="13.5" thickBot="1" x14ac:dyDescent="0.25"/>
    <row r="2" spans="2:12" ht="13.5" thickBot="1" x14ac:dyDescent="0.25">
      <c r="B2" s="449" t="s">
        <v>289</v>
      </c>
      <c r="C2" s="450"/>
      <c r="D2" s="450"/>
      <c r="E2" s="451"/>
    </row>
    <row r="3" spans="2:12" x14ac:dyDescent="0.2">
      <c r="B3" s="350" t="s">
        <v>288</v>
      </c>
      <c r="C3" s="88" t="s">
        <v>132</v>
      </c>
      <c r="D3" s="88" t="s">
        <v>133</v>
      </c>
      <c r="E3" s="88" t="s">
        <v>134</v>
      </c>
    </row>
    <row r="4" spans="2:12" x14ac:dyDescent="0.2">
      <c r="B4" s="132" t="str">
        <f>'[14]Rate Class Energy Model'!H2</f>
        <v xml:space="preserve">Residential </v>
      </c>
      <c r="C4" s="133">
        <f>Summary!N17</f>
        <v>391766292.46928155</v>
      </c>
      <c r="D4" s="134"/>
      <c r="E4" s="336">
        <v>0.9224</v>
      </c>
    </row>
    <row r="5" spans="2:12" x14ac:dyDescent="0.2">
      <c r="B5" s="132" t="str">
        <f>'[14]Rate Class Energy Model'!I2</f>
        <v>General Service &lt; 50 kW</v>
      </c>
      <c r="C5" s="133">
        <f>Summary!N21</f>
        <v>153815663.60858503</v>
      </c>
      <c r="D5" s="134"/>
      <c r="E5" s="336">
        <v>0.85560000000000003</v>
      </c>
    </row>
    <row r="6" spans="2:12" x14ac:dyDescent="0.2">
      <c r="B6" s="132" t="str">
        <f>'[14]Rate Class Energy Model'!J2</f>
        <v>General Service &gt; 50 to 999 kW</v>
      </c>
      <c r="C6" s="133">
        <f>Summary!N25</f>
        <v>430255218.6422714</v>
      </c>
      <c r="D6" s="135">
        <f>Summary!N26</f>
        <v>1222684.9996657735</v>
      </c>
      <c r="E6" s="336">
        <v>0.32790000000000002</v>
      </c>
    </row>
    <row r="7" spans="2:12" x14ac:dyDescent="0.2">
      <c r="B7" s="132" t="str">
        <f>'[14]Rate Class Energy Model'!K2</f>
        <v>General Service &gt; 1000 to 4999 kW</v>
      </c>
      <c r="C7" s="133">
        <f>Summary!N30</f>
        <v>222521423.61991799</v>
      </c>
      <c r="D7" s="135">
        <f>Summary!N31</f>
        <v>529312.79885391332</v>
      </c>
      <c r="E7" s="336">
        <v>0</v>
      </c>
      <c r="L7" s="136"/>
    </row>
    <row r="8" spans="2:12" x14ac:dyDescent="0.2">
      <c r="B8" s="132" t="str">
        <f>'[14]Rate Class Customer Model'!F2</f>
        <v>Large User</v>
      </c>
      <c r="C8" s="133">
        <f>Summary!N35</f>
        <v>204337521.74348557</v>
      </c>
      <c r="D8" s="135">
        <f>Summary!N36</f>
        <v>423390.54069697962</v>
      </c>
      <c r="E8" s="336">
        <v>0</v>
      </c>
    </row>
    <row r="9" spans="2:12" x14ac:dyDescent="0.2">
      <c r="B9" s="132" t="str">
        <f>'[14]Rate Class Customer Model'!H2</f>
        <v>Street Lights</v>
      </c>
      <c r="C9" s="133">
        <f>Summary!N45</f>
        <v>9630507.6141368318</v>
      </c>
      <c r="D9" s="135">
        <f>Summary!N46</f>
        <v>25847.553417371448</v>
      </c>
      <c r="E9" s="336">
        <v>0</v>
      </c>
    </row>
    <row r="10" spans="2:12" x14ac:dyDescent="0.2">
      <c r="B10" s="132" t="str">
        <f>'[14]Rate Class Customer Model'!I2</f>
        <v xml:space="preserve">Unmetered Loads </v>
      </c>
      <c r="C10" s="133">
        <f>Summary!N50</f>
        <v>1878439.9969108177</v>
      </c>
      <c r="D10" s="135"/>
      <c r="E10" s="336">
        <v>0.998</v>
      </c>
    </row>
    <row r="11" spans="2:12" x14ac:dyDescent="0.2">
      <c r="B11" s="132" t="str">
        <f>'[14]Rate Class Customer Model'!J2</f>
        <v>Embedded Distributors - Hydro One</v>
      </c>
      <c r="C11" s="133">
        <f>Summary!N54-Summary!N11</f>
        <v>12809530.880362734</v>
      </c>
      <c r="D11" s="135">
        <f>Summary!N55*0.3</f>
        <v>27591.39249918488</v>
      </c>
      <c r="E11" s="336">
        <v>0</v>
      </c>
    </row>
    <row r="12" spans="2:12" x14ac:dyDescent="0.2">
      <c r="B12" s="137" t="s">
        <v>135</v>
      </c>
      <c r="C12" s="138">
        <f>SUM(C4:C11)</f>
        <v>1427014598.5749519</v>
      </c>
      <c r="D12" s="138">
        <f>SUM(D4:D11)</f>
        <v>2228827.2851332226</v>
      </c>
      <c r="E12" s="138"/>
      <c r="I12" s="61"/>
    </row>
    <row r="13" spans="2:12" x14ac:dyDescent="0.2">
      <c r="C13" s="61"/>
      <c r="D13" s="61"/>
    </row>
    <row r="15" spans="2:12" x14ac:dyDescent="0.2">
      <c r="B15" s="337" t="s">
        <v>136</v>
      </c>
      <c r="C15" s="452" t="s">
        <v>137</v>
      </c>
      <c r="D15" s="454" t="s">
        <v>138</v>
      </c>
      <c r="E15" s="456">
        <v>2013</v>
      </c>
      <c r="F15" s="457"/>
      <c r="G15" s="458"/>
    </row>
    <row r="16" spans="2:12" x14ac:dyDescent="0.2">
      <c r="B16" s="338" t="s">
        <v>139</v>
      </c>
      <c r="C16" s="453"/>
      <c r="D16" s="455"/>
      <c r="E16" s="444"/>
      <c r="F16" s="445"/>
      <c r="G16" s="446"/>
    </row>
    <row r="17" spans="2:10" x14ac:dyDescent="0.2">
      <c r="B17" s="75" t="str">
        <f>B4</f>
        <v xml:space="preserve">Residential </v>
      </c>
      <c r="C17" s="133">
        <f>C4*E4</f>
        <v>361365228.17366529</v>
      </c>
      <c r="D17" s="140">
        <v>1.0286</v>
      </c>
      <c r="E17" s="141">
        <f t="shared" ref="E17:E24" si="0">C17*D17</f>
        <v>371700273.69943208</v>
      </c>
      <c r="F17" s="142">
        <v>8.3949999999999997E-2</v>
      </c>
      <c r="G17" s="143">
        <f t="shared" ref="G17:G24" si="1">E17*F17</f>
        <v>31204237.977067322</v>
      </c>
    </row>
    <row r="18" spans="2:10" x14ac:dyDescent="0.2">
      <c r="B18" s="75" t="str">
        <f t="shared" ref="B18:B24" si="2">B5</f>
        <v>General Service &lt; 50 kW</v>
      </c>
      <c r="C18" s="133">
        <f t="shared" ref="C18:C24" si="3">C5*E5</f>
        <v>131604681.78350535</v>
      </c>
      <c r="D18" s="140">
        <v>1.0286</v>
      </c>
      <c r="E18" s="141">
        <f t="shared" si="0"/>
        <v>135368575.68251359</v>
      </c>
      <c r="F18" s="142">
        <v>8.3949999999999997E-2</v>
      </c>
      <c r="G18" s="143">
        <f t="shared" si="1"/>
        <v>11364191.928547015</v>
      </c>
    </row>
    <row r="19" spans="2:10" x14ac:dyDescent="0.2">
      <c r="B19" s="75" t="str">
        <f t="shared" si="2"/>
        <v>General Service &gt; 50 to 999 kW</v>
      </c>
      <c r="C19" s="133">
        <f t="shared" si="3"/>
        <v>141080686.19280079</v>
      </c>
      <c r="D19" s="140">
        <v>1.0286</v>
      </c>
      <c r="E19" s="141">
        <f t="shared" si="0"/>
        <v>145115593.81791487</v>
      </c>
      <c r="F19" s="142">
        <v>8.3949999999999997E-2</v>
      </c>
      <c r="G19" s="143">
        <f t="shared" si="1"/>
        <v>12182454.101013953</v>
      </c>
    </row>
    <row r="20" spans="2:10" x14ac:dyDescent="0.2">
      <c r="B20" s="75" t="str">
        <f t="shared" si="2"/>
        <v>General Service &gt; 1000 to 4999 kW</v>
      </c>
      <c r="C20" s="133">
        <f t="shared" si="3"/>
        <v>0</v>
      </c>
      <c r="D20" s="140">
        <v>1.0286</v>
      </c>
      <c r="E20" s="141">
        <f t="shared" si="0"/>
        <v>0</v>
      </c>
      <c r="F20" s="142">
        <v>8.3949999999999997E-2</v>
      </c>
      <c r="G20" s="143">
        <f t="shared" si="1"/>
        <v>0</v>
      </c>
    </row>
    <row r="21" spans="2:10" x14ac:dyDescent="0.2">
      <c r="B21" s="75" t="str">
        <f t="shared" si="2"/>
        <v>Large User</v>
      </c>
      <c r="C21" s="133">
        <f t="shared" si="3"/>
        <v>0</v>
      </c>
      <c r="D21" s="140">
        <v>1.0003</v>
      </c>
      <c r="E21" s="141">
        <f t="shared" si="0"/>
        <v>0</v>
      </c>
      <c r="F21" s="142">
        <v>8.3949999999999997E-2</v>
      </c>
      <c r="G21" s="143">
        <f t="shared" si="1"/>
        <v>0</v>
      </c>
    </row>
    <row r="22" spans="2:10" x14ac:dyDescent="0.2">
      <c r="B22" s="75" t="str">
        <f t="shared" si="2"/>
        <v>Street Lights</v>
      </c>
      <c r="C22" s="133">
        <f t="shared" si="3"/>
        <v>0</v>
      </c>
      <c r="D22" s="140">
        <v>1.0286</v>
      </c>
      <c r="E22" s="141">
        <f t="shared" si="0"/>
        <v>0</v>
      </c>
      <c r="F22" s="142">
        <v>8.3949999999999997E-2</v>
      </c>
      <c r="G22" s="143">
        <f t="shared" si="1"/>
        <v>0</v>
      </c>
    </row>
    <row r="23" spans="2:10" x14ac:dyDescent="0.2">
      <c r="B23" s="75" t="str">
        <f t="shared" si="2"/>
        <v xml:space="preserve">Unmetered Loads </v>
      </c>
      <c r="C23" s="133">
        <f t="shared" si="3"/>
        <v>1874683.116916996</v>
      </c>
      <c r="D23" s="140">
        <v>1.0286</v>
      </c>
      <c r="E23" s="141">
        <f t="shared" si="0"/>
        <v>1928299.0540608219</v>
      </c>
      <c r="F23" s="142">
        <v>8.3949999999999997E-2</v>
      </c>
      <c r="G23" s="143">
        <f t="shared" si="1"/>
        <v>161880.70558840598</v>
      </c>
    </row>
    <row r="24" spans="2:10" x14ac:dyDescent="0.2">
      <c r="B24" s="75" t="str">
        <f t="shared" si="2"/>
        <v>Embedded Distributors - Hydro One</v>
      </c>
      <c r="C24" s="133">
        <f t="shared" si="3"/>
        <v>0</v>
      </c>
      <c r="D24" s="140">
        <v>1.0286</v>
      </c>
      <c r="E24" s="141">
        <f t="shared" si="0"/>
        <v>0</v>
      </c>
      <c r="F24" s="142">
        <v>8.3949999999999997E-2</v>
      </c>
      <c r="G24" s="143">
        <f t="shared" si="1"/>
        <v>0</v>
      </c>
    </row>
    <row r="25" spans="2:10" x14ac:dyDescent="0.2">
      <c r="B25" s="137" t="s">
        <v>135</v>
      </c>
      <c r="C25" s="138">
        <f>SUM(C17:C24)</f>
        <v>635925279.26688838</v>
      </c>
      <c r="D25" s="139"/>
      <c r="E25" s="138">
        <f>SUM(E17:E24)</f>
        <v>654112742.25392139</v>
      </c>
      <c r="F25" s="144"/>
      <c r="G25" s="145">
        <f>SUM(G17:G24)</f>
        <v>54912764.712216698</v>
      </c>
    </row>
    <row r="26" spans="2:10" x14ac:dyDescent="0.2">
      <c r="B26" s="146"/>
      <c r="C26" s="147"/>
      <c r="D26" s="148"/>
      <c r="E26" s="147"/>
      <c r="F26" s="149"/>
      <c r="G26" s="150"/>
    </row>
    <row r="27" spans="2:10" x14ac:dyDescent="0.2">
      <c r="B27" s="337" t="s">
        <v>140</v>
      </c>
      <c r="C27" s="452" t="s">
        <v>137</v>
      </c>
      <c r="D27" s="454" t="s">
        <v>138</v>
      </c>
      <c r="E27" s="456">
        <v>2013</v>
      </c>
      <c r="F27" s="457"/>
      <c r="G27" s="458"/>
    </row>
    <row r="28" spans="2:10" x14ac:dyDescent="0.2">
      <c r="B28" s="338" t="s">
        <v>141</v>
      </c>
      <c r="C28" s="453"/>
      <c r="D28" s="455"/>
      <c r="E28" s="444"/>
      <c r="F28" s="445"/>
      <c r="G28" s="446"/>
    </row>
    <row r="29" spans="2:10" x14ac:dyDescent="0.2">
      <c r="B29" s="75" t="str">
        <f>B17</f>
        <v xml:space="preserve">Residential </v>
      </c>
      <c r="C29" s="133">
        <f>C4-C17</f>
        <v>30401064.295616269</v>
      </c>
      <c r="D29" s="134">
        <f>D17</f>
        <v>1.0286</v>
      </c>
      <c r="E29" s="141">
        <f t="shared" ref="E29:E36" si="4">C29*D29</f>
        <v>31270534.734470893</v>
      </c>
      <c r="F29" s="142">
        <v>8.5449999999999998E-2</v>
      </c>
      <c r="G29" s="143">
        <f t="shared" ref="G29:G36" si="5">E29*F29</f>
        <v>2672067.1930605378</v>
      </c>
    </row>
    <row r="30" spans="2:10" x14ac:dyDescent="0.2">
      <c r="B30" s="75" t="str">
        <f t="shared" ref="B30:B36" si="6">B18</f>
        <v>General Service &lt; 50 kW</v>
      </c>
      <c r="C30" s="133">
        <f t="shared" ref="C30:C36" si="7">C5-C18</f>
        <v>22210981.825079679</v>
      </c>
      <c r="D30" s="134">
        <f t="shared" ref="D30:D36" si="8">D18</f>
        <v>1.0286</v>
      </c>
      <c r="E30" s="141">
        <f t="shared" si="4"/>
        <v>22846215.905276958</v>
      </c>
      <c r="F30" s="142">
        <f>F29</f>
        <v>8.5449999999999998E-2</v>
      </c>
      <c r="G30" s="143">
        <f t="shared" si="5"/>
        <v>1952209.149105916</v>
      </c>
      <c r="I30">
        <v>2013</v>
      </c>
      <c r="J30">
        <f>19.33+66.12</f>
        <v>85.45</v>
      </c>
    </row>
    <row r="31" spans="2:10" x14ac:dyDescent="0.2">
      <c r="B31" s="75" t="str">
        <f t="shared" si="6"/>
        <v>General Service &gt; 50 to 999 kW</v>
      </c>
      <c r="C31" s="133">
        <f t="shared" si="7"/>
        <v>289174532.44947064</v>
      </c>
      <c r="D31" s="134">
        <f t="shared" si="8"/>
        <v>1.0286</v>
      </c>
      <c r="E31" s="141">
        <f t="shared" si="4"/>
        <v>297444924.0775255</v>
      </c>
      <c r="F31" s="142">
        <f>F29</f>
        <v>8.5449999999999998E-2</v>
      </c>
      <c r="G31" s="143">
        <f t="shared" si="5"/>
        <v>25416668.762424555</v>
      </c>
    </row>
    <row r="32" spans="2:10" x14ac:dyDescent="0.2">
      <c r="B32" s="75" t="str">
        <f t="shared" si="6"/>
        <v>General Service &gt; 1000 to 4999 kW</v>
      </c>
      <c r="C32" s="133">
        <f t="shared" si="7"/>
        <v>222521423.61991799</v>
      </c>
      <c r="D32" s="134">
        <f t="shared" si="8"/>
        <v>1.0286</v>
      </c>
      <c r="E32" s="141">
        <f t="shared" si="4"/>
        <v>228885536.33544764</v>
      </c>
      <c r="F32" s="142">
        <f>F29</f>
        <v>8.5449999999999998E-2</v>
      </c>
      <c r="G32" s="143">
        <f t="shared" si="5"/>
        <v>19558269.079863999</v>
      </c>
    </row>
    <row r="33" spans="2:9" x14ac:dyDescent="0.2">
      <c r="B33" s="75" t="str">
        <f t="shared" si="6"/>
        <v>Large User</v>
      </c>
      <c r="C33" s="133">
        <f t="shared" si="7"/>
        <v>204337521.74348557</v>
      </c>
      <c r="D33" s="134">
        <f t="shared" si="8"/>
        <v>1.0003</v>
      </c>
      <c r="E33" s="141">
        <f t="shared" si="4"/>
        <v>204398823.00000861</v>
      </c>
      <c r="F33" s="142">
        <f>F29</f>
        <v>8.5449999999999998E-2</v>
      </c>
      <c r="G33" s="143">
        <f t="shared" si="5"/>
        <v>17465879.425350737</v>
      </c>
    </row>
    <row r="34" spans="2:9" x14ac:dyDescent="0.2">
      <c r="B34" s="75" t="str">
        <f t="shared" si="6"/>
        <v>Street Lights</v>
      </c>
      <c r="C34" s="133">
        <f t="shared" si="7"/>
        <v>9630507.6141368318</v>
      </c>
      <c r="D34" s="134">
        <f t="shared" si="8"/>
        <v>1.0286</v>
      </c>
      <c r="E34" s="141">
        <f t="shared" si="4"/>
        <v>9905940.131901145</v>
      </c>
      <c r="F34" s="142">
        <f>F29</f>
        <v>8.5449999999999998E-2</v>
      </c>
      <c r="G34" s="143">
        <f t="shared" si="5"/>
        <v>846462.58427095285</v>
      </c>
    </row>
    <row r="35" spans="2:9" x14ac:dyDescent="0.2">
      <c r="B35" s="75" t="str">
        <f t="shared" si="6"/>
        <v xml:space="preserve">Unmetered Loads </v>
      </c>
      <c r="C35" s="133">
        <f t="shared" si="7"/>
        <v>3756.8799938217271</v>
      </c>
      <c r="D35" s="134">
        <f t="shared" si="8"/>
        <v>1.0286</v>
      </c>
      <c r="E35" s="141">
        <f t="shared" si="4"/>
        <v>3864.3267616450285</v>
      </c>
      <c r="F35" s="142">
        <f>F29</f>
        <v>8.5449999999999998E-2</v>
      </c>
      <c r="G35" s="143">
        <f t="shared" si="5"/>
        <v>330.20672178256768</v>
      </c>
    </row>
    <row r="36" spans="2:9" x14ac:dyDescent="0.2">
      <c r="B36" s="75" t="str">
        <f t="shared" si="6"/>
        <v>Embedded Distributors - Hydro One</v>
      </c>
      <c r="C36" s="133">
        <f t="shared" si="7"/>
        <v>12809530.880362734</v>
      </c>
      <c r="D36" s="134">
        <f t="shared" si="8"/>
        <v>1.0286</v>
      </c>
      <c r="E36" s="141">
        <f t="shared" si="4"/>
        <v>13175883.463541107</v>
      </c>
      <c r="F36" s="142">
        <f>F29</f>
        <v>8.5449999999999998E-2</v>
      </c>
      <c r="G36" s="143">
        <f t="shared" si="5"/>
        <v>1125879.2419595877</v>
      </c>
    </row>
    <row r="37" spans="2:9" x14ac:dyDescent="0.2">
      <c r="B37" s="137" t="s">
        <v>135</v>
      </c>
      <c r="C37" s="138">
        <f>SUM(C29:C36)</f>
        <v>791089319.30806351</v>
      </c>
      <c r="D37" s="139"/>
      <c r="E37" s="138">
        <f>SUM(E29:E36)</f>
        <v>807931721.97493351</v>
      </c>
      <c r="F37" s="144"/>
      <c r="G37" s="145">
        <f>SUM(G29:G36)</f>
        <v>69037765.642758071</v>
      </c>
    </row>
    <row r="39" spans="2:9" x14ac:dyDescent="0.2">
      <c r="B39" s="339" t="s">
        <v>142</v>
      </c>
      <c r="C39" s="340"/>
      <c r="D39" s="341" t="s">
        <v>143</v>
      </c>
      <c r="E39" s="342"/>
      <c r="F39" s="343"/>
      <c r="G39" s="340"/>
    </row>
    <row r="40" spans="2:9" x14ac:dyDescent="0.2">
      <c r="B40" s="338" t="s">
        <v>141</v>
      </c>
      <c r="C40" s="356"/>
      <c r="D40" s="344" t="s">
        <v>144</v>
      </c>
      <c r="E40" s="444">
        <v>2013</v>
      </c>
      <c r="F40" s="445"/>
      <c r="G40" s="446"/>
    </row>
    <row r="41" spans="2:9" x14ac:dyDescent="0.2">
      <c r="B41" s="151" t="str">
        <f>B29</f>
        <v xml:space="preserve">Residential </v>
      </c>
      <c r="C41" s="141"/>
      <c r="D41" s="152" t="s">
        <v>132</v>
      </c>
      <c r="E41" s="141">
        <f>E17+E29</f>
        <v>402970808.43390298</v>
      </c>
      <c r="F41" s="153">
        <v>6.1999999999999998E-3</v>
      </c>
      <c r="G41" s="143">
        <f t="shared" ref="G41:G48" si="9">E41*F41</f>
        <v>2498419.0122901984</v>
      </c>
    </row>
    <row r="42" spans="2:9" x14ac:dyDescent="0.2">
      <c r="B42" s="151" t="str">
        <f t="shared" ref="B42:B48" si="10">B30</f>
        <v>General Service &lt; 50 kW</v>
      </c>
      <c r="C42" s="141"/>
      <c r="D42" s="152" t="s">
        <v>132</v>
      </c>
      <c r="E42" s="141">
        <f>E18+E30</f>
        <v>158214791.58779055</v>
      </c>
      <c r="F42" s="153">
        <v>5.4000000000000003E-3</v>
      </c>
      <c r="G42" s="143">
        <f t="shared" si="9"/>
        <v>854359.87457406905</v>
      </c>
    </row>
    <row r="43" spans="2:9" x14ac:dyDescent="0.2">
      <c r="B43" s="151" t="str">
        <f t="shared" si="10"/>
        <v>General Service &gt; 50 to 999 kW</v>
      </c>
      <c r="C43" s="141"/>
      <c r="D43" s="152" t="s">
        <v>133</v>
      </c>
      <c r="E43" s="141">
        <f>D6</f>
        <v>1222684.9996657735</v>
      </c>
      <c r="F43" s="153">
        <v>3.5124</v>
      </c>
      <c r="G43" s="143">
        <f t="shared" si="9"/>
        <v>4294558.792826063</v>
      </c>
    </row>
    <row r="44" spans="2:9" x14ac:dyDescent="0.2">
      <c r="B44" s="151" t="str">
        <f t="shared" si="10"/>
        <v>General Service &gt; 1000 to 4999 kW</v>
      </c>
      <c r="C44" s="141"/>
      <c r="D44" s="152" t="s">
        <v>133</v>
      </c>
      <c r="E44" s="141">
        <f>D7</f>
        <v>529312.79885391332</v>
      </c>
      <c r="F44" s="153">
        <v>2.6676000000000002</v>
      </c>
      <c r="G44" s="143">
        <f t="shared" si="9"/>
        <v>1411994.8222226992</v>
      </c>
      <c r="I44" s="32"/>
    </row>
    <row r="45" spans="2:9" x14ac:dyDescent="0.2">
      <c r="B45" s="151" t="str">
        <f t="shared" si="10"/>
        <v>Large User</v>
      </c>
      <c r="C45" s="141"/>
      <c r="D45" s="152" t="s">
        <v>133</v>
      </c>
      <c r="E45" s="141">
        <f>D8</f>
        <v>423390.54069697962</v>
      </c>
      <c r="F45" s="153">
        <v>2.5278999999999998</v>
      </c>
      <c r="G45" s="143">
        <f t="shared" si="9"/>
        <v>1070288.9478278947</v>
      </c>
    </row>
    <row r="46" spans="2:9" x14ac:dyDescent="0.2">
      <c r="B46" s="151" t="str">
        <f t="shared" si="10"/>
        <v>Street Lights</v>
      </c>
      <c r="C46" s="141"/>
      <c r="D46" s="152" t="s">
        <v>133</v>
      </c>
      <c r="E46" s="141">
        <f>D9</f>
        <v>25847.553417371448</v>
      </c>
      <c r="F46" s="153">
        <v>1.7650999999999999</v>
      </c>
      <c r="G46" s="143">
        <f t="shared" si="9"/>
        <v>45623.516537002339</v>
      </c>
    </row>
    <row r="47" spans="2:9" x14ac:dyDescent="0.2">
      <c r="B47" s="151" t="str">
        <f>B35</f>
        <v xml:space="preserve">Unmetered Loads </v>
      </c>
      <c r="C47" s="141"/>
      <c r="D47" s="152" t="s">
        <v>132</v>
      </c>
      <c r="E47" s="141">
        <f>E35</f>
        <v>3864.3267616450285</v>
      </c>
      <c r="F47" s="153">
        <v>5.4000000000000003E-3</v>
      </c>
      <c r="G47" s="143">
        <f t="shared" si="9"/>
        <v>20.867364512883153</v>
      </c>
    </row>
    <row r="48" spans="2:9" x14ac:dyDescent="0.2">
      <c r="B48" s="151" t="str">
        <f t="shared" si="10"/>
        <v>Embedded Distributors - Hydro One</v>
      </c>
      <c r="C48" s="141"/>
      <c r="D48" s="152" t="s">
        <v>133</v>
      </c>
      <c r="E48" s="141">
        <f>D11</f>
        <v>27591.39249918488</v>
      </c>
      <c r="F48" s="153">
        <v>2.5278999999999998</v>
      </c>
      <c r="G48" s="143">
        <f t="shared" si="9"/>
        <v>69748.281098689447</v>
      </c>
    </row>
    <row r="49" spans="2:7" x14ac:dyDescent="0.2">
      <c r="B49" s="137" t="s">
        <v>135</v>
      </c>
      <c r="C49" s="138"/>
      <c r="D49" s="139"/>
      <c r="E49" s="138"/>
      <c r="F49" s="144"/>
      <c r="G49" s="154">
        <f>SUM(G41:G48)</f>
        <v>10245014.11474113</v>
      </c>
    </row>
    <row r="51" spans="2:7" x14ac:dyDescent="0.2">
      <c r="B51" s="339" t="s">
        <v>145</v>
      </c>
      <c r="C51" s="340"/>
      <c r="D51" s="345" t="s">
        <v>143</v>
      </c>
      <c r="E51" s="342"/>
      <c r="F51" s="343"/>
      <c r="G51" s="340"/>
    </row>
    <row r="52" spans="2:7" x14ac:dyDescent="0.2">
      <c r="B52" s="338" t="s">
        <v>141</v>
      </c>
      <c r="C52" s="356"/>
      <c r="D52" s="346" t="s">
        <v>144</v>
      </c>
      <c r="E52" s="444">
        <v>2013</v>
      </c>
      <c r="F52" s="445"/>
      <c r="G52" s="446"/>
    </row>
    <row r="53" spans="2:7" x14ac:dyDescent="0.2">
      <c r="B53" s="151" t="str">
        <f>B41</f>
        <v xml:space="preserve">Residential </v>
      </c>
      <c r="C53" s="141"/>
      <c r="D53" s="152" t="str">
        <f>D41</f>
        <v>kWh</v>
      </c>
      <c r="E53" s="141">
        <f>E41</f>
        <v>402970808.43390298</v>
      </c>
      <c r="F53" s="153">
        <v>3.5999999999999999E-3</v>
      </c>
      <c r="G53" s="143">
        <f t="shared" ref="G53:G60" si="11">E53*F53</f>
        <v>1450694.9103620506</v>
      </c>
    </row>
    <row r="54" spans="2:7" x14ac:dyDescent="0.2">
      <c r="B54" s="151" t="str">
        <f t="shared" ref="B54:B60" si="12">B42</f>
        <v>General Service &lt; 50 kW</v>
      </c>
      <c r="C54" s="141"/>
      <c r="D54" s="152" t="str">
        <f t="shared" ref="D54:E60" si="13">D42</f>
        <v>kWh</v>
      </c>
      <c r="E54" s="141">
        <f t="shared" si="13"/>
        <v>158214791.58779055</v>
      </c>
      <c r="F54" s="153">
        <v>3.3999999999999998E-3</v>
      </c>
      <c r="G54" s="143">
        <f t="shared" si="11"/>
        <v>537930.29139848787</v>
      </c>
    </row>
    <row r="55" spans="2:7" x14ac:dyDescent="0.2">
      <c r="B55" s="151" t="str">
        <f t="shared" si="12"/>
        <v>General Service &gt; 50 to 999 kW</v>
      </c>
      <c r="C55" s="141"/>
      <c r="D55" s="152" t="str">
        <f t="shared" si="13"/>
        <v>kW</v>
      </c>
      <c r="E55" s="141">
        <f t="shared" si="13"/>
        <v>1222684.9996657735</v>
      </c>
      <c r="F55" s="153">
        <v>2.0762999999999998</v>
      </c>
      <c r="G55" s="143">
        <f t="shared" si="11"/>
        <v>2538660.8648060453</v>
      </c>
    </row>
    <row r="56" spans="2:7" x14ac:dyDescent="0.2">
      <c r="B56" s="151" t="str">
        <f t="shared" si="12"/>
        <v>General Service &gt; 1000 to 4999 kW</v>
      </c>
      <c r="C56" s="141"/>
      <c r="D56" s="152" t="str">
        <f t="shared" si="13"/>
        <v>kW</v>
      </c>
      <c r="E56" s="141">
        <f t="shared" si="13"/>
        <v>529312.79885391332</v>
      </c>
      <c r="F56" s="153">
        <v>1.6294999999999999</v>
      </c>
      <c r="G56" s="143">
        <f t="shared" si="11"/>
        <v>862515.20573245175</v>
      </c>
    </row>
    <row r="57" spans="2:7" x14ac:dyDescent="0.2">
      <c r="B57" s="151" t="str">
        <f t="shared" si="12"/>
        <v>Large User</v>
      </c>
      <c r="C57" s="141"/>
      <c r="D57" s="152" t="str">
        <f t="shared" si="13"/>
        <v>kW</v>
      </c>
      <c r="E57" s="141">
        <f t="shared" si="13"/>
        <v>423390.54069697962</v>
      </c>
      <c r="F57" s="153">
        <v>1.6586000000000001</v>
      </c>
      <c r="G57" s="143">
        <f t="shared" si="11"/>
        <v>702235.55080001045</v>
      </c>
    </row>
    <row r="58" spans="2:7" x14ac:dyDescent="0.2">
      <c r="B58" s="151" t="str">
        <f t="shared" si="12"/>
        <v>Street Lights</v>
      </c>
      <c r="C58" s="141"/>
      <c r="D58" s="152" t="str">
        <f t="shared" si="13"/>
        <v>kW</v>
      </c>
      <c r="E58" s="141">
        <f t="shared" si="13"/>
        <v>25847.553417371448</v>
      </c>
      <c r="F58" s="153">
        <v>1.0434000000000001</v>
      </c>
      <c r="G58" s="143">
        <f t="shared" si="11"/>
        <v>26969.337235685372</v>
      </c>
    </row>
    <row r="59" spans="2:7" x14ac:dyDescent="0.2">
      <c r="B59" s="151" t="str">
        <f t="shared" si="12"/>
        <v xml:space="preserve">Unmetered Loads </v>
      </c>
      <c r="C59" s="141"/>
      <c r="D59" s="152" t="str">
        <f t="shared" si="13"/>
        <v>kWh</v>
      </c>
      <c r="E59" s="141">
        <f t="shared" si="13"/>
        <v>3864.3267616450285</v>
      </c>
      <c r="F59" s="153">
        <v>3.3999999999999998E-3</v>
      </c>
      <c r="G59" s="143">
        <f t="shared" si="11"/>
        <v>13.138710989593095</v>
      </c>
    </row>
    <row r="60" spans="2:7" x14ac:dyDescent="0.2">
      <c r="B60" s="151" t="str">
        <f t="shared" si="12"/>
        <v>Embedded Distributors - Hydro One</v>
      </c>
      <c r="C60" s="141"/>
      <c r="D60" s="152" t="str">
        <f t="shared" si="13"/>
        <v>kW</v>
      </c>
      <c r="E60" s="141">
        <f t="shared" si="13"/>
        <v>27591.39249918488</v>
      </c>
      <c r="F60" s="153">
        <v>1.6586000000000001</v>
      </c>
      <c r="G60" s="143">
        <f t="shared" si="11"/>
        <v>45763.083599148042</v>
      </c>
    </row>
    <row r="61" spans="2:7" x14ac:dyDescent="0.2">
      <c r="B61" s="137" t="s">
        <v>135</v>
      </c>
      <c r="C61" s="138"/>
      <c r="D61" s="139"/>
      <c r="E61" s="138"/>
      <c r="F61" s="144"/>
      <c r="G61" s="154">
        <f>SUM(G53:G60)</f>
        <v>6164782.3826448694</v>
      </c>
    </row>
    <row r="63" spans="2:7" x14ac:dyDescent="0.2">
      <c r="B63" s="339" t="s">
        <v>146</v>
      </c>
      <c r="C63" s="340"/>
      <c r="D63" s="345"/>
      <c r="E63" s="342"/>
      <c r="F63" s="343"/>
      <c r="G63" s="340"/>
    </row>
    <row r="64" spans="2:7" x14ac:dyDescent="0.2">
      <c r="B64" s="338" t="s">
        <v>141</v>
      </c>
      <c r="C64" s="356"/>
      <c r="D64" s="346"/>
      <c r="E64" s="444">
        <v>2013</v>
      </c>
      <c r="F64" s="445"/>
      <c r="G64" s="447"/>
    </row>
    <row r="65" spans="2:7" x14ac:dyDescent="0.2">
      <c r="B65" s="151" t="str">
        <f>B53</f>
        <v xml:space="preserve">Residential </v>
      </c>
      <c r="C65" s="141"/>
      <c r="D65" s="152" t="s">
        <v>132</v>
      </c>
      <c r="E65" s="141">
        <f>E17+E29</f>
        <v>402970808.43390298</v>
      </c>
      <c r="F65" s="153">
        <v>4.4000000000000003E-3</v>
      </c>
      <c r="G65" s="143">
        <f t="shared" ref="G65:G72" si="14">E65*F65</f>
        <v>1773071.5571091732</v>
      </c>
    </row>
    <row r="66" spans="2:7" x14ac:dyDescent="0.2">
      <c r="B66" s="151" t="str">
        <f t="shared" ref="B66:B72" si="15">B54</f>
        <v>General Service &lt; 50 kW</v>
      </c>
      <c r="C66" s="141"/>
      <c r="D66" s="152" t="s">
        <v>132</v>
      </c>
      <c r="E66" s="141">
        <f t="shared" ref="E66:E72" si="16">E18+E30</f>
        <v>158214791.58779055</v>
      </c>
      <c r="F66" s="153">
        <v>4.4000000000000003E-3</v>
      </c>
      <c r="G66" s="143">
        <f t="shared" si="14"/>
        <v>696145.08298627846</v>
      </c>
    </row>
    <row r="67" spans="2:7" x14ac:dyDescent="0.2">
      <c r="B67" s="151" t="str">
        <f t="shared" si="15"/>
        <v>General Service &gt; 50 to 999 kW</v>
      </c>
      <c r="C67" s="141"/>
      <c r="D67" s="152" t="s">
        <v>132</v>
      </c>
      <c r="E67" s="141">
        <f t="shared" si="16"/>
        <v>442560517.89544034</v>
      </c>
      <c r="F67" s="153">
        <v>4.4000000000000003E-3</v>
      </c>
      <c r="G67" s="143">
        <f t="shared" si="14"/>
        <v>1947266.2787399376</v>
      </c>
    </row>
    <row r="68" spans="2:7" x14ac:dyDescent="0.2">
      <c r="B68" s="151" t="str">
        <f t="shared" si="15"/>
        <v>General Service &gt; 1000 to 4999 kW</v>
      </c>
      <c r="C68" s="141"/>
      <c r="D68" s="152" t="s">
        <v>132</v>
      </c>
      <c r="E68" s="141">
        <f t="shared" si="16"/>
        <v>228885536.33544764</v>
      </c>
      <c r="F68" s="153">
        <v>4.4000000000000003E-3</v>
      </c>
      <c r="G68" s="143">
        <f t="shared" si="14"/>
        <v>1007096.3598759697</v>
      </c>
    </row>
    <row r="69" spans="2:7" x14ac:dyDescent="0.2">
      <c r="B69" s="151" t="str">
        <f t="shared" si="15"/>
        <v>Large User</v>
      </c>
      <c r="C69" s="141"/>
      <c r="D69" s="152" t="s">
        <v>132</v>
      </c>
      <c r="E69" s="141">
        <f t="shared" si="16"/>
        <v>204398823.00000861</v>
      </c>
      <c r="F69" s="153">
        <v>4.4000000000000003E-3</v>
      </c>
      <c r="G69" s="143">
        <f t="shared" si="14"/>
        <v>899354.82120003796</v>
      </c>
    </row>
    <row r="70" spans="2:7" x14ac:dyDescent="0.2">
      <c r="B70" s="151" t="str">
        <f t="shared" si="15"/>
        <v>Street Lights</v>
      </c>
      <c r="C70" s="141"/>
      <c r="D70" s="152" t="s">
        <v>132</v>
      </c>
      <c r="E70" s="141">
        <f t="shared" si="16"/>
        <v>9905940.131901145</v>
      </c>
      <c r="F70" s="153">
        <v>4.4000000000000003E-3</v>
      </c>
      <c r="G70" s="143">
        <f t="shared" si="14"/>
        <v>43586.136580365041</v>
      </c>
    </row>
    <row r="71" spans="2:7" x14ac:dyDescent="0.2">
      <c r="B71" s="151" t="str">
        <f t="shared" si="15"/>
        <v xml:space="preserve">Unmetered Loads </v>
      </c>
      <c r="C71" s="141"/>
      <c r="D71" s="152" t="s">
        <v>132</v>
      </c>
      <c r="E71" s="141">
        <f t="shared" si="16"/>
        <v>1932163.3808224669</v>
      </c>
      <c r="F71" s="153">
        <v>4.4000000000000003E-3</v>
      </c>
      <c r="G71" s="143">
        <f t="shared" si="14"/>
        <v>8501.5188756188545</v>
      </c>
    </row>
    <row r="72" spans="2:7" x14ac:dyDescent="0.2">
      <c r="B72" s="151" t="str">
        <f t="shared" si="15"/>
        <v>Embedded Distributors - Hydro One</v>
      </c>
      <c r="C72" s="141"/>
      <c r="D72" s="152" t="s">
        <v>132</v>
      </c>
      <c r="E72" s="141">
        <f t="shared" si="16"/>
        <v>13175883.463541107</v>
      </c>
      <c r="F72" s="153">
        <v>0</v>
      </c>
      <c r="G72" s="143">
        <f t="shared" si="14"/>
        <v>0</v>
      </c>
    </row>
    <row r="73" spans="2:7" x14ac:dyDescent="0.2">
      <c r="B73" s="137" t="s">
        <v>135</v>
      </c>
      <c r="C73" s="138"/>
      <c r="D73" s="139"/>
      <c r="E73" s="138">
        <f>SUM(E65:E72)</f>
        <v>1462044464.2288544</v>
      </c>
      <c r="F73" s="144"/>
      <c r="G73" s="154">
        <f>SUM(G65:G72)</f>
        <v>6375021.7553673806</v>
      </c>
    </row>
    <row r="75" spans="2:7" x14ac:dyDescent="0.2">
      <c r="B75" s="339" t="s">
        <v>147</v>
      </c>
      <c r="C75" s="340"/>
      <c r="D75" s="345"/>
      <c r="E75" s="342"/>
      <c r="F75" s="343"/>
      <c r="G75" s="340"/>
    </row>
    <row r="76" spans="2:7" x14ac:dyDescent="0.2">
      <c r="B76" s="338" t="s">
        <v>141</v>
      </c>
      <c r="C76" s="356"/>
      <c r="D76" s="346"/>
      <c r="E76" s="448">
        <v>2013</v>
      </c>
      <c r="F76" s="445"/>
      <c r="G76" s="446"/>
    </row>
    <row r="77" spans="2:7" x14ac:dyDescent="0.2">
      <c r="B77" s="151" t="str">
        <f>B65</f>
        <v xml:space="preserve">Residential </v>
      </c>
      <c r="C77" s="141"/>
      <c r="D77" s="152" t="s">
        <v>132</v>
      </c>
      <c r="E77" s="141">
        <f>E65</f>
        <v>402970808.43390298</v>
      </c>
      <c r="F77" s="153">
        <v>1.1999999999999999E-3</v>
      </c>
      <c r="G77" s="143">
        <f t="shared" ref="G77:G84" si="17">E77*F77</f>
        <v>483564.97012068355</v>
      </c>
    </row>
    <row r="78" spans="2:7" x14ac:dyDescent="0.2">
      <c r="B78" s="151" t="str">
        <f t="shared" ref="B78:B84" si="18">B66</f>
        <v>General Service &lt; 50 kW</v>
      </c>
      <c r="C78" s="141"/>
      <c r="D78" s="152" t="s">
        <v>132</v>
      </c>
      <c r="E78" s="141">
        <f t="shared" ref="E78:E84" si="19">E66</f>
        <v>158214791.58779055</v>
      </c>
      <c r="F78" s="153">
        <v>1.1999999999999999E-3</v>
      </c>
      <c r="G78" s="143">
        <f t="shared" si="17"/>
        <v>189857.74990534864</v>
      </c>
    </row>
    <row r="79" spans="2:7" x14ac:dyDescent="0.2">
      <c r="B79" s="151" t="str">
        <f t="shared" si="18"/>
        <v>General Service &gt; 50 to 999 kW</v>
      </c>
      <c r="C79" s="141"/>
      <c r="D79" s="152" t="s">
        <v>132</v>
      </c>
      <c r="E79" s="141">
        <f t="shared" si="19"/>
        <v>442560517.89544034</v>
      </c>
      <c r="F79" s="153">
        <v>1.1999999999999999E-3</v>
      </c>
      <c r="G79" s="143">
        <f t="shared" si="17"/>
        <v>531072.62147452834</v>
      </c>
    </row>
    <row r="80" spans="2:7" x14ac:dyDescent="0.2">
      <c r="B80" s="151" t="str">
        <f t="shared" si="18"/>
        <v>General Service &gt; 1000 to 4999 kW</v>
      </c>
      <c r="C80" s="141"/>
      <c r="D80" s="152" t="s">
        <v>132</v>
      </c>
      <c r="E80" s="141">
        <f t="shared" si="19"/>
        <v>228885536.33544764</v>
      </c>
      <c r="F80" s="153">
        <v>1.1999999999999999E-3</v>
      </c>
      <c r="G80" s="143">
        <f t="shared" si="17"/>
        <v>274662.64360253717</v>
      </c>
    </row>
    <row r="81" spans="2:7" x14ac:dyDescent="0.2">
      <c r="B81" s="151" t="str">
        <f t="shared" si="18"/>
        <v>Large User</v>
      </c>
      <c r="C81" s="141"/>
      <c r="D81" s="152" t="s">
        <v>132</v>
      </c>
      <c r="E81" s="141">
        <f t="shared" si="19"/>
        <v>204398823.00000861</v>
      </c>
      <c r="F81" s="153">
        <v>1.1999999999999999E-3</v>
      </c>
      <c r="G81" s="143">
        <f t="shared" si="17"/>
        <v>245278.5876000103</v>
      </c>
    </row>
    <row r="82" spans="2:7" x14ac:dyDescent="0.2">
      <c r="B82" s="151" t="str">
        <f t="shared" si="18"/>
        <v>Street Lights</v>
      </c>
      <c r="C82" s="141"/>
      <c r="D82" s="152" t="s">
        <v>132</v>
      </c>
      <c r="E82" s="141">
        <f t="shared" si="19"/>
        <v>9905940.131901145</v>
      </c>
      <c r="F82" s="153">
        <v>1.1999999999999999E-3</v>
      </c>
      <c r="G82" s="143">
        <f t="shared" si="17"/>
        <v>11887.128158281374</v>
      </c>
    </row>
    <row r="83" spans="2:7" x14ac:dyDescent="0.2">
      <c r="B83" s="151" t="str">
        <f t="shared" si="18"/>
        <v xml:space="preserve">Unmetered Loads </v>
      </c>
      <c r="C83" s="141"/>
      <c r="D83" s="152" t="s">
        <v>132</v>
      </c>
      <c r="E83" s="141">
        <f t="shared" si="19"/>
        <v>1932163.3808224669</v>
      </c>
      <c r="F83" s="153">
        <v>1.1999999999999999E-3</v>
      </c>
      <c r="G83" s="143">
        <f t="shared" si="17"/>
        <v>2318.5960569869603</v>
      </c>
    </row>
    <row r="84" spans="2:7" x14ac:dyDescent="0.2">
      <c r="B84" s="151" t="str">
        <f t="shared" si="18"/>
        <v>Embedded Distributors - Hydro One</v>
      </c>
      <c r="C84" s="141"/>
      <c r="D84" s="152" t="s">
        <v>132</v>
      </c>
      <c r="E84" s="141">
        <f t="shared" si="19"/>
        <v>13175883.463541107</v>
      </c>
      <c r="F84" s="153">
        <v>0</v>
      </c>
      <c r="G84" s="143">
        <f t="shared" si="17"/>
        <v>0</v>
      </c>
    </row>
    <row r="85" spans="2:7" x14ac:dyDescent="0.2">
      <c r="B85" s="137" t="s">
        <v>135</v>
      </c>
      <c r="C85" s="138"/>
      <c r="D85" s="139"/>
      <c r="E85" s="138">
        <f>SUM(E77:E84)</f>
        <v>1462044464.2288544</v>
      </c>
      <c r="F85" s="144"/>
      <c r="G85" s="154">
        <f>SUM(G77:G84)</f>
        <v>1738642.2969183763</v>
      </c>
    </row>
    <row r="87" spans="2:7" x14ac:dyDescent="0.2">
      <c r="B87" s="347"/>
      <c r="C87" s="348">
        <v>2013</v>
      </c>
    </row>
    <row r="88" spans="2:7" x14ac:dyDescent="0.2">
      <c r="B88" s="69"/>
      <c r="C88" s="155"/>
    </row>
    <row r="89" spans="2:7" x14ac:dyDescent="0.2">
      <c r="B89" s="62" t="s">
        <v>148</v>
      </c>
      <c r="C89" s="156">
        <f>G25+G37</f>
        <v>123950530.35497478</v>
      </c>
    </row>
    <row r="90" spans="2:7" x14ac:dyDescent="0.2">
      <c r="B90" s="62" t="s">
        <v>149</v>
      </c>
      <c r="C90" s="157">
        <f>G73</f>
        <v>6375021.7553673806</v>
      </c>
    </row>
    <row r="91" spans="2:7" x14ac:dyDescent="0.2">
      <c r="B91" s="62" t="s">
        <v>150</v>
      </c>
      <c r="C91" s="157">
        <f>G49</f>
        <v>10245014.11474113</v>
      </c>
    </row>
    <row r="92" spans="2:7" x14ac:dyDescent="0.2">
      <c r="B92" s="62" t="s">
        <v>151</v>
      </c>
      <c r="C92" s="157">
        <f>G61</f>
        <v>6164782.3826448694</v>
      </c>
    </row>
    <row r="93" spans="2:7" x14ac:dyDescent="0.2">
      <c r="B93" s="62" t="s">
        <v>152</v>
      </c>
      <c r="C93" s="157">
        <f>G85</f>
        <v>1738642.2969183763</v>
      </c>
    </row>
    <row r="94" spans="2:7" x14ac:dyDescent="0.2">
      <c r="B94" s="62" t="s">
        <v>153</v>
      </c>
      <c r="C94" s="157">
        <f>'[15]2013 Actual LV'!$K$18</f>
        <v>173822.49072</v>
      </c>
    </row>
    <row r="95" spans="2:7" x14ac:dyDescent="0.2">
      <c r="B95" s="62" t="s">
        <v>287</v>
      </c>
      <c r="C95" s="349">
        <v>360365</v>
      </c>
    </row>
    <row r="96" spans="2:7" x14ac:dyDescent="0.2">
      <c r="B96" s="78" t="s">
        <v>135</v>
      </c>
      <c r="C96" s="138">
        <f>SUM(C89:C95)</f>
        <v>149008178.39536652</v>
      </c>
    </row>
  </sheetData>
  <mergeCells count="11">
    <mergeCell ref="E40:G40"/>
    <mergeCell ref="E52:G52"/>
    <mergeCell ref="E64:G64"/>
    <mergeCell ref="E76:G76"/>
    <mergeCell ref="B2:E2"/>
    <mergeCell ref="C15:C16"/>
    <mergeCell ref="D15:D16"/>
    <mergeCell ref="E15:G16"/>
    <mergeCell ref="C27:C28"/>
    <mergeCell ref="D27:D28"/>
    <mergeCell ref="E27:G28"/>
  </mergeCells>
  <pageMargins left="0.7" right="0.7" top="0.75" bottom="0.75" header="0.3" footer="0.3"/>
  <pageSetup scale="57" orientation="portrait" r:id="rId1"/>
  <headerFooter>
    <oddFooter>&amp;Z&amp;F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O97"/>
  <sheetViews>
    <sheetView topLeftCell="A73" workbookViewId="0">
      <selection activeCell="D85" sqref="D85"/>
    </sheetView>
  </sheetViews>
  <sheetFormatPr defaultRowHeight="12.75" x14ac:dyDescent="0.2"/>
  <cols>
    <col min="1" max="1" width="1.28515625" customWidth="1"/>
    <col min="2" max="2" width="31.7109375" bestFit="1" customWidth="1"/>
    <col min="3" max="3" width="18.85546875" customWidth="1"/>
    <col min="4" max="4" width="10.28515625" bestFit="1" customWidth="1"/>
    <col min="5" max="5" width="13.42578125" bestFit="1" customWidth="1"/>
    <col min="6" max="6" width="9.28515625" bestFit="1" customWidth="1"/>
    <col min="7" max="7" width="11.7109375" bestFit="1" customWidth="1"/>
  </cols>
  <sheetData>
    <row r="2" spans="2:12" ht="13.5" thickBot="1" x14ac:dyDescent="0.25"/>
    <row r="3" spans="2:12" ht="13.5" thickBot="1" x14ac:dyDescent="0.25">
      <c r="B3" s="449" t="s">
        <v>292</v>
      </c>
      <c r="C3" s="450"/>
      <c r="D3" s="450"/>
      <c r="E3" s="451"/>
    </row>
    <row r="4" spans="2:12" x14ac:dyDescent="0.2">
      <c r="B4" s="350" t="s">
        <v>291</v>
      </c>
      <c r="C4" s="88" t="s">
        <v>132</v>
      </c>
      <c r="D4" s="88" t="s">
        <v>133</v>
      </c>
      <c r="E4" s="88" t="s">
        <v>286</v>
      </c>
      <c r="I4" t="s">
        <v>285</v>
      </c>
      <c r="J4" t="s">
        <v>282</v>
      </c>
      <c r="K4" t="s">
        <v>283</v>
      </c>
      <c r="L4" t="s">
        <v>284</v>
      </c>
    </row>
    <row r="5" spans="2:12" x14ac:dyDescent="0.2">
      <c r="B5" s="132" t="str">
        <f>'[14]Rate Class Energy Model'!H2</f>
        <v xml:space="preserve">Residential </v>
      </c>
      <c r="C5" s="133">
        <f>Summary!O17</f>
        <v>388674792.72807848</v>
      </c>
      <c r="D5" s="134"/>
      <c r="E5" s="336">
        <v>0.9224</v>
      </c>
      <c r="I5" s="335">
        <f>AVERAGE(J5:M5)</f>
        <v>0.91849275460905611</v>
      </c>
      <c r="J5" s="68">
        <f>'[16]CONTROL TOTAL'!$F$8/'[16]CONTROL TOTAL'!$B$8</f>
        <v>0.91247867073598299</v>
      </c>
      <c r="K5" s="68">
        <f>'[17]CONTROL TOTAL'!$F$8/'[17]CONTROL TOTAL'!$B$8</f>
        <v>0.91803750693418373</v>
      </c>
      <c r="L5" s="68">
        <f>'[18]CONTROL TOTAL'!$F$8/'[18]CONTROL TOTAL'!$B$8</f>
        <v>0.92496208615700115</v>
      </c>
    </row>
    <row r="6" spans="2:12" x14ac:dyDescent="0.2">
      <c r="B6" s="132" t="str">
        <f>'[14]Rate Class Energy Model'!I2</f>
        <v>General Service &lt; 50 kW</v>
      </c>
      <c r="C6" s="133">
        <f>Summary!O21</f>
        <v>150957871.26506007</v>
      </c>
      <c r="D6" s="134"/>
      <c r="E6" s="336">
        <v>0.85560000000000003</v>
      </c>
      <c r="I6" s="335">
        <f t="shared" ref="I6:I11" si="0">AVERAGE(J6:M6)</f>
        <v>0.85567634051671515</v>
      </c>
      <c r="J6" s="68">
        <f>('[16]CONTROL TOTAL'!$F$11-'[16]kwh Usage'!$D$53-'[16]kwh Usage'!$D$54)/('[16]CONTROL TOTAL'!$B$11-'[16]kwh Usage'!$D$53-'[16]kwh Usage'!$D$54-'[16]kwh Usage'!$D$55-'[16]kwh Usage'!$D$56)</f>
        <v>0.8629234783831532</v>
      </c>
      <c r="K6" s="68">
        <f>('[17]CONTROL TOTAL'!$F$11-'[17]kwh Usage'!$D$53-'[17]kwh Usage'!$D$54)/('[17]CONTROL TOTAL'!$B$11-'[17]kwh Usage'!$D$53-'[17]kwh Usage'!$D$54-'[17]kwh Usage'!$D$55-'[17]kwh Usage'!$D$56)</f>
        <v>0.84953567141639408</v>
      </c>
      <c r="L6" s="68">
        <f>('[18]CONTROL TOTAL'!$F$11-'[18]kwh Usage'!$D$53-'[18]kwh Usage'!$D$54)/('[18]CONTROL TOTAL'!$B$11-'[18]kwh Usage'!$D$53-'[18]kwh Usage'!$D$54-'[18]kwh Usage'!$D$55-'[18]kwh Usage'!$D$56)</f>
        <v>0.85456987175059818</v>
      </c>
    </row>
    <row r="7" spans="2:12" x14ac:dyDescent="0.2">
      <c r="B7" s="132" t="str">
        <f>'[14]Rate Class Energy Model'!J2</f>
        <v>General Service &gt; 50 to 999 kW</v>
      </c>
      <c r="C7" s="133">
        <f>Summary!O25</f>
        <v>426160867.89426726</v>
      </c>
      <c r="D7" s="135">
        <f>Summary!O26</f>
        <v>1211049.8096063654</v>
      </c>
      <c r="E7" s="336">
        <v>0.32790000000000002</v>
      </c>
      <c r="I7" s="335">
        <f t="shared" si="0"/>
        <v>0.33144094299863097</v>
      </c>
      <c r="J7" s="68">
        <f>'[16]CONTROL TOTAL'!$F$12/'[16]CONTROL TOTAL'!$B$12</f>
        <v>0.33615327709591158</v>
      </c>
      <c r="K7" s="68">
        <f>'[17]CONTROL TOTAL'!$F$12/'[17]CONTROL TOTAL'!$B$12</f>
        <v>0.32707732410457252</v>
      </c>
      <c r="L7" s="68">
        <f>'[18]CONTROL TOTAL'!$F$12/'[18]CONTROL TOTAL'!$B$12</f>
        <v>0.33109222779540898</v>
      </c>
    </row>
    <row r="8" spans="2:12" x14ac:dyDescent="0.2">
      <c r="B8" s="132" t="str">
        <f>'[14]Rate Class Energy Model'!K2</f>
        <v>General Service &gt; 1000 to 4999 kW</v>
      </c>
      <c r="C8" s="133">
        <f>Summary!O30</f>
        <v>219340887.90272596</v>
      </c>
      <c r="D8" s="135">
        <f>Summary!O31</f>
        <v>521747.24298547133</v>
      </c>
      <c r="E8" s="336">
        <v>0</v>
      </c>
      <c r="I8" s="335">
        <f t="shared" si="0"/>
        <v>0</v>
      </c>
      <c r="J8" s="68">
        <f>'[16]CONTROL TOTAL'!$F$15/'[16]CONTROL TOTAL'!$B$15</f>
        <v>0</v>
      </c>
      <c r="K8" s="68">
        <f>'[17]CONTROL TOTAL'!$F$15/'[17]CONTROL TOTAL'!$B$15</f>
        <v>0</v>
      </c>
      <c r="L8" s="68">
        <f>'[18]CONTROL TOTAL'!$F$15/'[18]CONTROL TOTAL'!$B$15</f>
        <v>0</v>
      </c>
    </row>
    <row r="9" spans="2:12" x14ac:dyDescent="0.2">
      <c r="B9" s="132" t="str">
        <f>'[14]Rate Class Customer Model'!F2</f>
        <v>Large User</v>
      </c>
      <c r="C9" s="133">
        <f>Summary!O35</f>
        <v>207072349.00780675</v>
      </c>
      <c r="D9" s="135">
        <f>Summary!O36</f>
        <v>429057.14555875014</v>
      </c>
      <c r="E9" s="336">
        <v>0</v>
      </c>
      <c r="I9" s="335">
        <f t="shared" si="0"/>
        <v>0</v>
      </c>
      <c r="J9" s="68">
        <f>'[16]CONTROL TOTAL'!$F$18/'[16]CONTROL TOTAL'!$B$18</f>
        <v>0</v>
      </c>
      <c r="K9" s="68">
        <f>'[17]CONTROL TOTAL'!$F$18/'[17]CONTROL TOTAL'!$B$18</f>
        <v>0</v>
      </c>
      <c r="L9" s="68">
        <f>'[18]CONTROL TOTAL'!$F$18/'[18]CONTROL TOTAL'!$B$18</f>
        <v>0</v>
      </c>
    </row>
    <row r="10" spans="2:12" x14ac:dyDescent="0.2">
      <c r="B10" s="132" t="str">
        <f>'[14]Rate Class Customer Model'!H2</f>
        <v>Street Lights</v>
      </c>
      <c r="C10" s="133">
        <f>Summary!O45</f>
        <v>9594439.4543452542</v>
      </c>
      <c r="D10" s="135">
        <f>Summary!O46</f>
        <v>25750.749206811397</v>
      </c>
      <c r="E10" s="336">
        <v>0</v>
      </c>
      <c r="I10" s="335">
        <f t="shared" si="0"/>
        <v>0</v>
      </c>
      <c r="J10" s="68">
        <f>'[16]CONTROL TOTAL'!$F$21/'[16]CONTROL TOTAL'!$B$21</f>
        <v>0</v>
      </c>
      <c r="K10" s="68">
        <f>'[17]CONTROL TOTAL'!$F$21/'[17]CONTROL TOTAL'!$B$21</f>
        <v>0</v>
      </c>
      <c r="L10" s="68">
        <f>'[18]CONTROL TOTAL'!$F$21/'[18]CONTROL TOTAL'!$B$21</f>
        <v>0</v>
      </c>
    </row>
    <row r="11" spans="2:12" x14ac:dyDescent="0.2">
      <c r="B11" s="132" t="str">
        <f>'[14]Rate Class Customer Model'!I2</f>
        <v xml:space="preserve">Unmetered Loads </v>
      </c>
      <c r="C11" s="133">
        <f>Summary!O50</f>
        <v>1746895.1152104549</v>
      </c>
      <c r="D11" s="135"/>
      <c r="E11" s="336">
        <v>0.998</v>
      </c>
      <c r="I11" s="335">
        <f t="shared" si="0"/>
        <v>0.99800088301519485</v>
      </c>
      <c r="J11" s="68">
        <f>('[16]kwh Usage'!$D$53+'[16]kwh Usage'!$D$54)/('[16]kwh Usage'!$D$53+'[16]kwh Usage'!$D$54+'[16]kwh Usage'!$D$55+'[16]kwh Usage'!$D$56)</f>
        <v>0.99800657532788417</v>
      </c>
      <c r="K11" s="68">
        <f>('[17]kwh Usage'!$D$53+'[17]kwh Usage'!$D$54)/('[17]kwh Usage'!$D$53+'[17]kwh Usage'!$D$54+'[17]kwh Usage'!$D$55+'[17]kwh Usage'!$D$56)</f>
        <v>0.99799922499823346</v>
      </c>
      <c r="L11" s="68">
        <f>('[18]kwh Usage'!$D$53+'[18]kwh Usage'!$D$54)/('[18]kwh Usage'!$D$53+'[18]kwh Usage'!$D$54+'[18]kwh Usage'!$D$55+'[18]kwh Usage'!$D$56)</f>
        <v>0.99799684871946681</v>
      </c>
    </row>
    <row r="12" spans="2:12" x14ac:dyDescent="0.2">
      <c r="B12" s="132" t="str">
        <f>'[14]Rate Class Customer Model'!J2</f>
        <v>Embedded Distributors - Hydro One</v>
      </c>
      <c r="C12" s="133">
        <f>Summary!O54-Summary!O11</f>
        <v>12613577.074962635</v>
      </c>
      <c r="D12" s="135">
        <f>Summary!O55*0.3</f>
        <v>27169.313157872577</v>
      </c>
      <c r="E12" s="336">
        <v>0</v>
      </c>
    </row>
    <row r="13" spans="2:12" x14ac:dyDescent="0.2">
      <c r="B13" s="137" t="s">
        <v>135</v>
      </c>
      <c r="C13" s="138">
        <f>SUM(C5:C12)</f>
        <v>1416161680.442457</v>
      </c>
      <c r="D13" s="138">
        <f>SUM(D5:D12)</f>
        <v>2214774.2605152708</v>
      </c>
      <c r="E13" s="138"/>
    </row>
    <row r="14" spans="2:12" x14ac:dyDescent="0.2">
      <c r="C14" s="61"/>
      <c r="D14" s="61"/>
    </row>
    <row r="16" spans="2:12" x14ac:dyDescent="0.2">
      <c r="B16" s="337" t="s">
        <v>136</v>
      </c>
      <c r="C16" s="452" t="s">
        <v>154</v>
      </c>
      <c r="D16" s="454" t="s">
        <v>155</v>
      </c>
      <c r="E16" s="456">
        <v>2014</v>
      </c>
      <c r="F16" s="457"/>
      <c r="G16" s="458"/>
    </row>
    <row r="17" spans="2:15" x14ac:dyDescent="0.2">
      <c r="B17" s="338" t="s">
        <v>139</v>
      </c>
      <c r="C17" s="453"/>
      <c r="D17" s="455"/>
      <c r="E17" s="444"/>
      <c r="F17" s="445"/>
      <c r="G17" s="446"/>
    </row>
    <row r="18" spans="2:15" ht="15" x14ac:dyDescent="0.25">
      <c r="B18" s="75" t="str">
        <f>B5</f>
        <v xml:space="preserve">Residential </v>
      </c>
      <c r="C18" s="133">
        <f>C5*E5</f>
        <v>358513628.8123796</v>
      </c>
      <c r="D18" s="140">
        <v>1.0286</v>
      </c>
      <c r="E18" s="141">
        <f t="shared" ref="E18:E25" si="1">C18*D18</f>
        <v>368767118.59641361</v>
      </c>
      <c r="F18" s="357">
        <v>8.8999999999999996E-2</v>
      </c>
      <c r="G18" s="143">
        <f t="shared" ref="G18:G25" si="2">E18*F18</f>
        <v>32820273.555080809</v>
      </c>
      <c r="J18" s="358" t="s">
        <v>295</v>
      </c>
      <c r="K18" s="358"/>
      <c r="L18" s="358"/>
      <c r="M18" s="359" t="s">
        <v>295</v>
      </c>
      <c r="N18" s="360" t="s">
        <v>295</v>
      </c>
      <c r="O18" s="358" t="s">
        <v>295</v>
      </c>
    </row>
    <row r="19" spans="2:15" ht="15" x14ac:dyDescent="0.25">
      <c r="B19" s="75" t="str">
        <f t="shared" ref="B19:B25" si="3">B6</f>
        <v>General Service &lt; 50 kW</v>
      </c>
      <c r="C19" s="133">
        <f t="shared" ref="C19:C25" si="4">C6*E6</f>
        <v>129159554.6543854</v>
      </c>
      <c r="D19" s="140">
        <v>1.0286</v>
      </c>
      <c r="E19" s="141">
        <f t="shared" si="1"/>
        <v>132853517.91750082</v>
      </c>
      <c r="F19" s="357">
        <f>F18</f>
        <v>8.8999999999999996E-2</v>
      </c>
      <c r="G19" s="143">
        <f t="shared" si="2"/>
        <v>11823963.094657572</v>
      </c>
      <c r="J19" s="358" t="s">
        <v>295</v>
      </c>
      <c r="K19" s="358"/>
      <c r="L19" s="358"/>
      <c r="M19" s="359" t="s">
        <v>295</v>
      </c>
      <c r="N19" s="360" t="s">
        <v>295</v>
      </c>
      <c r="O19" s="358" t="s">
        <v>295</v>
      </c>
    </row>
    <row r="20" spans="2:15" ht="15" x14ac:dyDescent="0.25">
      <c r="B20" s="75" t="str">
        <f t="shared" si="3"/>
        <v>General Service &gt; 50 to 999 kW</v>
      </c>
      <c r="C20" s="133">
        <f t="shared" si="4"/>
        <v>139738148.58253026</v>
      </c>
      <c r="D20" s="140">
        <v>1.0286</v>
      </c>
      <c r="E20" s="141">
        <f t="shared" si="1"/>
        <v>143734659.63199061</v>
      </c>
      <c r="F20" s="357">
        <f>F18</f>
        <v>8.8999999999999996E-2</v>
      </c>
      <c r="G20" s="143">
        <f t="shared" si="2"/>
        <v>12792384.707247164</v>
      </c>
      <c r="J20" s="358" t="s">
        <v>295</v>
      </c>
      <c r="K20" s="358"/>
      <c r="L20" s="358"/>
      <c r="M20" s="359" t="s">
        <v>295</v>
      </c>
      <c r="N20" s="360" t="s">
        <v>295</v>
      </c>
      <c r="O20" s="358" t="s">
        <v>295</v>
      </c>
    </row>
    <row r="21" spans="2:15" ht="15" x14ac:dyDescent="0.25">
      <c r="B21" s="75" t="str">
        <f t="shared" si="3"/>
        <v>General Service &gt; 1000 to 4999 kW</v>
      </c>
      <c r="C21" s="133">
        <f t="shared" si="4"/>
        <v>0</v>
      </c>
      <c r="D21" s="140">
        <v>1.0286</v>
      </c>
      <c r="E21" s="141">
        <f t="shared" si="1"/>
        <v>0</v>
      </c>
      <c r="F21" s="357">
        <f>F18</f>
        <v>8.8999999999999996E-2</v>
      </c>
      <c r="G21" s="143">
        <f t="shared" si="2"/>
        <v>0</v>
      </c>
      <c r="J21" s="358"/>
      <c r="K21" s="358"/>
      <c r="L21" s="358"/>
      <c r="M21" s="358"/>
      <c r="N21" s="358"/>
      <c r="O21" s="359" t="s">
        <v>295</v>
      </c>
    </row>
    <row r="22" spans="2:15" x14ac:dyDescent="0.2">
      <c r="B22" s="75" t="str">
        <f t="shared" si="3"/>
        <v>Large User</v>
      </c>
      <c r="C22" s="133">
        <f t="shared" si="4"/>
        <v>0</v>
      </c>
      <c r="D22" s="140">
        <v>1.0003</v>
      </c>
      <c r="E22" s="141">
        <f t="shared" si="1"/>
        <v>0</v>
      </c>
      <c r="F22" s="357">
        <f>F18</f>
        <v>8.8999999999999996E-2</v>
      </c>
      <c r="G22" s="143">
        <f t="shared" si="2"/>
        <v>0</v>
      </c>
    </row>
    <row r="23" spans="2:15" x14ac:dyDescent="0.2">
      <c r="B23" s="75" t="str">
        <f t="shared" si="3"/>
        <v>Street Lights</v>
      </c>
      <c r="C23" s="133">
        <f t="shared" si="4"/>
        <v>0</v>
      </c>
      <c r="D23" s="140">
        <v>1.0286</v>
      </c>
      <c r="E23" s="141">
        <f t="shared" si="1"/>
        <v>0</v>
      </c>
      <c r="F23" s="357">
        <f>F18</f>
        <v>8.8999999999999996E-2</v>
      </c>
      <c r="G23" s="143">
        <f t="shared" si="2"/>
        <v>0</v>
      </c>
    </row>
    <row r="24" spans="2:15" x14ac:dyDescent="0.2">
      <c r="B24" s="75" t="str">
        <f t="shared" si="3"/>
        <v xml:space="preserve">Unmetered Loads </v>
      </c>
      <c r="C24" s="133">
        <f t="shared" si="4"/>
        <v>1743401.324980034</v>
      </c>
      <c r="D24" s="140">
        <v>1.0286</v>
      </c>
      <c r="E24" s="141">
        <f t="shared" si="1"/>
        <v>1793262.602874463</v>
      </c>
      <c r="F24" s="357">
        <f>F18</f>
        <v>8.8999999999999996E-2</v>
      </c>
      <c r="G24" s="143">
        <f t="shared" si="2"/>
        <v>159600.37165582718</v>
      </c>
      <c r="I24" s="361" t="s">
        <v>296</v>
      </c>
      <c r="J24" s="362"/>
      <c r="K24" s="362"/>
      <c r="L24" s="362"/>
      <c r="M24" s="362"/>
      <c r="N24" s="362"/>
      <c r="O24" s="362"/>
    </row>
    <row r="25" spans="2:15" x14ac:dyDescent="0.2">
      <c r="B25" s="75" t="str">
        <f t="shared" si="3"/>
        <v>Embedded Distributors - Hydro One</v>
      </c>
      <c r="C25" s="133">
        <f t="shared" si="4"/>
        <v>0</v>
      </c>
      <c r="D25" s="140">
        <v>1.0286</v>
      </c>
      <c r="E25" s="141">
        <f t="shared" si="1"/>
        <v>0</v>
      </c>
      <c r="F25" s="357">
        <f>F18</f>
        <v>8.8999999999999996E-2</v>
      </c>
      <c r="G25" s="143">
        <f t="shared" si="2"/>
        <v>0</v>
      </c>
    </row>
    <row r="26" spans="2:15" x14ac:dyDescent="0.2">
      <c r="B26" s="137" t="s">
        <v>135</v>
      </c>
      <c r="C26" s="138">
        <f>SUM(C18:C25)</f>
        <v>629154733.37427521</v>
      </c>
      <c r="D26" s="139"/>
      <c r="E26" s="138">
        <f>SUM(E18:E25)</f>
        <v>647148558.74877954</v>
      </c>
      <c r="F26" s="363"/>
      <c r="G26" s="145">
        <f>SUM(G18:G25)</f>
        <v>57596221.728641368</v>
      </c>
    </row>
    <row r="27" spans="2:15" x14ac:dyDescent="0.2">
      <c r="B27" s="146"/>
      <c r="C27" s="147"/>
      <c r="D27" s="148"/>
      <c r="E27" s="147"/>
      <c r="F27" s="149"/>
      <c r="G27" s="150"/>
    </row>
    <row r="28" spans="2:15" x14ac:dyDescent="0.2">
      <c r="B28" s="337" t="s">
        <v>140</v>
      </c>
      <c r="C28" s="452" t="s">
        <v>154</v>
      </c>
      <c r="D28" s="454" t="s">
        <v>155</v>
      </c>
      <c r="E28" s="456">
        <v>2014</v>
      </c>
      <c r="F28" s="457"/>
      <c r="G28" s="458"/>
    </row>
    <row r="29" spans="2:15" x14ac:dyDescent="0.2">
      <c r="B29" s="338" t="s">
        <v>141</v>
      </c>
      <c r="C29" s="453"/>
      <c r="D29" s="455"/>
      <c r="E29" s="444"/>
      <c r="F29" s="445"/>
      <c r="G29" s="446"/>
    </row>
    <row r="30" spans="2:15" x14ac:dyDescent="0.2">
      <c r="B30" s="75" t="str">
        <f>B18</f>
        <v xml:space="preserve">Residential </v>
      </c>
      <c r="C30" s="133">
        <f>C5-C18</f>
        <v>30161163.915698886</v>
      </c>
      <c r="D30" s="134">
        <f>D18</f>
        <v>1.0286</v>
      </c>
      <c r="E30" s="141">
        <f t="shared" ref="E30:E37" si="5">C30*D30</f>
        <v>31023773.203687873</v>
      </c>
      <c r="F30" s="142">
        <v>8.7599999999999997E-2</v>
      </c>
      <c r="G30" s="143">
        <f t="shared" ref="G30:G37" si="6">E30*F30</f>
        <v>2717682.5326430574</v>
      </c>
      <c r="I30" s="361" t="s">
        <v>297</v>
      </c>
      <c r="J30" s="361"/>
      <c r="K30" s="361"/>
      <c r="L30" s="361"/>
      <c r="M30" s="361"/>
      <c r="N30" s="361"/>
    </row>
    <row r="31" spans="2:15" x14ac:dyDescent="0.2">
      <c r="B31" s="75" t="str">
        <f t="shared" ref="B31:B37" si="7">B19</f>
        <v>General Service &lt; 50 kW</v>
      </c>
      <c r="C31" s="133">
        <f t="shared" ref="C31:C37" si="8">C6-C19</f>
        <v>21798316.610674664</v>
      </c>
      <c r="D31" s="134">
        <f t="shared" ref="D31:D37" si="9">D19</f>
        <v>1.0286</v>
      </c>
      <c r="E31" s="141">
        <f t="shared" si="5"/>
        <v>22421748.465739958</v>
      </c>
      <c r="F31" s="142">
        <f>F30</f>
        <v>8.7599999999999997E-2</v>
      </c>
      <c r="G31" s="143">
        <f t="shared" si="6"/>
        <v>1964145.1655988202</v>
      </c>
      <c r="I31" s="361" t="s">
        <v>298</v>
      </c>
      <c r="J31" s="361"/>
      <c r="K31" s="361"/>
      <c r="L31" s="361"/>
      <c r="M31" s="361"/>
      <c r="N31" s="361"/>
    </row>
    <row r="32" spans="2:15" x14ac:dyDescent="0.2">
      <c r="B32" s="75" t="str">
        <f t="shared" si="7"/>
        <v>General Service &gt; 50 to 999 kW</v>
      </c>
      <c r="C32" s="133">
        <f t="shared" si="8"/>
        <v>286422719.311737</v>
      </c>
      <c r="D32" s="134">
        <f t="shared" si="9"/>
        <v>1.0286</v>
      </c>
      <c r="E32" s="141">
        <f t="shared" si="5"/>
        <v>294614409.08405268</v>
      </c>
      <c r="F32" s="142">
        <f>F30</f>
        <v>8.7599999999999997E-2</v>
      </c>
      <c r="G32" s="143">
        <f t="shared" si="6"/>
        <v>25808222.235763013</v>
      </c>
      <c r="I32" s="361" t="s">
        <v>299</v>
      </c>
      <c r="J32" s="361"/>
      <c r="K32" s="361"/>
      <c r="L32" s="361"/>
      <c r="M32" s="361"/>
      <c r="N32" s="361"/>
    </row>
    <row r="33" spans="2:10" x14ac:dyDescent="0.2">
      <c r="B33" s="75" t="str">
        <f t="shared" si="7"/>
        <v>General Service &gt; 1000 to 4999 kW</v>
      </c>
      <c r="C33" s="133">
        <f t="shared" si="8"/>
        <v>219340887.90272596</v>
      </c>
      <c r="D33" s="134">
        <f t="shared" si="9"/>
        <v>1.0286</v>
      </c>
      <c r="E33" s="141">
        <f t="shared" si="5"/>
        <v>225614037.29674393</v>
      </c>
      <c r="F33" s="142">
        <f>F30</f>
        <v>8.7599999999999997E-2</v>
      </c>
      <c r="G33" s="143">
        <f t="shared" si="6"/>
        <v>19763789.667194769</v>
      </c>
    </row>
    <row r="34" spans="2:10" x14ac:dyDescent="0.2">
      <c r="B34" s="75" t="str">
        <f t="shared" si="7"/>
        <v>Large User</v>
      </c>
      <c r="C34" s="133">
        <f t="shared" si="8"/>
        <v>207072349.00780675</v>
      </c>
      <c r="D34" s="134">
        <f t="shared" si="9"/>
        <v>1.0003</v>
      </c>
      <c r="E34" s="141">
        <f t="shared" si="5"/>
        <v>207134470.7125091</v>
      </c>
      <c r="F34" s="142">
        <f>F30</f>
        <v>8.7599999999999997E-2</v>
      </c>
      <c r="G34" s="143">
        <f t="shared" si="6"/>
        <v>18144979.634415798</v>
      </c>
      <c r="I34">
        <v>2014</v>
      </c>
      <c r="J34">
        <f>19.67+67.93</f>
        <v>87.600000000000009</v>
      </c>
    </row>
    <row r="35" spans="2:10" x14ac:dyDescent="0.2">
      <c r="B35" s="75" t="str">
        <f t="shared" si="7"/>
        <v>Street Lights</v>
      </c>
      <c r="C35" s="133">
        <f t="shared" si="8"/>
        <v>9594439.4543452542</v>
      </c>
      <c r="D35" s="134">
        <f t="shared" si="9"/>
        <v>1.0286</v>
      </c>
      <c r="E35" s="141">
        <f t="shared" si="5"/>
        <v>9868840.4227395281</v>
      </c>
      <c r="F35" s="142">
        <f>F30</f>
        <v>8.7599999999999997E-2</v>
      </c>
      <c r="G35" s="143">
        <f t="shared" si="6"/>
        <v>864510.42103198264</v>
      </c>
    </row>
    <row r="36" spans="2:10" x14ac:dyDescent="0.2">
      <c r="B36" s="75" t="str">
        <f t="shared" si="7"/>
        <v xml:space="preserve">Unmetered Loads </v>
      </c>
      <c r="C36" s="133">
        <f t="shared" si="8"/>
        <v>3493.7902304208837</v>
      </c>
      <c r="D36" s="134">
        <f t="shared" si="9"/>
        <v>1.0286</v>
      </c>
      <c r="E36" s="141">
        <f t="shared" si="5"/>
        <v>3593.7126310109211</v>
      </c>
      <c r="F36" s="142">
        <f>F30</f>
        <v>8.7599999999999997E-2</v>
      </c>
      <c r="G36" s="143">
        <f t="shared" si="6"/>
        <v>314.80922647655666</v>
      </c>
    </row>
    <row r="37" spans="2:10" x14ac:dyDescent="0.2">
      <c r="B37" s="75" t="str">
        <f t="shared" si="7"/>
        <v>Embedded Distributors - Hydro One</v>
      </c>
      <c r="C37" s="133">
        <f t="shared" si="8"/>
        <v>12613577.074962635</v>
      </c>
      <c r="D37" s="134">
        <f t="shared" si="9"/>
        <v>1.0286</v>
      </c>
      <c r="E37" s="141">
        <f t="shared" si="5"/>
        <v>12974325.379306566</v>
      </c>
      <c r="F37" s="142">
        <f>F30</f>
        <v>8.7599999999999997E-2</v>
      </c>
      <c r="G37" s="143">
        <f t="shared" si="6"/>
        <v>1136550.9032272552</v>
      </c>
    </row>
    <row r="38" spans="2:10" x14ac:dyDescent="0.2">
      <c r="B38" s="137" t="s">
        <v>135</v>
      </c>
      <c r="C38" s="138">
        <f>SUM(C30:C37)</f>
        <v>787006947.06818151</v>
      </c>
      <c r="D38" s="139"/>
      <c r="E38" s="138">
        <f>SUM(E30:E37)</f>
        <v>803655198.27741051</v>
      </c>
      <c r="F38" s="144"/>
      <c r="G38" s="145">
        <f>SUM(G30:G37)</f>
        <v>70400195.369101182</v>
      </c>
    </row>
    <row r="40" spans="2:10" x14ac:dyDescent="0.2">
      <c r="B40" s="339" t="s">
        <v>142</v>
      </c>
      <c r="C40" s="340"/>
      <c r="D40" s="341" t="s">
        <v>143</v>
      </c>
      <c r="E40" s="342"/>
      <c r="F40" s="343"/>
      <c r="G40" s="340"/>
    </row>
    <row r="41" spans="2:10" x14ac:dyDescent="0.2">
      <c r="B41" s="338" t="s">
        <v>141</v>
      </c>
      <c r="C41" s="356"/>
      <c r="D41" s="344" t="s">
        <v>144</v>
      </c>
      <c r="E41" s="444">
        <v>2014</v>
      </c>
      <c r="F41" s="445"/>
      <c r="G41" s="446"/>
    </row>
    <row r="42" spans="2:10" x14ac:dyDescent="0.2">
      <c r="B42" s="151" t="str">
        <f>B30</f>
        <v xml:space="preserve">Residential </v>
      </c>
      <c r="C42" s="141"/>
      <c r="D42" s="152" t="s">
        <v>132</v>
      </c>
      <c r="E42" s="141">
        <f>E18+E30</f>
        <v>399790891.80010146</v>
      </c>
      <c r="F42" s="364">
        <v>6.7000000000000002E-3</v>
      </c>
      <c r="G42" s="143">
        <f t="shared" ref="G42:G49" si="10">E42*F42</f>
        <v>2678598.9750606799</v>
      </c>
    </row>
    <row r="43" spans="2:10" x14ac:dyDescent="0.2">
      <c r="B43" s="151" t="str">
        <f t="shared" ref="B43:B49" si="11">B31</f>
        <v>General Service &lt; 50 kW</v>
      </c>
      <c r="C43" s="141"/>
      <c r="D43" s="152" t="s">
        <v>132</v>
      </c>
      <c r="E43" s="141">
        <f>E19+E31</f>
        <v>155275266.38324079</v>
      </c>
      <c r="F43" s="364">
        <v>5.7999999999999996E-3</v>
      </c>
      <c r="G43" s="143">
        <f t="shared" si="10"/>
        <v>900596.54502279649</v>
      </c>
    </row>
    <row r="44" spans="2:10" x14ac:dyDescent="0.2">
      <c r="B44" s="151" t="str">
        <f t="shared" si="11"/>
        <v>General Service &gt; 50 to 999 kW</v>
      </c>
      <c r="C44" s="141"/>
      <c r="D44" s="152" t="s">
        <v>133</v>
      </c>
      <c r="E44" s="141">
        <f>D7</f>
        <v>1211049.8096063654</v>
      </c>
      <c r="F44" s="364">
        <v>3.7791000000000001</v>
      </c>
      <c r="G44" s="143">
        <f t="shared" si="10"/>
        <v>4576678.335483416</v>
      </c>
    </row>
    <row r="45" spans="2:10" x14ac:dyDescent="0.2">
      <c r="B45" s="151" t="str">
        <f t="shared" si="11"/>
        <v>General Service &gt; 1000 to 4999 kW</v>
      </c>
      <c r="C45" s="141"/>
      <c r="D45" s="152" t="s">
        <v>133</v>
      </c>
      <c r="E45" s="141">
        <f>D8</f>
        <v>521747.24298547133</v>
      </c>
      <c r="F45" s="364">
        <v>2.8702000000000001</v>
      </c>
      <c r="G45" s="143">
        <f t="shared" si="10"/>
        <v>1497518.9368168998</v>
      </c>
      <c r="I45" s="32"/>
    </row>
    <row r="46" spans="2:10" x14ac:dyDescent="0.2">
      <c r="B46" s="151" t="str">
        <f t="shared" si="11"/>
        <v>Large User</v>
      </c>
      <c r="C46" s="141"/>
      <c r="D46" s="152" t="s">
        <v>133</v>
      </c>
      <c r="E46" s="141">
        <f>D9</f>
        <v>429057.14555875014</v>
      </c>
      <c r="F46" s="364">
        <v>2.7199</v>
      </c>
      <c r="G46" s="143">
        <f t="shared" si="10"/>
        <v>1166992.5302052444</v>
      </c>
    </row>
    <row r="47" spans="2:10" x14ac:dyDescent="0.2">
      <c r="B47" s="151" t="str">
        <f t="shared" si="11"/>
        <v>Street Lights</v>
      </c>
      <c r="C47" s="141"/>
      <c r="D47" s="152" t="s">
        <v>133</v>
      </c>
      <c r="E47" s="141">
        <f>D10</f>
        <v>25750.749206811397</v>
      </c>
      <c r="F47" s="364">
        <v>1.8991</v>
      </c>
      <c r="G47" s="143">
        <f t="shared" si="10"/>
        <v>48903.247818655524</v>
      </c>
    </row>
    <row r="48" spans="2:10" x14ac:dyDescent="0.2">
      <c r="B48" s="151" t="str">
        <f>B36</f>
        <v xml:space="preserve">Unmetered Loads </v>
      </c>
      <c r="C48" s="141"/>
      <c r="D48" s="152" t="s">
        <v>132</v>
      </c>
      <c r="E48" s="141">
        <f>E36</f>
        <v>3593.7126310109211</v>
      </c>
      <c r="F48" s="364">
        <v>5.7999999999999996E-3</v>
      </c>
      <c r="G48" s="143">
        <f t="shared" si="10"/>
        <v>20.843533259863342</v>
      </c>
    </row>
    <row r="49" spans="2:7" x14ac:dyDescent="0.2">
      <c r="B49" s="151" t="str">
        <f t="shared" si="11"/>
        <v>Embedded Distributors - Hydro One</v>
      </c>
      <c r="C49" s="141"/>
      <c r="D49" s="152" t="s">
        <v>133</v>
      </c>
      <c r="E49" s="141">
        <f>D12</f>
        <v>27169.313157872577</v>
      </c>
      <c r="F49" s="364">
        <v>2.7199</v>
      </c>
      <c r="G49" s="143">
        <f t="shared" si="10"/>
        <v>73897.814858097627</v>
      </c>
    </row>
    <row r="50" spans="2:7" x14ac:dyDescent="0.2">
      <c r="B50" s="137" t="s">
        <v>135</v>
      </c>
      <c r="C50" s="138"/>
      <c r="D50" s="139"/>
      <c r="E50" s="138"/>
      <c r="F50" s="144"/>
      <c r="G50" s="154">
        <f>SUM(G42:G49)</f>
        <v>10943207.228799051</v>
      </c>
    </row>
    <row r="52" spans="2:7" x14ac:dyDescent="0.2">
      <c r="B52" s="339" t="s">
        <v>145</v>
      </c>
      <c r="C52" s="340"/>
      <c r="D52" s="345" t="s">
        <v>143</v>
      </c>
      <c r="E52" s="342"/>
      <c r="F52" s="343"/>
      <c r="G52" s="340"/>
    </row>
    <row r="53" spans="2:7" x14ac:dyDescent="0.2">
      <c r="B53" s="338" t="s">
        <v>141</v>
      </c>
      <c r="C53" s="356"/>
      <c r="D53" s="346" t="s">
        <v>144</v>
      </c>
      <c r="E53" s="444">
        <v>2014</v>
      </c>
      <c r="F53" s="445"/>
      <c r="G53" s="446"/>
    </row>
    <row r="54" spans="2:7" x14ac:dyDescent="0.2">
      <c r="B54" s="151" t="str">
        <f>B42</f>
        <v xml:space="preserve">Residential </v>
      </c>
      <c r="C54" s="141"/>
      <c r="D54" s="152" t="str">
        <f>D42</f>
        <v>kWh</v>
      </c>
      <c r="E54" s="141">
        <f>E42</f>
        <v>399790891.80010146</v>
      </c>
      <c r="F54" s="364">
        <v>4.1999999999999997E-3</v>
      </c>
      <c r="G54" s="143">
        <f t="shared" ref="G54:G61" si="12">E54*F54</f>
        <v>1679121.745560426</v>
      </c>
    </row>
    <row r="55" spans="2:7" x14ac:dyDescent="0.2">
      <c r="B55" s="151" t="str">
        <f t="shared" ref="B55:B61" si="13">B43</f>
        <v>General Service &lt; 50 kW</v>
      </c>
      <c r="C55" s="141"/>
      <c r="D55" s="152" t="str">
        <f t="shared" ref="D55:E61" si="14">D43</f>
        <v>kWh</v>
      </c>
      <c r="E55" s="141">
        <f t="shared" si="14"/>
        <v>155275266.38324079</v>
      </c>
      <c r="F55" s="364">
        <v>3.8999999999999998E-3</v>
      </c>
      <c r="G55" s="143">
        <f t="shared" si="12"/>
        <v>605573.538894639</v>
      </c>
    </row>
    <row r="56" spans="2:7" x14ac:dyDescent="0.2">
      <c r="B56" s="151" t="str">
        <f t="shared" si="13"/>
        <v>General Service &gt; 50 to 999 kW</v>
      </c>
      <c r="C56" s="141"/>
      <c r="D56" s="152" t="str">
        <f t="shared" si="14"/>
        <v>kW</v>
      </c>
      <c r="E56" s="141">
        <f t="shared" si="14"/>
        <v>1211049.8096063654</v>
      </c>
      <c r="F56" s="364">
        <v>2.3950999999999998</v>
      </c>
      <c r="G56" s="143">
        <f t="shared" si="12"/>
        <v>2900585.3989882055</v>
      </c>
    </row>
    <row r="57" spans="2:7" x14ac:dyDescent="0.2">
      <c r="B57" s="151" t="str">
        <f t="shared" si="13"/>
        <v>General Service &gt; 1000 to 4999 kW</v>
      </c>
      <c r="C57" s="141"/>
      <c r="D57" s="152" t="str">
        <f t="shared" si="14"/>
        <v>kW</v>
      </c>
      <c r="E57" s="141">
        <f t="shared" si="14"/>
        <v>521747.24298547133</v>
      </c>
      <c r="F57" s="364">
        <v>1.8796999999999999</v>
      </c>
      <c r="G57" s="143">
        <f t="shared" si="12"/>
        <v>980728.29263979045</v>
      </c>
    </row>
    <row r="58" spans="2:7" x14ac:dyDescent="0.2">
      <c r="B58" s="151" t="str">
        <f t="shared" si="13"/>
        <v>Large User</v>
      </c>
      <c r="C58" s="141"/>
      <c r="D58" s="152" t="str">
        <f t="shared" si="14"/>
        <v>kW</v>
      </c>
      <c r="E58" s="141">
        <f t="shared" si="14"/>
        <v>429057.14555875014</v>
      </c>
      <c r="F58" s="364">
        <v>1.9133</v>
      </c>
      <c r="G58" s="143">
        <f t="shared" si="12"/>
        <v>820915.03659755667</v>
      </c>
    </row>
    <row r="59" spans="2:7" x14ac:dyDescent="0.2">
      <c r="B59" s="151" t="str">
        <f t="shared" si="13"/>
        <v>Street Lights</v>
      </c>
      <c r="C59" s="141"/>
      <c r="D59" s="152" t="str">
        <f t="shared" si="14"/>
        <v>kW</v>
      </c>
      <c r="E59" s="141">
        <f t="shared" si="14"/>
        <v>25750.749206811397</v>
      </c>
      <c r="F59" s="364">
        <v>1.2036</v>
      </c>
      <c r="G59" s="143">
        <f t="shared" si="12"/>
        <v>30993.601745318196</v>
      </c>
    </row>
    <row r="60" spans="2:7" x14ac:dyDescent="0.2">
      <c r="B60" s="151" t="str">
        <f t="shared" si="13"/>
        <v xml:space="preserve">Unmetered Loads </v>
      </c>
      <c r="C60" s="141"/>
      <c r="D60" s="152" t="str">
        <f t="shared" si="14"/>
        <v>kWh</v>
      </c>
      <c r="E60" s="141">
        <f t="shared" si="14"/>
        <v>3593.7126310109211</v>
      </c>
      <c r="F60" s="364">
        <v>3.8999999999999998E-3</v>
      </c>
      <c r="G60" s="143">
        <f t="shared" si="12"/>
        <v>14.015479260942591</v>
      </c>
    </row>
    <row r="61" spans="2:7" x14ac:dyDescent="0.2">
      <c r="B61" s="151" t="str">
        <f t="shared" si="13"/>
        <v>Embedded Distributors - Hydro One</v>
      </c>
      <c r="C61" s="141"/>
      <c r="D61" s="152" t="str">
        <f t="shared" si="14"/>
        <v>kW</v>
      </c>
      <c r="E61" s="141">
        <f t="shared" si="14"/>
        <v>27169.313157872577</v>
      </c>
      <c r="F61" s="364">
        <v>1.9133</v>
      </c>
      <c r="G61" s="143">
        <f t="shared" si="12"/>
        <v>51983.0468649576</v>
      </c>
    </row>
    <row r="62" spans="2:7" x14ac:dyDescent="0.2">
      <c r="B62" s="137" t="s">
        <v>135</v>
      </c>
      <c r="C62" s="138"/>
      <c r="D62" s="139"/>
      <c r="E62" s="138"/>
      <c r="F62" s="144"/>
      <c r="G62" s="154">
        <f>SUM(G54:G61)</f>
        <v>7069914.6767701544</v>
      </c>
    </row>
    <row r="64" spans="2:7" x14ac:dyDescent="0.2">
      <c r="B64" s="339" t="s">
        <v>146</v>
      </c>
      <c r="C64" s="340"/>
      <c r="D64" s="345"/>
      <c r="E64" s="342"/>
      <c r="F64" s="343"/>
      <c r="G64" s="340"/>
    </row>
    <row r="65" spans="2:14" x14ac:dyDescent="0.2">
      <c r="B65" s="338" t="s">
        <v>141</v>
      </c>
      <c r="C65" s="356"/>
      <c r="D65" s="346"/>
      <c r="E65" s="444">
        <v>2014</v>
      </c>
      <c r="F65" s="445"/>
      <c r="G65" s="447"/>
    </row>
    <row r="66" spans="2:14" x14ac:dyDescent="0.2">
      <c r="B66" s="151" t="str">
        <f>B54</f>
        <v xml:space="preserve">Residential </v>
      </c>
      <c r="C66" s="141"/>
      <c r="D66" s="152" t="s">
        <v>132</v>
      </c>
      <c r="E66" s="141">
        <f>E18+E30</f>
        <v>399790891.80010146</v>
      </c>
      <c r="F66" s="153">
        <v>4.4000000000000003E-3</v>
      </c>
      <c r="G66" s="143">
        <f t="shared" ref="G66:G73" si="15">E66*F66</f>
        <v>1759079.9239204465</v>
      </c>
    </row>
    <row r="67" spans="2:14" x14ac:dyDescent="0.2">
      <c r="B67" s="151" t="str">
        <f t="shared" ref="B67:B73" si="16">B55</f>
        <v>General Service &lt; 50 kW</v>
      </c>
      <c r="C67" s="141"/>
      <c r="D67" s="152" t="s">
        <v>132</v>
      </c>
      <c r="E67" s="141">
        <f t="shared" ref="E67:E73" si="17">E19+E31</f>
        <v>155275266.38324079</v>
      </c>
      <c r="F67" s="153">
        <v>4.4000000000000003E-3</v>
      </c>
      <c r="G67" s="143">
        <f t="shared" si="15"/>
        <v>683211.17208625947</v>
      </c>
    </row>
    <row r="68" spans="2:14" x14ac:dyDescent="0.2">
      <c r="B68" s="151" t="str">
        <f t="shared" si="16"/>
        <v>General Service &gt; 50 to 999 kW</v>
      </c>
      <c r="C68" s="141"/>
      <c r="D68" s="152" t="s">
        <v>132</v>
      </c>
      <c r="E68" s="141">
        <f t="shared" si="17"/>
        <v>438349068.71604329</v>
      </c>
      <c r="F68" s="153">
        <v>4.4000000000000003E-3</v>
      </c>
      <c r="G68" s="143">
        <f t="shared" si="15"/>
        <v>1928735.9023505906</v>
      </c>
    </row>
    <row r="69" spans="2:14" x14ac:dyDescent="0.2">
      <c r="B69" s="151" t="str">
        <f t="shared" si="16"/>
        <v>General Service &gt; 1000 to 4999 kW</v>
      </c>
      <c r="C69" s="141"/>
      <c r="D69" s="152" t="s">
        <v>132</v>
      </c>
      <c r="E69" s="141">
        <f t="shared" si="17"/>
        <v>225614037.29674393</v>
      </c>
      <c r="F69" s="153">
        <v>4.4000000000000003E-3</v>
      </c>
      <c r="G69" s="143">
        <f t="shared" si="15"/>
        <v>992701.7641056733</v>
      </c>
    </row>
    <row r="70" spans="2:14" x14ac:dyDescent="0.2">
      <c r="B70" s="151" t="str">
        <f t="shared" si="16"/>
        <v>Large User</v>
      </c>
      <c r="C70" s="141"/>
      <c r="D70" s="152" t="s">
        <v>132</v>
      </c>
      <c r="E70" s="141">
        <f t="shared" si="17"/>
        <v>207134470.7125091</v>
      </c>
      <c r="F70" s="153">
        <v>4.4000000000000003E-3</v>
      </c>
      <c r="G70" s="143">
        <f t="shared" si="15"/>
        <v>911391.67113504012</v>
      </c>
    </row>
    <row r="71" spans="2:14" x14ac:dyDescent="0.2">
      <c r="B71" s="151" t="str">
        <f t="shared" si="16"/>
        <v>Street Lights</v>
      </c>
      <c r="C71" s="141"/>
      <c r="D71" s="152" t="s">
        <v>132</v>
      </c>
      <c r="E71" s="141">
        <f t="shared" si="17"/>
        <v>9868840.4227395281</v>
      </c>
      <c r="F71" s="153">
        <v>4.4000000000000003E-3</v>
      </c>
      <c r="G71" s="143">
        <f t="shared" si="15"/>
        <v>43422.897860053927</v>
      </c>
    </row>
    <row r="72" spans="2:14" x14ac:dyDescent="0.2">
      <c r="B72" s="151" t="str">
        <f t="shared" si="16"/>
        <v xml:space="preserve">Unmetered Loads </v>
      </c>
      <c r="C72" s="141"/>
      <c r="D72" s="152" t="s">
        <v>132</v>
      </c>
      <c r="E72" s="141">
        <f t="shared" si="17"/>
        <v>1796856.3155054739</v>
      </c>
      <c r="F72" s="153">
        <v>4.4000000000000003E-3</v>
      </c>
      <c r="G72" s="143">
        <f t="shared" si="15"/>
        <v>7906.1677882240856</v>
      </c>
    </row>
    <row r="73" spans="2:14" x14ac:dyDescent="0.2">
      <c r="B73" s="151" t="str">
        <f t="shared" si="16"/>
        <v>Embedded Distributors - Hydro One</v>
      </c>
      <c r="C73" s="141"/>
      <c r="D73" s="152" t="s">
        <v>132</v>
      </c>
      <c r="E73" s="141">
        <f t="shared" si="17"/>
        <v>12974325.379306566</v>
      </c>
      <c r="F73" s="153">
        <v>4.4000000000000003E-3</v>
      </c>
      <c r="G73" s="143">
        <f t="shared" si="15"/>
        <v>57087.031668948897</v>
      </c>
    </row>
    <row r="74" spans="2:14" x14ac:dyDescent="0.2">
      <c r="B74" s="137" t="s">
        <v>135</v>
      </c>
      <c r="C74" s="138"/>
      <c r="D74" s="139"/>
      <c r="E74" s="138">
        <f>SUM(E66:E73)</f>
        <v>1450803757.02619</v>
      </c>
      <c r="F74" s="144"/>
      <c r="G74" s="154">
        <f>SUM(G66:G73)</f>
        <v>6383536.5309152361</v>
      </c>
    </row>
    <row r="76" spans="2:14" x14ac:dyDescent="0.2">
      <c r="B76" s="339" t="s">
        <v>147</v>
      </c>
      <c r="C76" s="340"/>
      <c r="D76" s="345"/>
      <c r="E76" s="342"/>
      <c r="F76" s="343"/>
      <c r="G76" s="340"/>
    </row>
    <row r="77" spans="2:14" x14ac:dyDescent="0.2">
      <c r="B77" s="338" t="s">
        <v>141</v>
      </c>
      <c r="C77" s="356"/>
      <c r="D77" s="346"/>
      <c r="E77" s="448">
        <v>2014</v>
      </c>
      <c r="F77" s="445"/>
      <c r="G77" s="446"/>
    </row>
    <row r="78" spans="2:14" x14ac:dyDescent="0.2">
      <c r="B78" s="151" t="str">
        <f>B66</f>
        <v xml:space="preserve">Residential </v>
      </c>
      <c r="C78" s="141"/>
      <c r="D78" s="152" t="str">
        <f t="shared" ref="D78:E85" si="18">D66</f>
        <v>kWh</v>
      </c>
      <c r="E78" s="141">
        <f>E66</f>
        <v>399790891.80010146</v>
      </c>
      <c r="F78" s="365">
        <v>1.2999999999999999E-3</v>
      </c>
      <c r="G78" s="143">
        <f t="shared" ref="G78:G85" si="19">E78*F78</f>
        <v>519728.15934013185</v>
      </c>
      <c r="I78" s="366" t="s">
        <v>297</v>
      </c>
      <c r="J78" s="366"/>
      <c r="K78" s="366"/>
      <c r="L78" s="366"/>
      <c r="M78" s="366"/>
      <c r="N78" s="366"/>
    </row>
    <row r="79" spans="2:14" x14ac:dyDescent="0.2">
      <c r="B79" s="151" t="str">
        <f t="shared" ref="B79:B85" si="20">B67</f>
        <v>General Service &lt; 50 kW</v>
      </c>
      <c r="C79" s="141"/>
      <c r="D79" s="152" t="str">
        <f t="shared" si="18"/>
        <v>kWh</v>
      </c>
      <c r="E79" s="141">
        <f t="shared" si="18"/>
        <v>155275266.38324079</v>
      </c>
      <c r="F79" s="365">
        <v>1.2999999999999999E-3</v>
      </c>
      <c r="G79" s="143">
        <f t="shared" si="19"/>
        <v>201857.84629821303</v>
      </c>
      <c r="I79" s="366" t="s">
        <v>300</v>
      </c>
      <c r="J79" s="366"/>
      <c r="K79" s="366"/>
      <c r="L79" s="366"/>
      <c r="M79" s="366"/>
      <c r="N79" s="366"/>
    </row>
    <row r="80" spans="2:14" x14ac:dyDescent="0.2">
      <c r="B80" s="151" t="str">
        <f t="shared" si="20"/>
        <v>General Service &gt; 50 to 999 kW</v>
      </c>
      <c r="C80" s="141"/>
      <c r="D80" s="152" t="str">
        <f t="shared" si="18"/>
        <v>kWh</v>
      </c>
      <c r="E80" s="141">
        <f t="shared" si="18"/>
        <v>438349068.71604329</v>
      </c>
      <c r="F80" s="365">
        <v>1.2999999999999999E-3</v>
      </c>
      <c r="G80" s="143">
        <f t="shared" si="19"/>
        <v>569853.78933085629</v>
      </c>
      <c r="I80" t="s">
        <v>295</v>
      </c>
      <c r="J80" t="s">
        <v>295</v>
      </c>
      <c r="K80" t="s">
        <v>295</v>
      </c>
      <c r="L80" t="s">
        <v>295</v>
      </c>
      <c r="M80" t="s">
        <v>295</v>
      </c>
    </row>
    <row r="81" spans="2:7" x14ac:dyDescent="0.2">
      <c r="B81" s="151" t="str">
        <f t="shared" si="20"/>
        <v>General Service &gt; 1000 to 4999 kW</v>
      </c>
      <c r="C81" s="141"/>
      <c r="D81" s="152" t="str">
        <f t="shared" si="18"/>
        <v>kWh</v>
      </c>
      <c r="E81" s="141">
        <f t="shared" si="18"/>
        <v>225614037.29674393</v>
      </c>
      <c r="F81" s="365">
        <v>1.2999999999999999E-3</v>
      </c>
      <c r="G81" s="143">
        <f t="shared" si="19"/>
        <v>293298.24848576711</v>
      </c>
    </row>
    <row r="82" spans="2:7" x14ac:dyDescent="0.2">
      <c r="B82" s="151" t="str">
        <f t="shared" si="20"/>
        <v>Large User</v>
      </c>
      <c r="C82" s="141"/>
      <c r="D82" s="152" t="str">
        <f t="shared" si="18"/>
        <v>kWh</v>
      </c>
      <c r="E82" s="141">
        <f t="shared" si="18"/>
        <v>207134470.7125091</v>
      </c>
      <c r="F82" s="365">
        <v>1.2999999999999999E-3</v>
      </c>
      <c r="G82" s="143">
        <f t="shared" si="19"/>
        <v>269274.81192626181</v>
      </c>
    </row>
    <row r="83" spans="2:7" x14ac:dyDescent="0.2">
      <c r="B83" s="151" t="str">
        <f t="shared" si="20"/>
        <v>Street Lights</v>
      </c>
      <c r="C83" s="141"/>
      <c r="D83" s="152" t="str">
        <f t="shared" si="18"/>
        <v>kWh</v>
      </c>
      <c r="E83" s="141">
        <f t="shared" si="18"/>
        <v>9868840.4227395281</v>
      </c>
      <c r="F83" s="365">
        <v>1.2999999999999999E-3</v>
      </c>
      <c r="G83" s="143">
        <f t="shared" si="19"/>
        <v>12829.492549561386</v>
      </c>
    </row>
    <row r="84" spans="2:7" x14ac:dyDescent="0.2">
      <c r="B84" s="151" t="str">
        <f t="shared" si="20"/>
        <v xml:space="preserve">Unmetered Loads </v>
      </c>
      <c r="C84" s="141"/>
      <c r="D84" s="152" t="str">
        <f t="shared" si="18"/>
        <v>kWh</v>
      </c>
      <c r="E84" s="141">
        <f t="shared" si="18"/>
        <v>1796856.3155054739</v>
      </c>
      <c r="F84" s="365">
        <v>1.2999999999999999E-3</v>
      </c>
      <c r="G84" s="143">
        <f t="shared" si="19"/>
        <v>2335.9132101571158</v>
      </c>
    </row>
    <row r="85" spans="2:7" x14ac:dyDescent="0.2">
      <c r="B85" s="151" t="str">
        <f t="shared" si="20"/>
        <v>Embedded Distributors - Hydro One</v>
      </c>
      <c r="C85" s="141"/>
      <c r="D85" s="152" t="str">
        <f t="shared" si="18"/>
        <v>kWh</v>
      </c>
      <c r="E85" s="141">
        <f t="shared" si="18"/>
        <v>12974325.379306566</v>
      </c>
      <c r="F85" s="365">
        <v>1.2999999999999999E-3</v>
      </c>
      <c r="G85" s="143">
        <f t="shared" si="19"/>
        <v>16866.622993098536</v>
      </c>
    </row>
    <row r="86" spans="2:7" x14ac:dyDescent="0.2">
      <c r="B86" s="137" t="s">
        <v>135</v>
      </c>
      <c r="C86" s="138"/>
      <c r="D86" s="139"/>
      <c r="E86" s="138">
        <f>SUM(E78:E85)</f>
        <v>1450803757.02619</v>
      </c>
      <c r="F86" s="144"/>
      <c r="G86" s="154">
        <f>SUM(G78:G85)</f>
        <v>1886044.884134047</v>
      </c>
    </row>
    <row r="88" spans="2:7" x14ac:dyDescent="0.2">
      <c r="B88" s="347"/>
      <c r="C88" s="348">
        <v>2014</v>
      </c>
    </row>
    <row r="89" spans="2:7" x14ac:dyDescent="0.2">
      <c r="B89" s="69"/>
      <c r="C89" s="155"/>
    </row>
    <row r="90" spans="2:7" x14ac:dyDescent="0.2">
      <c r="B90" s="62" t="s">
        <v>148</v>
      </c>
      <c r="C90" s="156">
        <f>G26+G38</f>
        <v>127996417.09774256</v>
      </c>
    </row>
    <row r="91" spans="2:7" x14ac:dyDescent="0.2">
      <c r="B91" s="62" t="s">
        <v>149</v>
      </c>
      <c r="C91" s="157">
        <f>G74</f>
        <v>6383536.5309152361</v>
      </c>
    </row>
    <row r="92" spans="2:7" x14ac:dyDescent="0.2">
      <c r="B92" s="62" t="s">
        <v>150</v>
      </c>
      <c r="C92" s="157">
        <f>G50</f>
        <v>10943207.228799051</v>
      </c>
    </row>
    <row r="93" spans="2:7" x14ac:dyDescent="0.2">
      <c r="B93" s="62" t="s">
        <v>151</v>
      </c>
      <c r="C93" s="157">
        <f>G62</f>
        <v>7069914.6767701544</v>
      </c>
    </row>
    <row r="94" spans="2:7" x14ac:dyDescent="0.2">
      <c r="B94" s="62" t="s">
        <v>152</v>
      </c>
      <c r="C94" s="157">
        <f>G86</f>
        <v>1886044.884134047</v>
      </c>
    </row>
    <row r="95" spans="2:7" x14ac:dyDescent="0.2">
      <c r="B95" s="62" t="s">
        <v>153</v>
      </c>
      <c r="C95" s="349">
        <v>170662</v>
      </c>
    </row>
    <row r="96" spans="2:7" x14ac:dyDescent="0.2">
      <c r="B96" s="351" t="s">
        <v>290</v>
      </c>
      <c r="C96" s="349">
        <v>480492</v>
      </c>
    </row>
    <row r="97" spans="2:3" x14ac:dyDescent="0.2">
      <c r="B97" s="78" t="s">
        <v>135</v>
      </c>
      <c r="C97" s="138">
        <f>SUM(C90:C96)</f>
        <v>154930274.41836104</v>
      </c>
    </row>
  </sheetData>
  <mergeCells count="11">
    <mergeCell ref="E41:G41"/>
    <mergeCell ref="E53:G53"/>
    <mergeCell ref="E65:G65"/>
    <mergeCell ref="E77:G77"/>
    <mergeCell ref="B3:E3"/>
    <mergeCell ref="C16:C17"/>
    <mergeCell ref="D16:D17"/>
    <mergeCell ref="E16:G17"/>
    <mergeCell ref="C28:C29"/>
    <mergeCell ref="D28:D29"/>
    <mergeCell ref="E28:G29"/>
  </mergeCells>
  <pageMargins left="0.7" right="0.7" top="0.75" bottom="0.75" header="0.3" footer="0.3"/>
  <pageSetup scale="55" orientation="portrait" r:id="rId1"/>
  <headerFooter>
    <oddFooter>&amp;Z&amp;F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750"/>
  <sheetViews>
    <sheetView topLeftCell="A267" zoomScale="115" zoomScaleNormal="115" workbookViewId="0">
      <selection activeCell="A275" sqref="A275"/>
    </sheetView>
  </sheetViews>
  <sheetFormatPr defaultRowHeight="14.25" x14ac:dyDescent="0.2"/>
  <cols>
    <col min="1" max="1" width="9.140625" style="186"/>
    <col min="2" max="2" width="25.140625" style="186" customWidth="1"/>
    <col min="3" max="3" width="22.7109375" style="186" hidden="1" customWidth="1"/>
    <col min="4" max="4" width="14.42578125" style="186" customWidth="1"/>
    <col min="5" max="5" width="14.28515625" style="186" bestFit="1" customWidth="1"/>
    <col min="6" max="6" width="13.85546875" style="186" customWidth="1"/>
    <col min="7" max="7" width="14.28515625" style="186" bestFit="1" customWidth="1"/>
    <col min="8" max="8" width="14" style="186" customWidth="1"/>
    <col min="9" max="9" width="14.28515625" style="186" bestFit="1" customWidth="1"/>
    <col min="10" max="11" width="13.140625" style="186" customWidth="1"/>
    <col min="12" max="12" width="12.140625" style="186" customWidth="1"/>
    <col min="13" max="13" width="12.42578125" style="186" bestFit="1" customWidth="1"/>
    <col min="14" max="14" width="11" style="186" customWidth="1"/>
    <col min="15" max="22" width="9.140625" style="186"/>
    <col min="23" max="23" width="9" style="186" customWidth="1"/>
    <col min="24" max="257" width="9.140625" style="186"/>
    <col min="258" max="258" width="23" style="186" customWidth="1"/>
    <col min="259" max="259" width="0" style="186" hidden="1" customWidth="1"/>
    <col min="260" max="260" width="12.42578125" style="186" customWidth="1"/>
    <col min="261" max="261" width="12.5703125" style="186" customWidth="1"/>
    <col min="262" max="263" width="12.140625" style="186" customWidth="1"/>
    <col min="264" max="264" width="14" style="186" customWidth="1"/>
    <col min="265" max="265" width="12.5703125" style="186" customWidth="1"/>
    <col min="266" max="267" width="13.140625" style="186" customWidth="1"/>
    <col min="268" max="269" width="9.140625" style="186"/>
    <col min="270" max="270" width="11" style="186" customWidth="1"/>
    <col min="271" max="513" width="9.140625" style="186"/>
    <col min="514" max="514" width="23" style="186" customWidth="1"/>
    <col min="515" max="515" width="0" style="186" hidden="1" customWidth="1"/>
    <col min="516" max="516" width="12.42578125" style="186" customWidth="1"/>
    <col min="517" max="517" width="12.5703125" style="186" customWidth="1"/>
    <col min="518" max="519" width="12.140625" style="186" customWidth="1"/>
    <col min="520" max="520" width="14" style="186" customWidth="1"/>
    <col min="521" max="521" width="12.5703125" style="186" customWidth="1"/>
    <col min="522" max="523" width="13.140625" style="186" customWidth="1"/>
    <col min="524" max="525" width="9.140625" style="186"/>
    <col min="526" max="526" width="11" style="186" customWidth="1"/>
    <col min="527" max="769" width="9.140625" style="186"/>
    <col min="770" max="770" width="23" style="186" customWidth="1"/>
    <col min="771" max="771" width="0" style="186" hidden="1" customWidth="1"/>
    <col min="772" max="772" width="12.42578125" style="186" customWidth="1"/>
    <col min="773" max="773" width="12.5703125" style="186" customWidth="1"/>
    <col min="774" max="775" width="12.140625" style="186" customWidth="1"/>
    <col min="776" max="776" width="14" style="186" customWidth="1"/>
    <col min="777" max="777" width="12.5703125" style="186" customWidth="1"/>
    <col min="778" max="779" width="13.140625" style="186" customWidth="1"/>
    <col min="780" max="781" width="9.140625" style="186"/>
    <col min="782" max="782" width="11" style="186" customWidth="1"/>
    <col min="783" max="1025" width="9.140625" style="186"/>
    <col min="1026" max="1026" width="23" style="186" customWidth="1"/>
    <col min="1027" max="1027" width="0" style="186" hidden="1" customWidth="1"/>
    <col min="1028" max="1028" width="12.42578125" style="186" customWidth="1"/>
    <col min="1029" max="1029" width="12.5703125" style="186" customWidth="1"/>
    <col min="1030" max="1031" width="12.140625" style="186" customWidth="1"/>
    <col min="1032" max="1032" width="14" style="186" customWidth="1"/>
    <col min="1033" max="1033" width="12.5703125" style="186" customWidth="1"/>
    <col min="1034" max="1035" width="13.140625" style="186" customWidth="1"/>
    <col min="1036" max="1037" width="9.140625" style="186"/>
    <col min="1038" max="1038" width="11" style="186" customWidth="1"/>
    <col min="1039" max="1281" width="9.140625" style="186"/>
    <col min="1282" max="1282" width="23" style="186" customWidth="1"/>
    <col min="1283" max="1283" width="0" style="186" hidden="1" customWidth="1"/>
    <col min="1284" max="1284" width="12.42578125" style="186" customWidth="1"/>
    <col min="1285" max="1285" width="12.5703125" style="186" customWidth="1"/>
    <col min="1286" max="1287" width="12.140625" style="186" customWidth="1"/>
    <col min="1288" max="1288" width="14" style="186" customWidth="1"/>
    <col min="1289" max="1289" width="12.5703125" style="186" customWidth="1"/>
    <col min="1290" max="1291" width="13.140625" style="186" customWidth="1"/>
    <col min="1292" max="1293" width="9.140625" style="186"/>
    <col min="1294" max="1294" width="11" style="186" customWidth="1"/>
    <col min="1295" max="1537" width="9.140625" style="186"/>
    <col min="1538" max="1538" width="23" style="186" customWidth="1"/>
    <col min="1539" max="1539" width="0" style="186" hidden="1" customWidth="1"/>
    <col min="1540" max="1540" width="12.42578125" style="186" customWidth="1"/>
    <col min="1541" max="1541" width="12.5703125" style="186" customWidth="1"/>
    <col min="1542" max="1543" width="12.140625" style="186" customWidth="1"/>
    <col min="1544" max="1544" width="14" style="186" customWidth="1"/>
    <col min="1545" max="1545" width="12.5703125" style="186" customWidth="1"/>
    <col min="1546" max="1547" width="13.140625" style="186" customWidth="1"/>
    <col min="1548" max="1549" width="9.140625" style="186"/>
    <col min="1550" max="1550" width="11" style="186" customWidth="1"/>
    <col min="1551" max="1793" width="9.140625" style="186"/>
    <col min="1794" max="1794" width="23" style="186" customWidth="1"/>
    <col min="1795" max="1795" width="0" style="186" hidden="1" customWidth="1"/>
    <col min="1796" max="1796" width="12.42578125" style="186" customWidth="1"/>
    <col min="1797" max="1797" width="12.5703125" style="186" customWidth="1"/>
    <col min="1798" max="1799" width="12.140625" style="186" customWidth="1"/>
    <col min="1800" max="1800" width="14" style="186" customWidth="1"/>
    <col min="1801" max="1801" width="12.5703125" style="186" customWidth="1"/>
    <col min="1802" max="1803" width="13.140625" style="186" customWidth="1"/>
    <col min="1804" max="1805" width="9.140625" style="186"/>
    <col min="1806" max="1806" width="11" style="186" customWidth="1"/>
    <col min="1807" max="2049" width="9.140625" style="186"/>
    <col min="2050" max="2050" width="23" style="186" customWidth="1"/>
    <col min="2051" max="2051" width="0" style="186" hidden="1" customWidth="1"/>
    <col min="2052" max="2052" width="12.42578125" style="186" customWidth="1"/>
    <col min="2053" max="2053" width="12.5703125" style="186" customWidth="1"/>
    <col min="2054" max="2055" width="12.140625" style="186" customWidth="1"/>
    <col min="2056" max="2056" width="14" style="186" customWidth="1"/>
    <col min="2057" max="2057" width="12.5703125" style="186" customWidth="1"/>
    <col min="2058" max="2059" width="13.140625" style="186" customWidth="1"/>
    <col min="2060" max="2061" width="9.140625" style="186"/>
    <col min="2062" max="2062" width="11" style="186" customWidth="1"/>
    <col min="2063" max="2305" width="9.140625" style="186"/>
    <col min="2306" max="2306" width="23" style="186" customWidth="1"/>
    <col min="2307" max="2307" width="0" style="186" hidden="1" customWidth="1"/>
    <col min="2308" max="2308" width="12.42578125" style="186" customWidth="1"/>
    <col min="2309" max="2309" width="12.5703125" style="186" customWidth="1"/>
    <col min="2310" max="2311" width="12.140625" style="186" customWidth="1"/>
    <col min="2312" max="2312" width="14" style="186" customWidth="1"/>
    <col min="2313" max="2313" width="12.5703125" style="186" customWidth="1"/>
    <col min="2314" max="2315" width="13.140625" style="186" customWidth="1"/>
    <col min="2316" max="2317" width="9.140625" style="186"/>
    <col min="2318" max="2318" width="11" style="186" customWidth="1"/>
    <col min="2319" max="2561" width="9.140625" style="186"/>
    <col min="2562" max="2562" width="23" style="186" customWidth="1"/>
    <col min="2563" max="2563" width="0" style="186" hidden="1" customWidth="1"/>
    <col min="2564" max="2564" width="12.42578125" style="186" customWidth="1"/>
    <col min="2565" max="2565" width="12.5703125" style="186" customWidth="1"/>
    <col min="2566" max="2567" width="12.140625" style="186" customWidth="1"/>
    <col min="2568" max="2568" width="14" style="186" customWidth="1"/>
    <col min="2569" max="2569" width="12.5703125" style="186" customWidth="1"/>
    <col min="2570" max="2571" width="13.140625" style="186" customWidth="1"/>
    <col min="2572" max="2573" width="9.140625" style="186"/>
    <col min="2574" max="2574" width="11" style="186" customWidth="1"/>
    <col min="2575" max="2817" width="9.140625" style="186"/>
    <col min="2818" max="2818" width="23" style="186" customWidth="1"/>
    <col min="2819" max="2819" width="0" style="186" hidden="1" customWidth="1"/>
    <col min="2820" max="2820" width="12.42578125" style="186" customWidth="1"/>
    <col min="2821" max="2821" width="12.5703125" style="186" customWidth="1"/>
    <col min="2822" max="2823" width="12.140625" style="186" customWidth="1"/>
    <col min="2824" max="2824" width="14" style="186" customWidth="1"/>
    <col min="2825" max="2825" width="12.5703125" style="186" customWidth="1"/>
    <col min="2826" max="2827" width="13.140625" style="186" customWidth="1"/>
    <col min="2828" max="2829" width="9.140625" style="186"/>
    <col min="2830" max="2830" width="11" style="186" customWidth="1"/>
    <col min="2831" max="3073" width="9.140625" style="186"/>
    <col min="3074" max="3074" width="23" style="186" customWidth="1"/>
    <col min="3075" max="3075" width="0" style="186" hidden="1" customWidth="1"/>
    <col min="3076" max="3076" width="12.42578125" style="186" customWidth="1"/>
    <col min="3077" max="3077" width="12.5703125" style="186" customWidth="1"/>
    <col min="3078" max="3079" width="12.140625" style="186" customWidth="1"/>
    <col min="3080" max="3080" width="14" style="186" customWidth="1"/>
    <col min="3081" max="3081" width="12.5703125" style="186" customWidth="1"/>
    <col min="3082" max="3083" width="13.140625" style="186" customWidth="1"/>
    <col min="3084" max="3085" width="9.140625" style="186"/>
    <col min="3086" max="3086" width="11" style="186" customWidth="1"/>
    <col min="3087" max="3329" width="9.140625" style="186"/>
    <col min="3330" max="3330" width="23" style="186" customWidth="1"/>
    <col min="3331" max="3331" width="0" style="186" hidden="1" customWidth="1"/>
    <col min="3332" max="3332" width="12.42578125" style="186" customWidth="1"/>
    <col min="3333" max="3333" width="12.5703125" style="186" customWidth="1"/>
    <col min="3334" max="3335" width="12.140625" style="186" customWidth="1"/>
    <col min="3336" max="3336" width="14" style="186" customWidth="1"/>
    <col min="3337" max="3337" width="12.5703125" style="186" customWidth="1"/>
    <col min="3338" max="3339" width="13.140625" style="186" customWidth="1"/>
    <col min="3340" max="3341" width="9.140625" style="186"/>
    <col min="3342" max="3342" width="11" style="186" customWidth="1"/>
    <col min="3343" max="3585" width="9.140625" style="186"/>
    <col min="3586" max="3586" width="23" style="186" customWidth="1"/>
    <col min="3587" max="3587" width="0" style="186" hidden="1" customWidth="1"/>
    <col min="3588" max="3588" width="12.42578125" style="186" customWidth="1"/>
    <col min="3589" max="3589" width="12.5703125" style="186" customWidth="1"/>
    <col min="3590" max="3591" width="12.140625" style="186" customWidth="1"/>
    <col min="3592" max="3592" width="14" style="186" customWidth="1"/>
    <col min="3593" max="3593" width="12.5703125" style="186" customWidth="1"/>
    <col min="3594" max="3595" width="13.140625" style="186" customWidth="1"/>
    <col min="3596" max="3597" width="9.140625" style="186"/>
    <col min="3598" max="3598" width="11" style="186" customWidth="1"/>
    <col min="3599" max="3841" width="9.140625" style="186"/>
    <col min="3842" max="3842" width="23" style="186" customWidth="1"/>
    <col min="3843" max="3843" width="0" style="186" hidden="1" customWidth="1"/>
    <col min="3844" max="3844" width="12.42578125" style="186" customWidth="1"/>
    <col min="3845" max="3845" width="12.5703125" style="186" customWidth="1"/>
    <col min="3846" max="3847" width="12.140625" style="186" customWidth="1"/>
    <col min="3848" max="3848" width="14" style="186" customWidth="1"/>
    <col min="3849" max="3849" width="12.5703125" style="186" customWidth="1"/>
    <col min="3850" max="3851" width="13.140625" style="186" customWidth="1"/>
    <col min="3852" max="3853" width="9.140625" style="186"/>
    <col min="3854" max="3854" width="11" style="186" customWidth="1"/>
    <col min="3855" max="4097" width="9.140625" style="186"/>
    <col min="4098" max="4098" width="23" style="186" customWidth="1"/>
    <col min="4099" max="4099" width="0" style="186" hidden="1" customWidth="1"/>
    <col min="4100" max="4100" width="12.42578125" style="186" customWidth="1"/>
    <col min="4101" max="4101" width="12.5703125" style="186" customWidth="1"/>
    <col min="4102" max="4103" width="12.140625" style="186" customWidth="1"/>
    <col min="4104" max="4104" width="14" style="186" customWidth="1"/>
    <col min="4105" max="4105" width="12.5703125" style="186" customWidth="1"/>
    <col min="4106" max="4107" width="13.140625" style="186" customWidth="1"/>
    <col min="4108" max="4109" width="9.140625" style="186"/>
    <col min="4110" max="4110" width="11" style="186" customWidth="1"/>
    <col min="4111" max="4353" width="9.140625" style="186"/>
    <col min="4354" max="4354" width="23" style="186" customWidth="1"/>
    <col min="4355" max="4355" width="0" style="186" hidden="1" customWidth="1"/>
    <col min="4356" max="4356" width="12.42578125" style="186" customWidth="1"/>
    <col min="4357" max="4357" width="12.5703125" style="186" customWidth="1"/>
    <col min="4358" max="4359" width="12.140625" style="186" customWidth="1"/>
    <col min="4360" max="4360" width="14" style="186" customWidth="1"/>
    <col min="4361" max="4361" width="12.5703125" style="186" customWidth="1"/>
    <col min="4362" max="4363" width="13.140625" style="186" customWidth="1"/>
    <col min="4364" max="4365" width="9.140625" style="186"/>
    <col min="4366" max="4366" width="11" style="186" customWidth="1"/>
    <col min="4367" max="4609" width="9.140625" style="186"/>
    <col min="4610" max="4610" width="23" style="186" customWidth="1"/>
    <col min="4611" max="4611" width="0" style="186" hidden="1" customWidth="1"/>
    <col min="4612" max="4612" width="12.42578125" style="186" customWidth="1"/>
    <col min="4613" max="4613" width="12.5703125" style="186" customWidth="1"/>
    <col min="4614" max="4615" width="12.140625" style="186" customWidth="1"/>
    <col min="4616" max="4616" width="14" style="186" customWidth="1"/>
    <col min="4617" max="4617" width="12.5703125" style="186" customWidth="1"/>
    <col min="4618" max="4619" width="13.140625" style="186" customWidth="1"/>
    <col min="4620" max="4621" width="9.140625" style="186"/>
    <col min="4622" max="4622" width="11" style="186" customWidth="1"/>
    <col min="4623" max="4865" width="9.140625" style="186"/>
    <col min="4866" max="4866" width="23" style="186" customWidth="1"/>
    <col min="4867" max="4867" width="0" style="186" hidden="1" customWidth="1"/>
    <col min="4868" max="4868" width="12.42578125" style="186" customWidth="1"/>
    <col min="4869" max="4869" width="12.5703125" style="186" customWidth="1"/>
    <col min="4870" max="4871" width="12.140625" style="186" customWidth="1"/>
    <col min="4872" max="4872" width="14" style="186" customWidth="1"/>
    <col min="4873" max="4873" width="12.5703125" style="186" customWidth="1"/>
    <col min="4874" max="4875" width="13.140625" style="186" customWidth="1"/>
    <col min="4876" max="4877" width="9.140625" style="186"/>
    <col min="4878" max="4878" width="11" style="186" customWidth="1"/>
    <col min="4879" max="5121" width="9.140625" style="186"/>
    <col min="5122" max="5122" width="23" style="186" customWidth="1"/>
    <col min="5123" max="5123" width="0" style="186" hidden="1" customWidth="1"/>
    <col min="5124" max="5124" width="12.42578125" style="186" customWidth="1"/>
    <col min="5125" max="5125" width="12.5703125" style="186" customWidth="1"/>
    <col min="5126" max="5127" width="12.140625" style="186" customWidth="1"/>
    <col min="5128" max="5128" width="14" style="186" customWidth="1"/>
    <col min="5129" max="5129" width="12.5703125" style="186" customWidth="1"/>
    <col min="5130" max="5131" width="13.140625" style="186" customWidth="1"/>
    <col min="5132" max="5133" width="9.140625" style="186"/>
    <col min="5134" max="5134" width="11" style="186" customWidth="1"/>
    <col min="5135" max="5377" width="9.140625" style="186"/>
    <col min="5378" max="5378" width="23" style="186" customWidth="1"/>
    <col min="5379" max="5379" width="0" style="186" hidden="1" customWidth="1"/>
    <col min="5380" max="5380" width="12.42578125" style="186" customWidth="1"/>
    <col min="5381" max="5381" width="12.5703125" style="186" customWidth="1"/>
    <col min="5382" max="5383" width="12.140625" style="186" customWidth="1"/>
    <col min="5384" max="5384" width="14" style="186" customWidth="1"/>
    <col min="5385" max="5385" width="12.5703125" style="186" customWidth="1"/>
    <col min="5386" max="5387" width="13.140625" style="186" customWidth="1"/>
    <col min="5388" max="5389" width="9.140625" style="186"/>
    <col min="5390" max="5390" width="11" style="186" customWidth="1"/>
    <col min="5391" max="5633" width="9.140625" style="186"/>
    <col min="5634" max="5634" width="23" style="186" customWidth="1"/>
    <col min="5635" max="5635" width="0" style="186" hidden="1" customWidth="1"/>
    <col min="5636" max="5636" width="12.42578125" style="186" customWidth="1"/>
    <col min="5637" max="5637" width="12.5703125" style="186" customWidth="1"/>
    <col min="5638" max="5639" width="12.140625" style="186" customWidth="1"/>
    <col min="5640" max="5640" width="14" style="186" customWidth="1"/>
    <col min="5641" max="5641" width="12.5703125" style="186" customWidth="1"/>
    <col min="5642" max="5643" width="13.140625" style="186" customWidth="1"/>
    <col min="5644" max="5645" width="9.140625" style="186"/>
    <col min="5646" max="5646" width="11" style="186" customWidth="1"/>
    <col min="5647" max="5889" width="9.140625" style="186"/>
    <col min="5890" max="5890" width="23" style="186" customWidth="1"/>
    <col min="5891" max="5891" width="0" style="186" hidden="1" customWidth="1"/>
    <col min="5892" max="5892" width="12.42578125" style="186" customWidth="1"/>
    <col min="5893" max="5893" width="12.5703125" style="186" customWidth="1"/>
    <col min="5894" max="5895" width="12.140625" style="186" customWidth="1"/>
    <col min="5896" max="5896" width="14" style="186" customWidth="1"/>
    <col min="5897" max="5897" width="12.5703125" style="186" customWidth="1"/>
    <col min="5898" max="5899" width="13.140625" style="186" customWidth="1"/>
    <col min="5900" max="5901" width="9.140625" style="186"/>
    <col min="5902" max="5902" width="11" style="186" customWidth="1"/>
    <col min="5903" max="6145" width="9.140625" style="186"/>
    <col min="6146" max="6146" width="23" style="186" customWidth="1"/>
    <col min="6147" max="6147" width="0" style="186" hidden="1" customWidth="1"/>
    <col min="6148" max="6148" width="12.42578125" style="186" customWidth="1"/>
    <col min="6149" max="6149" width="12.5703125" style="186" customWidth="1"/>
    <col min="6150" max="6151" width="12.140625" style="186" customWidth="1"/>
    <col min="6152" max="6152" width="14" style="186" customWidth="1"/>
    <col min="6153" max="6153" width="12.5703125" style="186" customWidth="1"/>
    <col min="6154" max="6155" width="13.140625" style="186" customWidth="1"/>
    <col min="6156" max="6157" width="9.140625" style="186"/>
    <col min="6158" max="6158" width="11" style="186" customWidth="1"/>
    <col min="6159" max="6401" width="9.140625" style="186"/>
    <col min="6402" max="6402" width="23" style="186" customWidth="1"/>
    <col min="6403" max="6403" width="0" style="186" hidden="1" customWidth="1"/>
    <col min="6404" max="6404" width="12.42578125" style="186" customWidth="1"/>
    <col min="6405" max="6405" width="12.5703125" style="186" customWidth="1"/>
    <col min="6406" max="6407" width="12.140625" style="186" customWidth="1"/>
    <col min="6408" max="6408" width="14" style="186" customWidth="1"/>
    <col min="6409" max="6409" width="12.5703125" style="186" customWidth="1"/>
    <col min="6410" max="6411" width="13.140625" style="186" customWidth="1"/>
    <col min="6412" max="6413" width="9.140625" style="186"/>
    <col min="6414" max="6414" width="11" style="186" customWidth="1"/>
    <col min="6415" max="6657" width="9.140625" style="186"/>
    <col min="6658" max="6658" width="23" style="186" customWidth="1"/>
    <col min="6659" max="6659" width="0" style="186" hidden="1" customWidth="1"/>
    <col min="6660" max="6660" width="12.42578125" style="186" customWidth="1"/>
    <col min="6661" max="6661" width="12.5703125" style="186" customWidth="1"/>
    <col min="6662" max="6663" width="12.140625" style="186" customWidth="1"/>
    <col min="6664" max="6664" width="14" style="186" customWidth="1"/>
    <col min="6665" max="6665" width="12.5703125" style="186" customWidth="1"/>
    <col min="6666" max="6667" width="13.140625" style="186" customWidth="1"/>
    <col min="6668" max="6669" width="9.140625" style="186"/>
    <col min="6670" max="6670" width="11" style="186" customWidth="1"/>
    <col min="6671" max="6913" width="9.140625" style="186"/>
    <col min="6914" max="6914" width="23" style="186" customWidth="1"/>
    <col min="6915" max="6915" width="0" style="186" hidden="1" customWidth="1"/>
    <col min="6916" max="6916" width="12.42578125" style="186" customWidth="1"/>
    <col min="6917" max="6917" width="12.5703125" style="186" customWidth="1"/>
    <col min="6918" max="6919" width="12.140625" style="186" customWidth="1"/>
    <col min="6920" max="6920" width="14" style="186" customWidth="1"/>
    <col min="6921" max="6921" width="12.5703125" style="186" customWidth="1"/>
    <col min="6922" max="6923" width="13.140625" style="186" customWidth="1"/>
    <col min="6924" max="6925" width="9.140625" style="186"/>
    <col min="6926" max="6926" width="11" style="186" customWidth="1"/>
    <col min="6927" max="7169" width="9.140625" style="186"/>
    <col min="7170" max="7170" width="23" style="186" customWidth="1"/>
    <col min="7171" max="7171" width="0" style="186" hidden="1" customWidth="1"/>
    <col min="7172" max="7172" width="12.42578125" style="186" customWidth="1"/>
    <col min="7173" max="7173" width="12.5703125" style="186" customWidth="1"/>
    <col min="7174" max="7175" width="12.140625" style="186" customWidth="1"/>
    <col min="7176" max="7176" width="14" style="186" customWidth="1"/>
    <col min="7177" max="7177" width="12.5703125" style="186" customWidth="1"/>
    <col min="7178" max="7179" width="13.140625" style="186" customWidth="1"/>
    <col min="7180" max="7181" width="9.140625" style="186"/>
    <col min="7182" max="7182" width="11" style="186" customWidth="1"/>
    <col min="7183" max="7425" width="9.140625" style="186"/>
    <col min="7426" max="7426" width="23" style="186" customWidth="1"/>
    <col min="7427" max="7427" width="0" style="186" hidden="1" customWidth="1"/>
    <col min="7428" max="7428" width="12.42578125" style="186" customWidth="1"/>
    <col min="7429" max="7429" width="12.5703125" style="186" customWidth="1"/>
    <col min="7430" max="7431" width="12.140625" style="186" customWidth="1"/>
    <col min="7432" max="7432" width="14" style="186" customWidth="1"/>
    <col min="7433" max="7433" width="12.5703125" style="186" customWidth="1"/>
    <col min="7434" max="7435" width="13.140625" style="186" customWidth="1"/>
    <col min="7436" max="7437" width="9.140625" style="186"/>
    <col min="7438" max="7438" width="11" style="186" customWidth="1"/>
    <col min="7439" max="7681" width="9.140625" style="186"/>
    <col min="7682" max="7682" width="23" style="186" customWidth="1"/>
    <col min="7683" max="7683" width="0" style="186" hidden="1" customWidth="1"/>
    <col min="7684" max="7684" width="12.42578125" style="186" customWidth="1"/>
    <col min="7685" max="7685" width="12.5703125" style="186" customWidth="1"/>
    <col min="7686" max="7687" width="12.140625" style="186" customWidth="1"/>
    <col min="7688" max="7688" width="14" style="186" customWidth="1"/>
    <col min="7689" max="7689" width="12.5703125" style="186" customWidth="1"/>
    <col min="7690" max="7691" width="13.140625" style="186" customWidth="1"/>
    <col min="7692" max="7693" width="9.140625" style="186"/>
    <col min="7694" max="7694" width="11" style="186" customWidth="1"/>
    <col min="7695" max="7937" width="9.140625" style="186"/>
    <col min="7938" max="7938" width="23" style="186" customWidth="1"/>
    <col min="7939" max="7939" width="0" style="186" hidden="1" customWidth="1"/>
    <col min="7940" max="7940" width="12.42578125" style="186" customWidth="1"/>
    <col min="7941" max="7941" width="12.5703125" style="186" customWidth="1"/>
    <col min="7942" max="7943" width="12.140625" style="186" customWidth="1"/>
    <col min="7944" max="7944" width="14" style="186" customWidth="1"/>
    <col min="7945" max="7945" width="12.5703125" style="186" customWidth="1"/>
    <col min="7946" max="7947" width="13.140625" style="186" customWidth="1"/>
    <col min="7948" max="7949" width="9.140625" style="186"/>
    <col min="7950" max="7950" width="11" style="186" customWidth="1"/>
    <col min="7951" max="8193" width="9.140625" style="186"/>
    <col min="8194" max="8194" width="23" style="186" customWidth="1"/>
    <col min="8195" max="8195" width="0" style="186" hidden="1" customWidth="1"/>
    <col min="8196" max="8196" width="12.42578125" style="186" customWidth="1"/>
    <col min="8197" max="8197" width="12.5703125" style="186" customWidth="1"/>
    <col min="8198" max="8199" width="12.140625" style="186" customWidth="1"/>
    <col min="8200" max="8200" width="14" style="186" customWidth="1"/>
    <col min="8201" max="8201" width="12.5703125" style="186" customWidth="1"/>
    <col min="8202" max="8203" width="13.140625" style="186" customWidth="1"/>
    <col min="8204" max="8205" width="9.140625" style="186"/>
    <col min="8206" max="8206" width="11" style="186" customWidth="1"/>
    <col min="8207" max="8449" width="9.140625" style="186"/>
    <col min="8450" max="8450" width="23" style="186" customWidth="1"/>
    <col min="8451" max="8451" width="0" style="186" hidden="1" customWidth="1"/>
    <col min="8452" max="8452" width="12.42578125" style="186" customWidth="1"/>
    <col min="8453" max="8453" width="12.5703125" style="186" customWidth="1"/>
    <col min="8454" max="8455" width="12.140625" style="186" customWidth="1"/>
    <col min="8456" max="8456" width="14" style="186" customWidth="1"/>
    <col min="8457" max="8457" width="12.5703125" style="186" customWidth="1"/>
    <col min="8458" max="8459" width="13.140625" style="186" customWidth="1"/>
    <col min="8460" max="8461" width="9.140625" style="186"/>
    <col min="8462" max="8462" width="11" style="186" customWidth="1"/>
    <col min="8463" max="8705" width="9.140625" style="186"/>
    <col min="8706" max="8706" width="23" style="186" customWidth="1"/>
    <col min="8707" max="8707" width="0" style="186" hidden="1" customWidth="1"/>
    <col min="8708" max="8708" width="12.42578125" style="186" customWidth="1"/>
    <col min="8709" max="8709" width="12.5703125" style="186" customWidth="1"/>
    <col min="8710" max="8711" width="12.140625" style="186" customWidth="1"/>
    <col min="8712" max="8712" width="14" style="186" customWidth="1"/>
    <col min="8713" max="8713" width="12.5703125" style="186" customWidth="1"/>
    <col min="8714" max="8715" width="13.140625" style="186" customWidth="1"/>
    <col min="8716" max="8717" width="9.140625" style="186"/>
    <col min="8718" max="8718" width="11" style="186" customWidth="1"/>
    <col min="8719" max="8961" width="9.140625" style="186"/>
    <col min="8962" max="8962" width="23" style="186" customWidth="1"/>
    <col min="8963" max="8963" width="0" style="186" hidden="1" customWidth="1"/>
    <col min="8964" max="8964" width="12.42578125" style="186" customWidth="1"/>
    <col min="8965" max="8965" width="12.5703125" style="186" customWidth="1"/>
    <col min="8966" max="8967" width="12.140625" style="186" customWidth="1"/>
    <col min="8968" max="8968" width="14" style="186" customWidth="1"/>
    <col min="8969" max="8969" width="12.5703125" style="186" customWidth="1"/>
    <col min="8970" max="8971" width="13.140625" style="186" customWidth="1"/>
    <col min="8972" max="8973" width="9.140625" style="186"/>
    <col min="8974" max="8974" width="11" style="186" customWidth="1"/>
    <col min="8975" max="9217" width="9.140625" style="186"/>
    <col min="9218" max="9218" width="23" style="186" customWidth="1"/>
    <col min="9219" max="9219" width="0" style="186" hidden="1" customWidth="1"/>
    <col min="9220" max="9220" width="12.42578125" style="186" customWidth="1"/>
    <col min="9221" max="9221" width="12.5703125" style="186" customWidth="1"/>
    <col min="9222" max="9223" width="12.140625" style="186" customWidth="1"/>
    <col min="9224" max="9224" width="14" style="186" customWidth="1"/>
    <col min="9225" max="9225" width="12.5703125" style="186" customWidth="1"/>
    <col min="9226" max="9227" width="13.140625" style="186" customWidth="1"/>
    <col min="9228" max="9229" width="9.140625" style="186"/>
    <col min="9230" max="9230" width="11" style="186" customWidth="1"/>
    <col min="9231" max="9473" width="9.140625" style="186"/>
    <col min="9474" max="9474" width="23" style="186" customWidth="1"/>
    <col min="9475" max="9475" width="0" style="186" hidden="1" customWidth="1"/>
    <col min="9476" max="9476" width="12.42578125" style="186" customWidth="1"/>
    <col min="9477" max="9477" width="12.5703125" style="186" customWidth="1"/>
    <col min="9478" max="9479" width="12.140625" style="186" customWidth="1"/>
    <col min="9480" max="9480" width="14" style="186" customWidth="1"/>
    <col min="9481" max="9481" width="12.5703125" style="186" customWidth="1"/>
    <col min="9482" max="9483" width="13.140625" style="186" customWidth="1"/>
    <col min="9484" max="9485" width="9.140625" style="186"/>
    <col min="9486" max="9486" width="11" style="186" customWidth="1"/>
    <col min="9487" max="9729" width="9.140625" style="186"/>
    <col min="9730" max="9730" width="23" style="186" customWidth="1"/>
    <col min="9731" max="9731" width="0" style="186" hidden="1" customWidth="1"/>
    <col min="9732" max="9732" width="12.42578125" style="186" customWidth="1"/>
    <col min="9733" max="9733" width="12.5703125" style="186" customWidth="1"/>
    <col min="9734" max="9735" width="12.140625" style="186" customWidth="1"/>
    <col min="9736" max="9736" width="14" style="186" customWidth="1"/>
    <col min="9737" max="9737" width="12.5703125" style="186" customWidth="1"/>
    <col min="9738" max="9739" width="13.140625" style="186" customWidth="1"/>
    <col min="9740" max="9741" width="9.140625" style="186"/>
    <col min="9742" max="9742" width="11" style="186" customWidth="1"/>
    <col min="9743" max="9985" width="9.140625" style="186"/>
    <col min="9986" max="9986" width="23" style="186" customWidth="1"/>
    <col min="9987" max="9987" width="0" style="186" hidden="1" customWidth="1"/>
    <col min="9988" max="9988" width="12.42578125" style="186" customWidth="1"/>
    <col min="9989" max="9989" width="12.5703125" style="186" customWidth="1"/>
    <col min="9990" max="9991" width="12.140625" style="186" customWidth="1"/>
    <col min="9992" max="9992" width="14" style="186" customWidth="1"/>
    <col min="9993" max="9993" width="12.5703125" style="186" customWidth="1"/>
    <col min="9994" max="9995" width="13.140625" style="186" customWidth="1"/>
    <col min="9996" max="9997" width="9.140625" style="186"/>
    <col min="9998" max="9998" width="11" style="186" customWidth="1"/>
    <col min="9999" max="10241" width="9.140625" style="186"/>
    <col min="10242" max="10242" width="23" style="186" customWidth="1"/>
    <col min="10243" max="10243" width="0" style="186" hidden="1" customWidth="1"/>
    <col min="10244" max="10244" width="12.42578125" style="186" customWidth="1"/>
    <col min="10245" max="10245" width="12.5703125" style="186" customWidth="1"/>
    <col min="10246" max="10247" width="12.140625" style="186" customWidth="1"/>
    <col min="10248" max="10248" width="14" style="186" customWidth="1"/>
    <col min="10249" max="10249" width="12.5703125" style="186" customWidth="1"/>
    <col min="10250" max="10251" width="13.140625" style="186" customWidth="1"/>
    <col min="10252" max="10253" width="9.140625" style="186"/>
    <col min="10254" max="10254" width="11" style="186" customWidth="1"/>
    <col min="10255" max="10497" width="9.140625" style="186"/>
    <col min="10498" max="10498" width="23" style="186" customWidth="1"/>
    <col min="10499" max="10499" width="0" style="186" hidden="1" customWidth="1"/>
    <col min="10500" max="10500" width="12.42578125" style="186" customWidth="1"/>
    <col min="10501" max="10501" width="12.5703125" style="186" customWidth="1"/>
    <col min="10502" max="10503" width="12.140625" style="186" customWidth="1"/>
    <col min="10504" max="10504" width="14" style="186" customWidth="1"/>
    <col min="10505" max="10505" width="12.5703125" style="186" customWidth="1"/>
    <col min="10506" max="10507" width="13.140625" style="186" customWidth="1"/>
    <col min="10508" max="10509" width="9.140625" style="186"/>
    <col min="10510" max="10510" width="11" style="186" customWidth="1"/>
    <col min="10511" max="10753" width="9.140625" style="186"/>
    <col min="10754" max="10754" width="23" style="186" customWidth="1"/>
    <col min="10755" max="10755" width="0" style="186" hidden="1" customWidth="1"/>
    <col min="10756" max="10756" width="12.42578125" style="186" customWidth="1"/>
    <col min="10757" max="10757" width="12.5703125" style="186" customWidth="1"/>
    <col min="10758" max="10759" width="12.140625" style="186" customWidth="1"/>
    <col min="10760" max="10760" width="14" style="186" customWidth="1"/>
    <col min="10761" max="10761" width="12.5703125" style="186" customWidth="1"/>
    <col min="10762" max="10763" width="13.140625" style="186" customWidth="1"/>
    <col min="10764" max="10765" width="9.140625" style="186"/>
    <col min="10766" max="10766" width="11" style="186" customWidth="1"/>
    <col min="10767" max="11009" width="9.140625" style="186"/>
    <col min="11010" max="11010" width="23" style="186" customWidth="1"/>
    <col min="11011" max="11011" width="0" style="186" hidden="1" customWidth="1"/>
    <col min="11012" max="11012" width="12.42578125" style="186" customWidth="1"/>
    <col min="11013" max="11013" width="12.5703125" style="186" customWidth="1"/>
    <col min="11014" max="11015" width="12.140625" style="186" customWidth="1"/>
    <col min="11016" max="11016" width="14" style="186" customWidth="1"/>
    <col min="11017" max="11017" width="12.5703125" style="186" customWidth="1"/>
    <col min="11018" max="11019" width="13.140625" style="186" customWidth="1"/>
    <col min="11020" max="11021" width="9.140625" style="186"/>
    <col min="11022" max="11022" width="11" style="186" customWidth="1"/>
    <col min="11023" max="11265" width="9.140625" style="186"/>
    <col min="11266" max="11266" width="23" style="186" customWidth="1"/>
    <col min="11267" max="11267" width="0" style="186" hidden="1" customWidth="1"/>
    <col min="11268" max="11268" width="12.42578125" style="186" customWidth="1"/>
    <col min="11269" max="11269" width="12.5703125" style="186" customWidth="1"/>
    <col min="11270" max="11271" width="12.140625" style="186" customWidth="1"/>
    <col min="11272" max="11272" width="14" style="186" customWidth="1"/>
    <col min="11273" max="11273" width="12.5703125" style="186" customWidth="1"/>
    <col min="11274" max="11275" width="13.140625" style="186" customWidth="1"/>
    <col min="11276" max="11277" width="9.140625" style="186"/>
    <col min="11278" max="11278" width="11" style="186" customWidth="1"/>
    <col min="11279" max="11521" width="9.140625" style="186"/>
    <col min="11522" max="11522" width="23" style="186" customWidth="1"/>
    <col min="11523" max="11523" width="0" style="186" hidden="1" customWidth="1"/>
    <col min="11524" max="11524" width="12.42578125" style="186" customWidth="1"/>
    <col min="11525" max="11525" width="12.5703125" style="186" customWidth="1"/>
    <col min="11526" max="11527" width="12.140625" style="186" customWidth="1"/>
    <col min="11528" max="11528" width="14" style="186" customWidth="1"/>
    <col min="11529" max="11529" width="12.5703125" style="186" customWidth="1"/>
    <col min="11530" max="11531" width="13.140625" style="186" customWidth="1"/>
    <col min="11532" max="11533" width="9.140625" style="186"/>
    <col min="11534" max="11534" width="11" style="186" customWidth="1"/>
    <col min="11535" max="11777" width="9.140625" style="186"/>
    <col min="11778" max="11778" width="23" style="186" customWidth="1"/>
    <col min="11779" max="11779" width="0" style="186" hidden="1" customWidth="1"/>
    <col min="11780" max="11780" width="12.42578125" style="186" customWidth="1"/>
    <col min="11781" max="11781" width="12.5703125" style="186" customWidth="1"/>
    <col min="11782" max="11783" width="12.140625" style="186" customWidth="1"/>
    <col min="11784" max="11784" width="14" style="186" customWidth="1"/>
    <col min="11785" max="11785" width="12.5703125" style="186" customWidth="1"/>
    <col min="11786" max="11787" width="13.140625" style="186" customWidth="1"/>
    <col min="11788" max="11789" width="9.140625" style="186"/>
    <col min="11790" max="11790" width="11" style="186" customWidth="1"/>
    <col min="11791" max="12033" width="9.140625" style="186"/>
    <col min="12034" max="12034" width="23" style="186" customWidth="1"/>
    <col min="12035" max="12035" width="0" style="186" hidden="1" customWidth="1"/>
    <col min="12036" max="12036" width="12.42578125" style="186" customWidth="1"/>
    <col min="12037" max="12037" width="12.5703125" style="186" customWidth="1"/>
    <col min="12038" max="12039" width="12.140625" style="186" customWidth="1"/>
    <col min="12040" max="12040" width="14" style="186" customWidth="1"/>
    <col min="12041" max="12041" width="12.5703125" style="186" customWidth="1"/>
    <col min="12042" max="12043" width="13.140625" style="186" customWidth="1"/>
    <col min="12044" max="12045" width="9.140625" style="186"/>
    <col min="12046" max="12046" width="11" style="186" customWidth="1"/>
    <col min="12047" max="12289" width="9.140625" style="186"/>
    <col min="12290" max="12290" width="23" style="186" customWidth="1"/>
    <col min="12291" max="12291" width="0" style="186" hidden="1" customWidth="1"/>
    <col min="12292" max="12292" width="12.42578125" style="186" customWidth="1"/>
    <col min="12293" max="12293" width="12.5703125" style="186" customWidth="1"/>
    <col min="12294" max="12295" width="12.140625" style="186" customWidth="1"/>
    <col min="12296" max="12296" width="14" style="186" customWidth="1"/>
    <col min="12297" max="12297" width="12.5703125" style="186" customWidth="1"/>
    <col min="12298" max="12299" width="13.140625" style="186" customWidth="1"/>
    <col min="12300" max="12301" width="9.140625" style="186"/>
    <col min="12302" max="12302" width="11" style="186" customWidth="1"/>
    <col min="12303" max="12545" width="9.140625" style="186"/>
    <col min="12546" max="12546" width="23" style="186" customWidth="1"/>
    <col min="12547" max="12547" width="0" style="186" hidden="1" customWidth="1"/>
    <col min="12548" max="12548" width="12.42578125" style="186" customWidth="1"/>
    <col min="12549" max="12549" width="12.5703125" style="186" customWidth="1"/>
    <col min="12550" max="12551" width="12.140625" style="186" customWidth="1"/>
    <col min="12552" max="12552" width="14" style="186" customWidth="1"/>
    <col min="12553" max="12553" width="12.5703125" style="186" customWidth="1"/>
    <col min="12554" max="12555" width="13.140625" style="186" customWidth="1"/>
    <col min="12556" max="12557" width="9.140625" style="186"/>
    <col min="12558" max="12558" width="11" style="186" customWidth="1"/>
    <col min="12559" max="12801" width="9.140625" style="186"/>
    <col min="12802" max="12802" width="23" style="186" customWidth="1"/>
    <col min="12803" max="12803" width="0" style="186" hidden="1" customWidth="1"/>
    <col min="12804" max="12804" width="12.42578125" style="186" customWidth="1"/>
    <col min="12805" max="12805" width="12.5703125" style="186" customWidth="1"/>
    <col min="12806" max="12807" width="12.140625" style="186" customWidth="1"/>
    <col min="12808" max="12808" width="14" style="186" customWidth="1"/>
    <col min="12809" max="12809" width="12.5703125" style="186" customWidth="1"/>
    <col min="12810" max="12811" width="13.140625" style="186" customWidth="1"/>
    <col min="12812" max="12813" width="9.140625" style="186"/>
    <col min="12814" max="12814" width="11" style="186" customWidth="1"/>
    <col min="12815" max="13057" width="9.140625" style="186"/>
    <col min="13058" max="13058" width="23" style="186" customWidth="1"/>
    <col min="13059" max="13059" width="0" style="186" hidden="1" customWidth="1"/>
    <col min="13060" max="13060" width="12.42578125" style="186" customWidth="1"/>
    <col min="13061" max="13061" width="12.5703125" style="186" customWidth="1"/>
    <col min="13062" max="13063" width="12.140625" style="186" customWidth="1"/>
    <col min="13064" max="13064" width="14" style="186" customWidth="1"/>
    <col min="13065" max="13065" width="12.5703125" style="186" customWidth="1"/>
    <col min="13066" max="13067" width="13.140625" style="186" customWidth="1"/>
    <col min="13068" max="13069" width="9.140625" style="186"/>
    <col min="13070" max="13070" width="11" style="186" customWidth="1"/>
    <col min="13071" max="13313" width="9.140625" style="186"/>
    <col min="13314" max="13314" width="23" style="186" customWidth="1"/>
    <col min="13315" max="13315" width="0" style="186" hidden="1" customWidth="1"/>
    <col min="13316" max="13316" width="12.42578125" style="186" customWidth="1"/>
    <col min="13317" max="13317" width="12.5703125" style="186" customWidth="1"/>
    <col min="13318" max="13319" width="12.140625" style="186" customWidth="1"/>
    <col min="13320" max="13320" width="14" style="186" customWidth="1"/>
    <col min="13321" max="13321" width="12.5703125" style="186" customWidth="1"/>
    <col min="13322" max="13323" width="13.140625" style="186" customWidth="1"/>
    <col min="13324" max="13325" width="9.140625" style="186"/>
    <col min="13326" max="13326" width="11" style="186" customWidth="1"/>
    <col min="13327" max="13569" width="9.140625" style="186"/>
    <col min="13570" max="13570" width="23" style="186" customWidth="1"/>
    <col min="13571" max="13571" width="0" style="186" hidden="1" customWidth="1"/>
    <col min="13572" max="13572" width="12.42578125" style="186" customWidth="1"/>
    <col min="13573" max="13573" width="12.5703125" style="186" customWidth="1"/>
    <col min="13574" max="13575" width="12.140625" style="186" customWidth="1"/>
    <col min="13576" max="13576" width="14" style="186" customWidth="1"/>
    <col min="13577" max="13577" width="12.5703125" style="186" customWidth="1"/>
    <col min="13578" max="13579" width="13.140625" style="186" customWidth="1"/>
    <col min="13580" max="13581" width="9.140625" style="186"/>
    <col min="13582" max="13582" width="11" style="186" customWidth="1"/>
    <col min="13583" max="13825" width="9.140625" style="186"/>
    <col min="13826" max="13826" width="23" style="186" customWidth="1"/>
    <col min="13827" max="13827" width="0" style="186" hidden="1" customWidth="1"/>
    <col min="13828" max="13828" width="12.42578125" style="186" customWidth="1"/>
    <col min="13829" max="13829" width="12.5703125" style="186" customWidth="1"/>
    <col min="13830" max="13831" width="12.140625" style="186" customWidth="1"/>
    <col min="13832" max="13832" width="14" style="186" customWidth="1"/>
    <col min="13833" max="13833" width="12.5703125" style="186" customWidth="1"/>
    <col min="13834" max="13835" width="13.140625" style="186" customWidth="1"/>
    <col min="13836" max="13837" width="9.140625" style="186"/>
    <col min="13838" max="13838" width="11" style="186" customWidth="1"/>
    <col min="13839" max="14081" width="9.140625" style="186"/>
    <col min="14082" max="14082" width="23" style="186" customWidth="1"/>
    <col min="14083" max="14083" width="0" style="186" hidden="1" customWidth="1"/>
    <col min="14084" max="14084" width="12.42578125" style="186" customWidth="1"/>
    <col min="14085" max="14085" width="12.5703125" style="186" customWidth="1"/>
    <col min="14086" max="14087" width="12.140625" style="186" customWidth="1"/>
    <col min="14088" max="14088" width="14" style="186" customWidth="1"/>
    <col min="14089" max="14089" width="12.5703125" style="186" customWidth="1"/>
    <col min="14090" max="14091" width="13.140625" style="186" customWidth="1"/>
    <col min="14092" max="14093" width="9.140625" style="186"/>
    <col min="14094" max="14094" width="11" style="186" customWidth="1"/>
    <col min="14095" max="14337" width="9.140625" style="186"/>
    <col min="14338" max="14338" width="23" style="186" customWidth="1"/>
    <col min="14339" max="14339" width="0" style="186" hidden="1" customWidth="1"/>
    <col min="14340" max="14340" width="12.42578125" style="186" customWidth="1"/>
    <col min="14341" max="14341" width="12.5703125" style="186" customWidth="1"/>
    <col min="14342" max="14343" width="12.140625" style="186" customWidth="1"/>
    <col min="14344" max="14344" width="14" style="186" customWidth="1"/>
    <col min="14345" max="14345" width="12.5703125" style="186" customWidth="1"/>
    <col min="14346" max="14347" width="13.140625" style="186" customWidth="1"/>
    <col min="14348" max="14349" width="9.140625" style="186"/>
    <col min="14350" max="14350" width="11" style="186" customWidth="1"/>
    <col min="14351" max="14593" width="9.140625" style="186"/>
    <col min="14594" max="14594" width="23" style="186" customWidth="1"/>
    <col min="14595" max="14595" width="0" style="186" hidden="1" customWidth="1"/>
    <col min="14596" max="14596" width="12.42578125" style="186" customWidth="1"/>
    <col min="14597" max="14597" width="12.5703125" style="186" customWidth="1"/>
    <col min="14598" max="14599" width="12.140625" style="186" customWidth="1"/>
    <col min="14600" max="14600" width="14" style="186" customWidth="1"/>
    <col min="14601" max="14601" width="12.5703125" style="186" customWidth="1"/>
    <col min="14602" max="14603" width="13.140625" style="186" customWidth="1"/>
    <col min="14604" max="14605" width="9.140625" style="186"/>
    <col min="14606" max="14606" width="11" style="186" customWidth="1"/>
    <col min="14607" max="14849" width="9.140625" style="186"/>
    <col min="14850" max="14850" width="23" style="186" customWidth="1"/>
    <col min="14851" max="14851" width="0" style="186" hidden="1" customWidth="1"/>
    <col min="14852" max="14852" width="12.42578125" style="186" customWidth="1"/>
    <col min="14853" max="14853" width="12.5703125" style="186" customWidth="1"/>
    <col min="14854" max="14855" width="12.140625" style="186" customWidth="1"/>
    <col min="14856" max="14856" width="14" style="186" customWidth="1"/>
    <col min="14857" max="14857" width="12.5703125" style="186" customWidth="1"/>
    <col min="14858" max="14859" width="13.140625" style="186" customWidth="1"/>
    <col min="14860" max="14861" width="9.140625" style="186"/>
    <col min="14862" max="14862" width="11" style="186" customWidth="1"/>
    <col min="14863" max="15105" width="9.140625" style="186"/>
    <col min="15106" max="15106" width="23" style="186" customWidth="1"/>
    <col min="15107" max="15107" width="0" style="186" hidden="1" customWidth="1"/>
    <col min="15108" max="15108" width="12.42578125" style="186" customWidth="1"/>
    <col min="15109" max="15109" width="12.5703125" style="186" customWidth="1"/>
    <col min="15110" max="15111" width="12.140625" style="186" customWidth="1"/>
    <col min="15112" max="15112" width="14" style="186" customWidth="1"/>
    <col min="15113" max="15113" width="12.5703125" style="186" customWidth="1"/>
    <col min="15114" max="15115" width="13.140625" style="186" customWidth="1"/>
    <col min="15116" max="15117" width="9.140625" style="186"/>
    <col min="15118" max="15118" width="11" style="186" customWidth="1"/>
    <col min="15119" max="15361" width="9.140625" style="186"/>
    <col min="15362" max="15362" width="23" style="186" customWidth="1"/>
    <col min="15363" max="15363" width="0" style="186" hidden="1" customWidth="1"/>
    <col min="15364" max="15364" width="12.42578125" style="186" customWidth="1"/>
    <col min="15365" max="15365" width="12.5703125" style="186" customWidth="1"/>
    <col min="15366" max="15367" width="12.140625" style="186" customWidth="1"/>
    <col min="15368" max="15368" width="14" style="186" customWidth="1"/>
    <col min="15369" max="15369" width="12.5703125" style="186" customWidth="1"/>
    <col min="15370" max="15371" width="13.140625" style="186" customWidth="1"/>
    <col min="15372" max="15373" width="9.140625" style="186"/>
    <col min="15374" max="15374" width="11" style="186" customWidth="1"/>
    <col min="15375" max="15617" width="9.140625" style="186"/>
    <col min="15618" max="15618" width="23" style="186" customWidth="1"/>
    <col min="15619" max="15619" width="0" style="186" hidden="1" customWidth="1"/>
    <col min="15620" max="15620" width="12.42578125" style="186" customWidth="1"/>
    <col min="15621" max="15621" width="12.5703125" style="186" customWidth="1"/>
    <col min="15622" max="15623" width="12.140625" style="186" customWidth="1"/>
    <col min="15624" max="15624" width="14" style="186" customWidth="1"/>
    <col min="15625" max="15625" width="12.5703125" style="186" customWidth="1"/>
    <col min="15626" max="15627" width="13.140625" style="186" customWidth="1"/>
    <col min="15628" max="15629" width="9.140625" style="186"/>
    <col min="15630" max="15630" width="11" style="186" customWidth="1"/>
    <col min="15631" max="15873" width="9.140625" style="186"/>
    <col min="15874" max="15874" width="23" style="186" customWidth="1"/>
    <col min="15875" max="15875" width="0" style="186" hidden="1" customWidth="1"/>
    <col min="15876" max="15876" width="12.42578125" style="186" customWidth="1"/>
    <col min="15877" max="15877" width="12.5703125" style="186" customWidth="1"/>
    <col min="15878" max="15879" width="12.140625" style="186" customWidth="1"/>
    <col min="15880" max="15880" width="14" style="186" customWidth="1"/>
    <col min="15881" max="15881" width="12.5703125" style="186" customWidth="1"/>
    <col min="15882" max="15883" width="13.140625" style="186" customWidth="1"/>
    <col min="15884" max="15885" width="9.140625" style="186"/>
    <col min="15886" max="15886" width="11" style="186" customWidth="1"/>
    <col min="15887" max="16129" width="9.140625" style="186"/>
    <col min="16130" max="16130" width="23" style="186" customWidth="1"/>
    <col min="16131" max="16131" width="0" style="186" hidden="1" customWidth="1"/>
    <col min="16132" max="16132" width="12.42578125" style="186" customWidth="1"/>
    <col min="16133" max="16133" width="12.5703125" style="186" customWidth="1"/>
    <col min="16134" max="16135" width="12.140625" style="186" customWidth="1"/>
    <col min="16136" max="16136" width="14" style="186" customWidth="1"/>
    <col min="16137" max="16137" width="12.5703125" style="186" customWidth="1"/>
    <col min="16138" max="16139" width="13.140625" style="186" customWidth="1"/>
    <col min="16140" max="16141" width="9.140625" style="186"/>
    <col min="16142" max="16142" width="11" style="186" customWidth="1"/>
    <col min="16143" max="16384" width="9.140625" style="186"/>
  </cols>
  <sheetData>
    <row r="2" spans="1:16" ht="15" x14ac:dyDescent="0.2">
      <c r="A2" s="397" t="s">
        <v>211</v>
      </c>
      <c r="B2" s="398"/>
      <c r="C2" s="398"/>
      <c r="D2" s="398"/>
      <c r="E2" s="398"/>
      <c r="F2" s="398"/>
      <c r="G2" s="398"/>
      <c r="H2" s="398"/>
      <c r="I2" s="399"/>
    </row>
    <row r="3" spans="1:16" ht="45" x14ac:dyDescent="0.2">
      <c r="A3" s="268" t="s">
        <v>89</v>
      </c>
      <c r="B3" s="269"/>
      <c r="C3" s="187"/>
      <c r="D3" s="267" t="s">
        <v>166</v>
      </c>
      <c r="E3" s="267" t="s">
        <v>167</v>
      </c>
      <c r="F3" s="267" t="s">
        <v>168</v>
      </c>
      <c r="G3" s="267" t="s">
        <v>169</v>
      </c>
      <c r="H3" s="267" t="s">
        <v>170</v>
      </c>
      <c r="I3" s="267" t="s">
        <v>171</v>
      </c>
    </row>
    <row r="4" spans="1:16" ht="15" x14ac:dyDescent="0.2">
      <c r="A4" s="394" t="s">
        <v>172</v>
      </c>
      <c r="B4" s="395"/>
      <c r="C4" s="395"/>
      <c r="D4" s="395"/>
      <c r="E4" s="395"/>
      <c r="F4" s="395"/>
      <c r="G4" s="395"/>
      <c r="H4" s="395"/>
      <c r="I4" s="396"/>
    </row>
    <row r="5" spans="1:16" ht="15" x14ac:dyDescent="0.2">
      <c r="A5" s="420"/>
      <c r="B5" s="421"/>
      <c r="C5" s="421"/>
      <c r="D5" s="421"/>
      <c r="E5" s="421"/>
      <c r="F5" s="421"/>
      <c r="G5" s="421"/>
      <c r="H5" s="421"/>
      <c r="I5" s="422"/>
      <c r="N5" s="190"/>
      <c r="O5" s="190"/>
      <c r="P5" s="190"/>
    </row>
    <row r="6" spans="1:16" ht="15" x14ac:dyDescent="0.2">
      <c r="A6" s="191" t="s">
        <v>212</v>
      </c>
      <c r="B6" s="188"/>
      <c r="C6" s="188"/>
      <c r="D6" s="272">
        <f>1492380174/1000000</f>
        <v>1492.3801739999999</v>
      </c>
      <c r="E6" s="189"/>
      <c r="F6" s="189"/>
      <c r="G6" s="273">
        <v>63776</v>
      </c>
      <c r="H6" s="189"/>
      <c r="I6" s="189"/>
      <c r="N6" s="190"/>
      <c r="O6" s="190"/>
      <c r="P6" s="190"/>
    </row>
    <row r="7" spans="1:16" ht="15" x14ac:dyDescent="0.2">
      <c r="A7" s="420"/>
      <c r="B7" s="421"/>
      <c r="C7" s="188"/>
      <c r="D7" s="189"/>
      <c r="E7" s="189"/>
      <c r="F7" s="189"/>
      <c r="G7" s="189"/>
      <c r="H7" s="189"/>
      <c r="I7" s="189"/>
      <c r="N7" s="190"/>
      <c r="O7" s="190"/>
      <c r="P7" s="190"/>
    </row>
    <row r="8" spans="1:16" x14ac:dyDescent="0.2">
      <c r="A8" s="191" t="s">
        <v>61</v>
      </c>
      <c r="B8" s="192"/>
      <c r="C8" s="192"/>
      <c r="D8" s="193">
        <f>Summary!B12/1000000</f>
        <v>1359.912172393183</v>
      </c>
      <c r="E8" s="194"/>
      <c r="F8" s="195"/>
      <c r="G8" s="196">
        <f>Summary!B58</f>
        <v>42332.25</v>
      </c>
      <c r="H8" s="194"/>
      <c r="I8" s="195"/>
      <c r="J8" s="197"/>
      <c r="N8" s="190"/>
      <c r="O8" s="190"/>
      <c r="P8" s="190"/>
    </row>
    <row r="9" spans="1:16" x14ac:dyDescent="0.2">
      <c r="A9" s="191" t="s">
        <v>62</v>
      </c>
      <c r="B9" s="192"/>
      <c r="C9" s="192"/>
      <c r="D9" s="193">
        <f>Summary!C12/1000000</f>
        <v>1418.6532881429514</v>
      </c>
      <c r="E9" s="194">
        <f t="shared" ref="E9:E21" si="0">D9-D8</f>
        <v>58.741115749768369</v>
      </c>
      <c r="F9" s="195">
        <f t="shared" ref="F9:F21" si="1">E9/D8</f>
        <v>4.3194786356236033E-2</v>
      </c>
      <c r="G9" s="196">
        <f>Summary!C58</f>
        <v>42923.75</v>
      </c>
      <c r="H9" s="196">
        <f t="shared" ref="H9:H21" si="2">G9-G8</f>
        <v>591.5</v>
      </c>
      <c r="I9" s="195">
        <f t="shared" ref="I9:I21" si="3">H9/G8</f>
        <v>1.397279851649747E-2</v>
      </c>
      <c r="J9" s="197"/>
      <c r="N9" s="190"/>
      <c r="O9" s="190"/>
      <c r="P9" s="190"/>
    </row>
    <row r="10" spans="1:16" x14ac:dyDescent="0.2">
      <c r="A10" s="191" t="s">
        <v>63</v>
      </c>
      <c r="B10" s="192"/>
      <c r="C10" s="192"/>
      <c r="D10" s="193">
        <f>Summary!D12/1000000</f>
        <v>1486.2597725684657</v>
      </c>
      <c r="E10" s="194">
        <f t="shared" si="0"/>
        <v>67.606484425514282</v>
      </c>
      <c r="F10" s="195">
        <f t="shared" si="1"/>
        <v>4.7655396135593261E-2</v>
      </c>
      <c r="G10" s="196">
        <f>Summary!D58</f>
        <v>55665.25</v>
      </c>
      <c r="H10" s="196">
        <f t="shared" si="2"/>
        <v>12741.5</v>
      </c>
      <c r="I10" s="195">
        <f t="shared" si="3"/>
        <v>0.29684032732461635</v>
      </c>
      <c r="J10" s="197"/>
      <c r="N10" s="190"/>
      <c r="O10" s="190"/>
      <c r="P10" s="190"/>
    </row>
    <row r="11" spans="1:16" x14ac:dyDescent="0.2">
      <c r="A11" s="191" t="s">
        <v>64</v>
      </c>
      <c r="B11" s="192"/>
      <c r="C11" s="192"/>
      <c r="D11" s="193">
        <f>Summary!E12/1000000</f>
        <v>1528.2922703939389</v>
      </c>
      <c r="E11" s="194">
        <f t="shared" si="0"/>
        <v>42.032497825473229</v>
      </c>
      <c r="F11" s="195">
        <f t="shared" si="1"/>
        <v>2.8280720908455435E-2</v>
      </c>
      <c r="G11" s="196">
        <f>Summary!E58</f>
        <v>57119</v>
      </c>
      <c r="H11" s="196">
        <f t="shared" si="2"/>
        <v>1453.75</v>
      </c>
      <c r="I11" s="195">
        <f t="shared" si="3"/>
        <v>2.6115934088142962E-2</v>
      </c>
      <c r="J11" s="197"/>
    </row>
    <row r="12" spans="1:16" x14ac:dyDescent="0.2">
      <c r="A12" s="191" t="s">
        <v>65</v>
      </c>
      <c r="B12" s="192"/>
      <c r="C12" s="192"/>
      <c r="D12" s="193">
        <f>Summary!F12/1000000</f>
        <v>1599.3641671752857</v>
      </c>
      <c r="E12" s="194">
        <f t="shared" si="0"/>
        <v>71.071896781346823</v>
      </c>
      <c r="F12" s="195">
        <f t="shared" si="1"/>
        <v>4.6504126310229287E-2</v>
      </c>
      <c r="G12" s="196">
        <f>Summary!F58</f>
        <v>58148</v>
      </c>
      <c r="H12" s="196">
        <f t="shared" si="2"/>
        <v>1029</v>
      </c>
      <c r="I12" s="195">
        <f t="shared" si="3"/>
        <v>1.8015021271380802E-2</v>
      </c>
      <c r="J12" s="197"/>
    </row>
    <row r="13" spans="1:16" x14ac:dyDescent="0.2">
      <c r="A13" s="191" t="s">
        <v>66</v>
      </c>
      <c r="B13" s="192"/>
      <c r="C13" s="192"/>
      <c r="D13" s="193">
        <f>Summary!G12/1000000</f>
        <v>1561.1028595852938</v>
      </c>
      <c r="E13" s="194">
        <f t="shared" si="0"/>
        <v>-38.261307589991929</v>
      </c>
      <c r="F13" s="195">
        <f t="shared" si="1"/>
        <v>-2.3922824066745896E-2</v>
      </c>
      <c r="G13" s="196">
        <f>Summary!G58</f>
        <v>59639.75</v>
      </c>
      <c r="H13" s="196">
        <f t="shared" si="2"/>
        <v>1491.75</v>
      </c>
      <c r="I13" s="195">
        <f t="shared" si="3"/>
        <v>2.5654364724496115E-2</v>
      </c>
      <c r="J13" s="197"/>
    </row>
    <row r="14" spans="1:16" x14ac:dyDescent="0.2">
      <c r="A14" s="191" t="s">
        <v>67</v>
      </c>
      <c r="B14" s="192"/>
      <c r="C14" s="192"/>
      <c r="D14" s="193">
        <f>Summary!H12/1000000</f>
        <v>1566.5895916061511</v>
      </c>
      <c r="E14" s="194">
        <f t="shared" si="0"/>
        <v>5.4867320208572892</v>
      </c>
      <c r="F14" s="195">
        <f t="shared" si="1"/>
        <v>3.5146511885288819E-3</v>
      </c>
      <c r="G14" s="196">
        <f>Summary!H58</f>
        <v>60690.25</v>
      </c>
      <c r="H14" s="196">
        <f t="shared" si="2"/>
        <v>1050.5</v>
      </c>
      <c r="I14" s="195">
        <f t="shared" si="3"/>
        <v>1.7614091273018415E-2</v>
      </c>
      <c r="J14" s="197"/>
    </row>
    <row r="15" spans="1:16" ht="15" customHeight="1" x14ac:dyDescent="0.2">
      <c r="A15" s="191" t="s">
        <v>173</v>
      </c>
      <c r="B15" s="198"/>
      <c r="C15" s="199"/>
      <c r="D15" s="193">
        <f>Summary!I12/1000000</f>
        <v>1518.6256831198361</v>
      </c>
      <c r="E15" s="194">
        <f t="shared" si="0"/>
        <v>-47.963908486314949</v>
      </c>
      <c r="F15" s="195">
        <f t="shared" si="1"/>
        <v>-3.0616766984350889E-2</v>
      </c>
      <c r="G15" s="196">
        <f>Summary!I58</f>
        <v>61413</v>
      </c>
      <c r="H15" s="196">
        <f t="shared" si="2"/>
        <v>722.75</v>
      </c>
      <c r="I15" s="195">
        <f t="shared" si="3"/>
        <v>1.1908832143548593E-2</v>
      </c>
      <c r="J15" s="197"/>
    </row>
    <row r="16" spans="1:16" s="206" customFormat="1" ht="15" x14ac:dyDescent="0.25">
      <c r="A16" s="191" t="s">
        <v>213</v>
      </c>
      <c r="B16" s="192"/>
      <c r="C16" s="188"/>
      <c r="D16" s="193">
        <f>Summary!J12/1000000</f>
        <v>1455.1122390806345</v>
      </c>
      <c r="E16" s="194">
        <f t="shared" si="0"/>
        <v>-63.513444039201659</v>
      </c>
      <c r="F16" s="195">
        <f t="shared" si="1"/>
        <v>-4.1822975039326894E-2</v>
      </c>
      <c r="G16" s="196">
        <f>Summary!J58</f>
        <v>62159</v>
      </c>
      <c r="H16" s="196">
        <f t="shared" si="2"/>
        <v>746</v>
      </c>
      <c r="I16" s="195">
        <f t="shared" si="3"/>
        <v>1.2147265237001938E-2</v>
      </c>
      <c r="J16" s="205"/>
    </row>
    <row r="17" spans="1:14" s="206" customFormat="1" ht="15" x14ac:dyDescent="0.25">
      <c r="A17" s="191" t="s">
        <v>174</v>
      </c>
      <c r="B17" s="192"/>
      <c r="C17" s="207"/>
      <c r="D17" s="193">
        <f>Summary!K12/1000000</f>
        <v>1508.9924556342266</v>
      </c>
      <c r="E17" s="194">
        <f t="shared" si="0"/>
        <v>53.880216553592163</v>
      </c>
      <c r="F17" s="195">
        <f t="shared" si="1"/>
        <v>3.7028220302534623E-2</v>
      </c>
      <c r="G17" s="196">
        <f>Summary!K58</f>
        <v>63359.5</v>
      </c>
      <c r="H17" s="196">
        <f t="shared" si="2"/>
        <v>1200.5</v>
      </c>
      <c r="I17" s="195">
        <f t="shared" si="3"/>
        <v>1.9313373767274249E-2</v>
      </c>
      <c r="J17" s="205"/>
    </row>
    <row r="18" spans="1:14" s="206" customFormat="1" ht="15" x14ac:dyDescent="0.25">
      <c r="A18" s="191" t="s">
        <v>175</v>
      </c>
      <c r="B18" s="192"/>
      <c r="C18" s="207"/>
      <c r="D18" s="193">
        <f>Summary!L12/1000000</f>
        <v>1511.6081227106395</v>
      </c>
      <c r="E18" s="194">
        <f t="shared" si="0"/>
        <v>2.6156670764128194</v>
      </c>
      <c r="F18" s="195">
        <f t="shared" si="1"/>
        <v>1.7333864504401777E-3</v>
      </c>
      <c r="G18" s="196">
        <f>Summary!L58</f>
        <v>64304.5</v>
      </c>
      <c r="H18" s="196">
        <f t="shared" si="2"/>
        <v>945</v>
      </c>
      <c r="I18" s="195">
        <f t="shared" si="3"/>
        <v>1.491489042684996E-2</v>
      </c>
      <c r="J18" s="205"/>
    </row>
    <row r="19" spans="1:14" s="206" customFormat="1" ht="15" x14ac:dyDescent="0.25">
      <c r="A19" s="191" t="s">
        <v>214</v>
      </c>
      <c r="B19" s="192"/>
      <c r="C19" s="207"/>
      <c r="D19" s="193">
        <f>Summary!M12/1000000</f>
        <v>1524.9073127115223</v>
      </c>
      <c r="E19" s="194">
        <f t="shared" si="0"/>
        <v>13.299190000882845</v>
      </c>
      <c r="F19" s="195">
        <f t="shared" si="1"/>
        <v>8.7980408421162275E-3</v>
      </c>
      <c r="G19" s="196">
        <f>Summary!M58</f>
        <v>64925.5</v>
      </c>
      <c r="H19" s="196">
        <f t="shared" si="2"/>
        <v>621</v>
      </c>
      <c r="I19" s="195">
        <f t="shared" si="3"/>
        <v>9.6571779579967196E-3</v>
      </c>
      <c r="J19" s="205"/>
    </row>
    <row r="20" spans="1:14" s="206" customFormat="1" ht="15" x14ac:dyDescent="0.25">
      <c r="A20" s="200" t="s">
        <v>217</v>
      </c>
      <c r="B20" s="188"/>
      <c r="C20" s="207"/>
      <c r="D20" s="201">
        <f>Summary!N12/1000000</f>
        <v>1504.0348735654984</v>
      </c>
      <c r="E20" s="202">
        <f t="shared" si="0"/>
        <v>-20.872439146023908</v>
      </c>
      <c r="F20" s="203">
        <f t="shared" si="1"/>
        <v>-1.3687677258829236E-2</v>
      </c>
      <c r="G20" s="204">
        <f>Summary!N58</f>
        <v>66010.467459296036</v>
      </c>
      <c r="H20" s="204">
        <f t="shared" si="2"/>
        <v>1084.9674592960364</v>
      </c>
      <c r="I20" s="203">
        <f t="shared" si="3"/>
        <v>1.671096039762553E-2</v>
      </c>
      <c r="J20" s="205"/>
    </row>
    <row r="21" spans="1:14" s="206" customFormat="1" ht="15" x14ac:dyDescent="0.25">
      <c r="A21" s="200" t="s">
        <v>218</v>
      </c>
      <c r="B21" s="188"/>
      <c r="C21" s="207"/>
      <c r="D21" s="201">
        <f>Summary!O12/1000000</f>
        <v>1492.8739085500172</v>
      </c>
      <c r="E21" s="202">
        <f t="shared" si="0"/>
        <v>-11.160965015481224</v>
      </c>
      <c r="F21" s="203">
        <f t="shared" si="1"/>
        <v>-7.4206823336634429E-3</v>
      </c>
      <c r="G21" s="204">
        <f>Summary!O58</f>
        <v>67115.00892149756</v>
      </c>
      <c r="H21" s="204">
        <f t="shared" si="2"/>
        <v>1104.5414622015232</v>
      </c>
      <c r="I21" s="203">
        <f t="shared" si="3"/>
        <v>1.6732822909981897E-2</v>
      </c>
      <c r="J21" s="205"/>
    </row>
    <row r="22" spans="1:14" x14ac:dyDescent="0.2">
      <c r="A22" s="190"/>
      <c r="B22" s="190"/>
      <c r="C22" s="190"/>
      <c r="D22" s="190"/>
      <c r="E22" s="190"/>
      <c r="F22" s="190"/>
      <c r="G22" s="190"/>
      <c r="H22" s="190"/>
      <c r="I22" s="190"/>
      <c r="J22" s="197"/>
    </row>
    <row r="23" spans="1:14" ht="15" x14ac:dyDescent="0.2">
      <c r="A23" s="376" t="s">
        <v>219</v>
      </c>
      <c r="B23" s="376"/>
      <c r="C23" s="376"/>
      <c r="D23" s="376"/>
      <c r="E23" s="376"/>
      <c r="F23" s="376"/>
      <c r="G23" s="376"/>
      <c r="H23" s="376"/>
      <c r="I23" s="376"/>
      <c r="J23" s="376"/>
      <c r="K23" s="376"/>
      <c r="L23" s="376"/>
      <c r="M23" s="376"/>
    </row>
    <row r="24" spans="1:14" ht="60" x14ac:dyDescent="0.2">
      <c r="A24" s="403" t="s">
        <v>89</v>
      </c>
      <c r="B24" s="404"/>
      <c r="C24" s="269"/>
      <c r="D24" s="274" t="str">
        <f>Summary!A15</f>
        <v xml:space="preserve">Residential </v>
      </c>
      <c r="E24" s="274" t="str">
        <f>Summary!A19</f>
        <v>General Service &lt; 50 kW</v>
      </c>
      <c r="F24" s="274" t="str">
        <f>Summary!A23</f>
        <v>General Service &gt; 50 to 999 kW</v>
      </c>
      <c r="G24" s="274" t="str">
        <f>Summary!A28</f>
        <v>General Service &gt; 1000 to 4999 kW</v>
      </c>
      <c r="H24" s="274" t="str">
        <f>Summary!A33</f>
        <v>Large User</v>
      </c>
      <c r="I24" s="274" t="str">
        <f>Summary!A38</f>
        <v>Direct Market Participant</v>
      </c>
      <c r="J24" s="274" t="str">
        <f>Summary!A43</f>
        <v>Street Lights</v>
      </c>
      <c r="K24" s="274" t="str">
        <f>Summary!A48</f>
        <v xml:space="preserve">Unmetered Loads </v>
      </c>
      <c r="L24" s="274" t="str">
        <f>Summary!A52</f>
        <v>Embedded Distributor</v>
      </c>
      <c r="M24" s="274" t="s">
        <v>12</v>
      </c>
    </row>
    <row r="25" spans="1:14" ht="14.25" customHeight="1" x14ac:dyDescent="0.2">
      <c r="A25" s="383" t="s">
        <v>176</v>
      </c>
      <c r="B25" s="383"/>
      <c r="C25" s="383"/>
      <c r="D25" s="383"/>
      <c r="E25" s="383"/>
      <c r="F25" s="383"/>
      <c r="G25" s="383"/>
      <c r="H25" s="383"/>
      <c r="I25" s="383"/>
      <c r="J25" s="383"/>
      <c r="K25" s="383"/>
      <c r="L25" s="383"/>
      <c r="M25" s="383"/>
    </row>
    <row r="26" spans="1:14" ht="14.25" customHeight="1" x14ac:dyDescent="0.2">
      <c r="A26" s="423"/>
      <c r="B26" s="423"/>
      <c r="C26" s="189"/>
      <c r="D26" s="189"/>
      <c r="E26" s="189"/>
      <c r="F26" s="189"/>
      <c r="G26" s="189"/>
      <c r="H26" s="210"/>
      <c r="I26" s="189"/>
      <c r="J26" s="210"/>
      <c r="K26" s="210"/>
      <c r="L26" s="210"/>
      <c r="M26" s="210"/>
    </row>
    <row r="27" spans="1:14" ht="14.25" customHeight="1" x14ac:dyDescent="0.2">
      <c r="A27" s="238" t="str">
        <f>A6</f>
        <v>2010 Board Approved</v>
      </c>
      <c r="B27" s="189"/>
      <c r="C27" s="189"/>
      <c r="D27" s="272">
        <f>389793819/1000000</f>
        <v>389.79381899999998</v>
      </c>
      <c r="E27" s="272">
        <f>168223630/1000000</f>
        <v>168.22363000000001</v>
      </c>
      <c r="F27" s="272">
        <f>494496789/1000000</f>
        <v>494.49678899999998</v>
      </c>
      <c r="G27" s="272">
        <f>215965446/1000000</f>
        <v>215.96544599999999</v>
      </c>
      <c r="H27" s="272">
        <f>159305102/1000000</f>
        <v>159.30510200000001</v>
      </c>
      <c r="I27" s="272">
        <v>0</v>
      </c>
      <c r="J27" s="272">
        <f>9470257/1000000</f>
        <v>9.4702570000000001</v>
      </c>
      <c r="K27" s="272">
        <f>1855931/1000000</f>
        <v>1.855931</v>
      </c>
      <c r="L27" s="272">
        <f>53269200/1000000</f>
        <v>53.269199999999998</v>
      </c>
      <c r="M27" s="272">
        <f>SUM(D27:L27)</f>
        <v>1492.3801739999999</v>
      </c>
    </row>
    <row r="28" spans="1:14" ht="14.25" customHeight="1" x14ac:dyDescent="0.2">
      <c r="A28" s="423"/>
      <c r="B28" s="423"/>
      <c r="C28" s="189"/>
      <c r="D28" s="189"/>
      <c r="E28" s="189"/>
      <c r="F28" s="189"/>
      <c r="G28" s="193"/>
      <c r="H28" s="210"/>
      <c r="I28" s="210"/>
      <c r="J28" s="189"/>
      <c r="K28" s="210"/>
      <c r="L28" s="210"/>
      <c r="M28" s="210"/>
    </row>
    <row r="29" spans="1:14" x14ac:dyDescent="0.2">
      <c r="A29" s="191" t="str">
        <f t="shared" ref="A29:A42" si="4">A8</f>
        <v xml:space="preserve">2001 Actual </v>
      </c>
      <c r="B29" s="192"/>
      <c r="C29" s="192"/>
      <c r="D29" s="193">
        <f>Summary!B17/1000000</f>
        <v>351.44209483145244</v>
      </c>
      <c r="E29" s="193">
        <f>Summary!B21/1000000</f>
        <v>157.13632439708454</v>
      </c>
      <c r="F29" s="193">
        <f>Summary!B25/1000000</f>
        <v>412.59490220464602</v>
      </c>
      <c r="G29" s="193">
        <f>Summary!B30/1000000</f>
        <v>236.35289665000002</v>
      </c>
      <c r="H29" s="193">
        <f>Summary!B35/1000000</f>
        <v>202.38595430999993</v>
      </c>
      <c r="I29" s="193">
        <f>Summary!B40/1000000</f>
        <v>0</v>
      </c>
      <c r="J29" s="193">
        <f>Summary!B45/1000000</f>
        <v>0</v>
      </c>
      <c r="K29" s="193">
        <f>Summary!B50/1000000</f>
        <v>0</v>
      </c>
      <c r="L29" s="193">
        <f>Summary!B54/1000000</f>
        <v>0</v>
      </c>
      <c r="M29" s="272">
        <f>SUM(D29:L29)</f>
        <v>1359.912172393183</v>
      </c>
      <c r="N29" s="211"/>
    </row>
    <row r="30" spans="1:14" x14ac:dyDescent="0.2">
      <c r="A30" s="191" t="str">
        <f t="shared" si="4"/>
        <v xml:space="preserve">2002 Actual </v>
      </c>
      <c r="B30" s="192"/>
      <c r="C30" s="192"/>
      <c r="D30" s="193">
        <f>Summary!C17/1000000</f>
        <v>336.17877615744425</v>
      </c>
      <c r="E30" s="193">
        <f>Summary!C21/1000000</f>
        <v>154.25073798550724</v>
      </c>
      <c r="F30" s="193">
        <f>Summary!C25/1000000</f>
        <v>441.91054600000001</v>
      </c>
      <c r="G30" s="193">
        <f>Summary!C30/1000000</f>
        <v>247.74495300000004</v>
      </c>
      <c r="H30" s="193">
        <f>Summary!C35/1000000</f>
        <v>238.56827500000003</v>
      </c>
      <c r="I30" s="193">
        <f>Summary!C40/1000000</f>
        <v>0</v>
      </c>
      <c r="J30" s="193">
        <f>Summary!C45/1000000</f>
        <v>0</v>
      </c>
      <c r="K30" s="193">
        <f>Summary!C50/1000000</f>
        <v>0</v>
      </c>
      <c r="L30" s="193">
        <f>Summary!C54/1000000</f>
        <v>0</v>
      </c>
      <c r="M30" s="272">
        <f t="shared" ref="M30:M42" si="5">SUM(D30:L30)</f>
        <v>1418.6532881429516</v>
      </c>
      <c r="N30" s="211"/>
    </row>
    <row r="31" spans="1:14" x14ac:dyDescent="0.2">
      <c r="A31" s="191" t="str">
        <f t="shared" si="4"/>
        <v xml:space="preserve">2003 Actual </v>
      </c>
      <c r="B31" s="192"/>
      <c r="C31" s="192"/>
      <c r="D31" s="193">
        <f>Summary!D17/1000000</f>
        <v>365.78424447617795</v>
      </c>
      <c r="E31" s="193">
        <f>Summary!D21/1000000</f>
        <v>163.24028681118347</v>
      </c>
      <c r="F31" s="193">
        <f>Summary!D25/1000000</f>
        <v>449.83130828111513</v>
      </c>
      <c r="G31" s="193">
        <f>Summary!D30/1000000</f>
        <v>263.31894699998929</v>
      </c>
      <c r="H31" s="193">
        <f>Summary!D35/1000000</f>
        <v>234.67131900000004</v>
      </c>
      <c r="I31" s="193">
        <f>Summary!D40/1000000</f>
        <v>0</v>
      </c>
      <c r="J31" s="193">
        <f>Summary!D45/1000000</f>
        <v>9.4136670000000002</v>
      </c>
      <c r="K31" s="193">
        <f>Summary!D50/1000000</f>
        <v>0</v>
      </c>
      <c r="L31" s="193">
        <f>Summary!D54/1000000</f>
        <v>0</v>
      </c>
      <c r="M31" s="272">
        <f t="shared" si="5"/>
        <v>1486.2597725684659</v>
      </c>
      <c r="N31" s="211"/>
    </row>
    <row r="32" spans="1:14" ht="12.75" customHeight="1" x14ac:dyDescent="0.2">
      <c r="A32" s="191" t="str">
        <f t="shared" si="4"/>
        <v xml:space="preserve">2004 Actual </v>
      </c>
      <c r="B32" s="192"/>
      <c r="C32" s="192"/>
      <c r="D32" s="193">
        <f>Summary!E17/1000000</f>
        <v>366.4659982462407</v>
      </c>
      <c r="E32" s="193">
        <f>Summary!E21/1000000</f>
        <v>165.70892622017772</v>
      </c>
      <c r="F32" s="193">
        <f>Summary!E25/1000000</f>
        <v>471.51747881872075</v>
      </c>
      <c r="G32" s="193">
        <f>Summary!E30/1000000</f>
        <v>269.90898299999998</v>
      </c>
      <c r="H32" s="193">
        <f>Summary!E35/1000000</f>
        <v>245.17287999999994</v>
      </c>
      <c r="I32" s="193">
        <f>Summary!E40/1000000</f>
        <v>0</v>
      </c>
      <c r="J32" s="193">
        <f>Summary!E45/1000000</f>
        <v>9.5180041088000014</v>
      </c>
      <c r="K32" s="193">
        <f>Summary!E50/1000000</f>
        <v>0</v>
      </c>
      <c r="L32" s="193">
        <f>Summary!E54/1000000</f>
        <v>0</v>
      </c>
      <c r="M32" s="272">
        <f t="shared" si="5"/>
        <v>1528.2922703939389</v>
      </c>
      <c r="N32" s="211"/>
    </row>
    <row r="33" spans="1:20" x14ac:dyDescent="0.2">
      <c r="A33" s="191" t="str">
        <f t="shared" si="4"/>
        <v xml:space="preserve">2005 Actual </v>
      </c>
      <c r="B33" s="192"/>
      <c r="C33" s="192"/>
      <c r="D33" s="193">
        <f>Summary!F17/1000000</f>
        <v>394.02330839392863</v>
      </c>
      <c r="E33" s="193">
        <f>Summary!F21/1000000</f>
        <v>172.872183117248</v>
      </c>
      <c r="F33" s="193">
        <f>Summary!F25/1000000</f>
        <v>477.34253973255562</v>
      </c>
      <c r="G33" s="193">
        <f>Summary!F30/1000000</f>
        <v>288.85078160998057</v>
      </c>
      <c r="H33" s="193">
        <f>Summary!F35/1000000</f>
        <v>256.34138954000849</v>
      </c>
      <c r="I33" s="193">
        <f>Summary!F40/1000000</f>
        <v>0</v>
      </c>
      <c r="J33" s="193">
        <f>Summary!F45/1000000</f>
        <v>9.5417767200106596</v>
      </c>
      <c r="K33" s="193">
        <f>Summary!F50/1000000</f>
        <v>0.39218806155365321</v>
      </c>
      <c r="L33" s="193">
        <f>Summary!F54/1000000</f>
        <v>0</v>
      </c>
      <c r="M33" s="272">
        <f t="shared" si="5"/>
        <v>1599.3641671752855</v>
      </c>
      <c r="N33" s="211"/>
    </row>
    <row r="34" spans="1:20" x14ac:dyDescent="0.2">
      <c r="A34" s="191" t="str">
        <f t="shared" si="4"/>
        <v xml:space="preserve">2006 Actual </v>
      </c>
      <c r="B34" s="192"/>
      <c r="C34" s="192"/>
      <c r="D34" s="193">
        <f>Summary!G17/1000000</f>
        <v>381.57996859043885</v>
      </c>
      <c r="E34" s="193">
        <f>Summary!G21/1000000</f>
        <v>166.8869498713199</v>
      </c>
      <c r="F34" s="193">
        <f>Summary!G25/1000000</f>
        <v>457.22568257655206</v>
      </c>
      <c r="G34" s="193">
        <f>Summary!G30/1000000</f>
        <v>248.25059065822501</v>
      </c>
      <c r="H34" s="193">
        <f>Summary!G35/1000000</f>
        <v>252.10181391</v>
      </c>
      <c r="I34" s="193">
        <f>Summary!G40/1000000</f>
        <v>42.75999427</v>
      </c>
      <c r="J34" s="193">
        <f>Summary!G45/1000000</f>
        <v>9.3005578376790652</v>
      </c>
      <c r="K34" s="193">
        <f>Summary!G50/1000000</f>
        <v>2.9973018710786605</v>
      </c>
      <c r="L34" s="193">
        <f>Summary!G54/1000000</f>
        <v>0</v>
      </c>
      <c r="M34" s="272">
        <f t="shared" si="5"/>
        <v>1561.1028595852936</v>
      </c>
      <c r="N34" s="211"/>
    </row>
    <row r="35" spans="1:20" x14ac:dyDescent="0.2">
      <c r="A35" s="191" t="str">
        <f t="shared" si="4"/>
        <v xml:space="preserve">2007 Actual </v>
      </c>
      <c r="B35" s="192"/>
      <c r="C35" s="192"/>
      <c r="D35" s="193">
        <f>Summary!H17/1000000</f>
        <v>392.55896601605855</v>
      </c>
      <c r="E35" s="193">
        <f>Summary!H21/1000000</f>
        <v>169.60627412815455</v>
      </c>
      <c r="F35" s="193">
        <f>Summary!H25/1000000</f>
        <v>471.07739607126899</v>
      </c>
      <c r="G35" s="193">
        <f>Summary!H30/1000000</f>
        <v>226.838923199981</v>
      </c>
      <c r="H35" s="193">
        <f>Summary!H35/1000000</f>
        <v>252.09234847999127</v>
      </c>
      <c r="I35" s="193">
        <f>Summary!H40/1000000</f>
        <v>42.771842820000003</v>
      </c>
      <c r="J35" s="193">
        <f>Summary!H45/1000000</f>
        <v>9.4428318799843698</v>
      </c>
      <c r="K35" s="193">
        <f>Summary!H50/1000000</f>
        <v>2.2010090107126481</v>
      </c>
      <c r="L35" s="193">
        <f>Summary!H54/1000000</f>
        <v>0</v>
      </c>
      <c r="M35" s="272">
        <f t="shared" si="5"/>
        <v>1566.5895916061515</v>
      </c>
      <c r="N35" s="211"/>
    </row>
    <row r="36" spans="1:20" x14ac:dyDescent="0.2">
      <c r="A36" s="427" t="str">
        <f t="shared" si="4"/>
        <v xml:space="preserve">2008 Actual </v>
      </c>
      <c r="B36" s="428"/>
      <c r="C36" s="212"/>
      <c r="D36" s="193">
        <f>Summary!I17/1000000</f>
        <v>387.31473182075354</v>
      </c>
      <c r="E36" s="193">
        <f>Summary!I21/1000000</f>
        <v>170.26359724762119</v>
      </c>
      <c r="F36" s="193">
        <f>Summary!I25/1000000</f>
        <v>456.04838243225299</v>
      </c>
      <c r="G36" s="193">
        <f>Summary!I30/1000000</f>
        <v>220.20326121123</v>
      </c>
      <c r="H36" s="193">
        <f>Summary!I35/1000000</f>
        <v>230.29775510999835</v>
      </c>
      <c r="I36" s="193">
        <f>Summary!I40/1000000</f>
        <v>42.93683309</v>
      </c>
      <c r="J36" s="193">
        <f>Summary!I45/1000000</f>
        <v>9.44888996999053</v>
      </c>
      <c r="K36" s="193">
        <f>Summary!I50/1000000</f>
        <v>2.1122322379896583</v>
      </c>
      <c r="L36" s="193">
        <f>Summary!I54/1000000</f>
        <v>0</v>
      </c>
      <c r="M36" s="272">
        <f t="shared" si="5"/>
        <v>1518.6256831198361</v>
      </c>
      <c r="N36" s="211"/>
    </row>
    <row r="37" spans="1:20" s="206" customFormat="1" ht="15" x14ac:dyDescent="0.25">
      <c r="A37" s="427" t="str">
        <f t="shared" si="4"/>
        <v xml:space="preserve">2009 Actual </v>
      </c>
      <c r="B37" s="428"/>
      <c r="C37" s="188"/>
      <c r="D37" s="193">
        <f>Summary!J17/1000000</f>
        <v>379.58271377996522</v>
      </c>
      <c r="E37" s="193">
        <f>Summary!J21/1000000</f>
        <v>160.30029419006814</v>
      </c>
      <c r="F37" s="193">
        <f>Summary!J25/1000000</f>
        <v>432.46196679929557</v>
      </c>
      <c r="G37" s="193">
        <f>Summary!J30/1000000</f>
        <v>193.00268532998714</v>
      </c>
      <c r="H37" s="193">
        <f>Summary!J35/1000000</f>
        <v>180.67907879999399</v>
      </c>
      <c r="I37" s="193">
        <f>Summary!J40/1000000</f>
        <v>43.206777520000003</v>
      </c>
      <c r="J37" s="193">
        <f>Summary!J45/1000000</f>
        <v>9.4705301599761231</v>
      </c>
      <c r="K37" s="193">
        <f>Summary!J50/1000000</f>
        <v>2.1356569424311616</v>
      </c>
      <c r="L37" s="193">
        <f>Summary!J54/1000000</f>
        <v>54.272535558917205</v>
      </c>
      <c r="M37" s="272">
        <f t="shared" si="5"/>
        <v>1455.1122390806345</v>
      </c>
      <c r="N37" s="211"/>
    </row>
    <row r="38" spans="1:20" s="206" customFormat="1" ht="15" customHeight="1" x14ac:dyDescent="0.25">
      <c r="A38" s="427" t="str">
        <f t="shared" si="4"/>
        <v xml:space="preserve">2010 Actual </v>
      </c>
      <c r="B38" s="428"/>
      <c r="C38" s="188"/>
      <c r="D38" s="193">
        <f>Summary!K17/1000000</f>
        <v>396.26683539498083</v>
      </c>
      <c r="E38" s="193">
        <f>Summary!K21/1000000</f>
        <v>163.47989281864909</v>
      </c>
      <c r="F38" s="193">
        <f>Summary!K25/1000000</f>
        <v>426.5137555630784</v>
      </c>
      <c r="G38" s="193">
        <f>Summary!K30/1000000</f>
        <v>220.91766845862432</v>
      </c>
      <c r="H38" s="193">
        <f>Summary!K35/1000000</f>
        <v>196.5572806227056</v>
      </c>
      <c r="I38" s="193">
        <f>Summary!K40/1000000</f>
        <v>43.796746470000002</v>
      </c>
      <c r="J38" s="193">
        <f>Summary!K45/1000000</f>
        <v>9.5192059225450976</v>
      </c>
      <c r="K38" s="193">
        <f>Summary!K50/1000000</f>
        <v>2.1302419105078498</v>
      </c>
      <c r="L38" s="193">
        <f>Summary!K54/1000000</f>
        <v>49.810828473134997</v>
      </c>
      <c r="M38" s="272">
        <f t="shared" si="5"/>
        <v>1508.9924556342262</v>
      </c>
      <c r="N38" s="211"/>
    </row>
    <row r="39" spans="1:20" s="206" customFormat="1" ht="15" x14ac:dyDescent="0.25">
      <c r="A39" s="427" t="str">
        <f t="shared" si="4"/>
        <v xml:space="preserve">2011 Actual </v>
      </c>
      <c r="B39" s="428"/>
      <c r="C39" s="275"/>
      <c r="D39" s="193">
        <f>Summary!L17/1000000</f>
        <v>396.55672036740742</v>
      </c>
      <c r="E39" s="193">
        <f>Summary!L21/1000000</f>
        <v>158.3220692436029</v>
      </c>
      <c r="F39" s="193">
        <f>Summary!L25/1000000</f>
        <v>437.15903608214177</v>
      </c>
      <c r="G39" s="193">
        <f>Summary!L30/1000000</f>
        <v>240.76717487713026</v>
      </c>
      <c r="H39" s="193">
        <f>Summary!L35/1000000</f>
        <v>169.19580019186978</v>
      </c>
      <c r="I39" s="193">
        <f>Summary!L40/1000000</f>
        <v>46.753740940000007</v>
      </c>
      <c r="J39" s="193">
        <f>Summary!L45/1000000</f>
        <v>9.5194855138937466</v>
      </c>
      <c r="K39" s="193">
        <f>Summary!L50/1000000</f>
        <v>2.0676105874618385</v>
      </c>
      <c r="L39" s="193">
        <f>Summary!L54/1000000</f>
        <v>51.266484907131471</v>
      </c>
      <c r="M39" s="272">
        <f t="shared" si="5"/>
        <v>1511.6081227106388</v>
      </c>
      <c r="N39" s="211"/>
    </row>
    <row r="40" spans="1:20" s="206" customFormat="1" ht="15" x14ac:dyDescent="0.25">
      <c r="A40" s="427" t="str">
        <f t="shared" si="4"/>
        <v xml:space="preserve">2012 Actual </v>
      </c>
      <c r="B40" s="428"/>
      <c r="C40" s="275"/>
      <c r="D40" s="193">
        <f>Summary!M17/1000000</f>
        <v>399.58757813183581</v>
      </c>
      <c r="E40" s="193">
        <f>Summary!M21/1000000</f>
        <v>158.5950343760052</v>
      </c>
      <c r="F40" s="193">
        <f>Summary!M25/1000000</f>
        <v>437.40127948903603</v>
      </c>
      <c r="G40" s="193">
        <f>Summary!M30/1000000</f>
        <v>226.22993917028836</v>
      </c>
      <c r="H40" s="193">
        <f>Summary!M35/1000000</f>
        <v>201.18950521249999</v>
      </c>
      <c r="I40" s="193">
        <f>Summary!M40/1000000</f>
        <v>45.452655189999994</v>
      </c>
      <c r="J40" s="193">
        <f>Summary!M45/1000000</f>
        <v>9.6451711912231399</v>
      </c>
      <c r="K40" s="193">
        <f>Summary!M50/1000000</f>
        <v>2.015389596745051</v>
      </c>
      <c r="L40" s="193">
        <f>Summary!M54/1000000</f>
        <v>44.790760353888786</v>
      </c>
      <c r="M40" s="272">
        <f t="shared" si="5"/>
        <v>1524.9073127115225</v>
      </c>
      <c r="N40" s="211"/>
      <c r="O40"/>
      <c r="P40"/>
      <c r="Q40"/>
      <c r="R40"/>
      <c r="S40"/>
    </row>
    <row r="41" spans="1:20" s="206" customFormat="1" ht="15" x14ac:dyDescent="0.25">
      <c r="A41" s="413" t="str">
        <f t="shared" si="4"/>
        <v>2013 Bridge</v>
      </c>
      <c r="B41" s="429"/>
      <c r="C41" s="275"/>
      <c r="D41" s="201">
        <f>Summary!N17/1000000</f>
        <v>391.76629246928155</v>
      </c>
      <c r="E41" s="201">
        <f>Summary!N21/1000000</f>
        <v>153.81566360858503</v>
      </c>
      <c r="F41" s="201">
        <f>Summary!N25/1000000</f>
        <v>430.25521864227142</v>
      </c>
      <c r="G41" s="201">
        <f>Summary!N30/1000000</f>
        <v>222.52142361991798</v>
      </c>
      <c r="H41" s="201">
        <f>Summary!N35/1000000</f>
        <v>204.33752174348558</v>
      </c>
      <c r="I41" s="201">
        <f>Summary!N40/1000000</f>
        <v>45.724232197163616</v>
      </c>
      <c r="J41" s="201">
        <f>Summary!N45/1000000</f>
        <v>9.6305076141368318</v>
      </c>
      <c r="K41" s="201">
        <f>Summary!N50/1000000</f>
        <v>1.8784399969108176</v>
      </c>
      <c r="L41" s="201">
        <f>Summary!N54/1000000</f>
        <v>44.105573673745504</v>
      </c>
      <c r="M41" s="276">
        <f t="shared" si="5"/>
        <v>1504.0348735654986</v>
      </c>
      <c r="N41" s="213"/>
    </row>
    <row r="42" spans="1:20" s="206" customFormat="1" ht="15" x14ac:dyDescent="0.25">
      <c r="A42" s="430" t="str">
        <f t="shared" si="4"/>
        <v>2014 Test</v>
      </c>
      <c r="B42" s="431"/>
      <c r="C42" s="275"/>
      <c r="D42" s="277">
        <f>Summary!O17/1000000</f>
        <v>388.6747927280785</v>
      </c>
      <c r="E42" s="277">
        <f>Summary!O21/1000000</f>
        <v>150.95787126506008</v>
      </c>
      <c r="F42" s="277">
        <f>Summary!O25/1000000</f>
        <v>426.16086789426726</v>
      </c>
      <c r="G42" s="277">
        <f>Summary!O30/1000000</f>
        <v>219.34088790272597</v>
      </c>
      <c r="H42" s="277">
        <f>Summary!O35/1000000</f>
        <v>207.07234900780674</v>
      </c>
      <c r="I42" s="277">
        <f>Summary!O40/1000000</f>
        <v>45.894936545319716</v>
      </c>
      <c r="J42" s="277">
        <f>Summary!O45/1000000</f>
        <v>9.5944394543452542</v>
      </c>
      <c r="K42" s="277">
        <f>Summary!O50/1000000</f>
        <v>1.7468951152104548</v>
      </c>
      <c r="L42" s="277">
        <f>Summary!O54/1000000</f>
        <v>43.430868637203197</v>
      </c>
      <c r="M42" s="278">
        <f t="shared" si="5"/>
        <v>1492.8739085500172</v>
      </c>
      <c r="N42" s="213"/>
    </row>
    <row r="43" spans="1:20" x14ac:dyDescent="0.2">
      <c r="A43" s="432"/>
      <c r="B43" s="432"/>
      <c r="C43" s="432"/>
      <c r="D43" s="432"/>
      <c r="E43" s="432"/>
      <c r="F43" s="432"/>
      <c r="G43" s="432"/>
      <c r="H43" s="432"/>
      <c r="I43" s="432"/>
      <c r="J43" s="432"/>
      <c r="K43" s="432"/>
      <c r="L43" s="432"/>
      <c r="M43" s="432"/>
      <c r="N43" s="211"/>
    </row>
    <row r="44" spans="1:20" ht="15" x14ac:dyDescent="0.2">
      <c r="A44" s="383" t="s">
        <v>177</v>
      </c>
      <c r="B44" s="383"/>
      <c r="C44" s="383"/>
      <c r="D44" s="383"/>
      <c r="E44" s="383"/>
      <c r="F44" s="383"/>
      <c r="G44" s="383"/>
      <c r="H44" s="383"/>
      <c r="I44" s="383"/>
      <c r="J44" s="383"/>
      <c r="K44" s="383"/>
      <c r="L44" s="383"/>
      <c r="M44" s="383"/>
      <c r="N44" s="211"/>
    </row>
    <row r="45" spans="1:20" x14ac:dyDescent="0.2">
      <c r="A45" s="373"/>
      <c r="B45" s="426"/>
      <c r="C45" s="426"/>
      <c r="D45" s="426"/>
      <c r="E45" s="426"/>
      <c r="F45" s="426"/>
      <c r="G45" s="426"/>
      <c r="H45" s="426"/>
      <c r="I45" s="426"/>
      <c r="J45" s="426"/>
      <c r="K45" s="426"/>
      <c r="L45" s="426"/>
      <c r="M45" s="374"/>
    </row>
    <row r="46" spans="1:20" s="197" customFormat="1" x14ac:dyDescent="0.2">
      <c r="A46" s="238" t="str">
        <f>A27</f>
        <v>2010 Board Approved</v>
      </c>
      <c r="B46" s="238"/>
      <c r="C46" s="238"/>
      <c r="D46" s="214">
        <v>45217</v>
      </c>
      <c r="E46" s="214">
        <v>4582</v>
      </c>
      <c r="F46" s="214">
        <v>724</v>
      </c>
      <c r="G46" s="214">
        <v>25</v>
      </c>
      <c r="H46" s="214">
        <v>2</v>
      </c>
      <c r="I46" s="214">
        <v>0</v>
      </c>
      <c r="J46" s="214">
        <v>12717</v>
      </c>
      <c r="K46" s="214">
        <v>507</v>
      </c>
      <c r="L46" s="214">
        <v>2</v>
      </c>
      <c r="M46" s="279">
        <f>SUM(D46:L46)</f>
        <v>63776</v>
      </c>
      <c r="N46" s="215"/>
    </row>
    <row r="47" spans="1:20" x14ac:dyDescent="0.2">
      <c r="A47" s="387"/>
      <c r="B47" s="387"/>
      <c r="C47" s="238"/>
      <c r="D47" s="214"/>
      <c r="E47" s="214"/>
      <c r="F47" s="214"/>
      <c r="G47" s="266"/>
      <c r="H47" s="266"/>
      <c r="I47" s="210"/>
      <c r="J47" s="214"/>
      <c r="K47" s="210"/>
      <c r="L47" s="210"/>
      <c r="M47" s="210"/>
    </row>
    <row r="48" spans="1:20" ht="12.75" customHeight="1" x14ac:dyDescent="0.2">
      <c r="A48" s="238" t="str">
        <f t="shared" ref="A48:A61" si="6">A29</f>
        <v xml:space="preserve">2001 Actual </v>
      </c>
      <c r="B48" s="238"/>
      <c r="C48" s="238"/>
      <c r="D48" s="214">
        <f>Summary!B16</f>
        <v>37491.5</v>
      </c>
      <c r="E48" s="214">
        <f>Summary!B20</f>
        <v>4247</v>
      </c>
      <c r="F48" s="266">
        <f>Summary!B24</f>
        <v>566.25000000000011</v>
      </c>
      <c r="G48" s="266">
        <f>Summary!B29</f>
        <v>25</v>
      </c>
      <c r="H48" s="266">
        <f>Summary!B34</f>
        <v>2.5</v>
      </c>
      <c r="I48" s="266">
        <f>Summary!B39</f>
        <v>0</v>
      </c>
      <c r="J48" s="266">
        <f>Summary!B44</f>
        <v>0</v>
      </c>
      <c r="K48" s="266">
        <f>Summary!B49</f>
        <v>0</v>
      </c>
      <c r="L48" s="266">
        <f>Summary!B53</f>
        <v>0</v>
      </c>
      <c r="M48" s="279">
        <f>SUM(D48:L48)</f>
        <v>42332.25</v>
      </c>
      <c r="N48" s="215"/>
      <c r="T48" s="215">
        <f>Summary!M39</f>
        <v>1</v>
      </c>
    </row>
    <row r="49" spans="1:22" x14ac:dyDescent="0.2">
      <c r="A49" s="238" t="str">
        <f t="shared" si="6"/>
        <v xml:space="preserve">2002 Actual </v>
      </c>
      <c r="B49" s="238"/>
      <c r="C49" s="238"/>
      <c r="D49" s="214">
        <f>Summary!C16</f>
        <v>38233.75</v>
      </c>
      <c r="E49" s="214">
        <f>Summary!C20</f>
        <v>4064.75</v>
      </c>
      <c r="F49" s="266">
        <f>Summary!C24</f>
        <v>597.74999999999989</v>
      </c>
      <c r="G49" s="266">
        <f>Summary!C29</f>
        <v>24.5</v>
      </c>
      <c r="H49" s="266">
        <f>Summary!C34</f>
        <v>3</v>
      </c>
      <c r="I49" s="266">
        <f>Summary!C39</f>
        <v>0</v>
      </c>
      <c r="J49" s="266">
        <f>Summary!C44</f>
        <v>0</v>
      </c>
      <c r="K49" s="266">
        <f>Summary!C49</f>
        <v>0</v>
      </c>
      <c r="L49" s="266">
        <f>Summary!C53</f>
        <v>0</v>
      </c>
      <c r="M49" s="279">
        <f t="shared" ref="M49:M61" si="7">SUM(D49:L49)</f>
        <v>42923.75</v>
      </c>
      <c r="N49" s="215"/>
    </row>
    <row r="50" spans="1:22" x14ac:dyDescent="0.2">
      <c r="A50" s="238" t="str">
        <f t="shared" si="6"/>
        <v xml:space="preserve">2003 Actual </v>
      </c>
      <c r="B50" s="238"/>
      <c r="C50" s="238"/>
      <c r="D50" s="214">
        <f>Summary!D16</f>
        <v>39315.75</v>
      </c>
      <c r="E50" s="214">
        <f>Summary!D20</f>
        <v>4144.75</v>
      </c>
      <c r="F50" s="266">
        <f>Summary!D24</f>
        <v>619.24999999999989</v>
      </c>
      <c r="G50" s="266">
        <f>Summary!D29</f>
        <v>26</v>
      </c>
      <c r="H50" s="266">
        <f>Summary!D34</f>
        <v>3</v>
      </c>
      <c r="I50" s="266">
        <f>Summary!D39</f>
        <v>0</v>
      </c>
      <c r="J50" s="266">
        <f>Summary!D44</f>
        <v>11556.5</v>
      </c>
      <c r="K50" s="266">
        <f>Summary!D49</f>
        <v>0</v>
      </c>
      <c r="L50" s="266">
        <f>Summary!D53</f>
        <v>0</v>
      </c>
      <c r="M50" s="279">
        <f t="shared" si="7"/>
        <v>55665.25</v>
      </c>
      <c r="N50" s="215"/>
    </row>
    <row r="51" spans="1:22" x14ac:dyDescent="0.2">
      <c r="A51" s="238" t="str">
        <f t="shared" si="6"/>
        <v xml:space="preserve">2004 Actual </v>
      </c>
      <c r="B51" s="238"/>
      <c r="C51" s="238"/>
      <c r="D51" s="214">
        <f>Summary!E16</f>
        <v>40534.5</v>
      </c>
      <c r="E51" s="214">
        <f>Summary!E20</f>
        <v>4193</v>
      </c>
      <c r="F51" s="266">
        <f>Summary!E24</f>
        <v>630</v>
      </c>
      <c r="G51" s="266">
        <f>Summary!E29</f>
        <v>27</v>
      </c>
      <c r="H51" s="266">
        <f>Summary!E34</f>
        <v>3</v>
      </c>
      <c r="I51" s="266">
        <f>Summary!E39</f>
        <v>0</v>
      </c>
      <c r="J51" s="266">
        <f>Summary!E44</f>
        <v>11731.5</v>
      </c>
      <c r="K51" s="266">
        <f>Summary!E49</f>
        <v>0</v>
      </c>
      <c r="L51" s="266">
        <f>Summary!E53</f>
        <v>0</v>
      </c>
      <c r="M51" s="279">
        <f t="shared" si="7"/>
        <v>57119</v>
      </c>
      <c r="N51" s="215"/>
    </row>
    <row r="52" spans="1:22" ht="12.75" customHeight="1" x14ac:dyDescent="0.2">
      <c r="A52" s="238" t="str">
        <f t="shared" si="6"/>
        <v xml:space="preserve">2005 Actual </v>
      </c>
      <c r="B52" s="238"/>
      <c r="C52" s="238"/>
      <c r="D52" s="214">
        <f>Summary!F16</f>
        <v>41299.5</v>
      </c>
      <c r="E52" s="214">
        <f>Summary!F20</f>
        <v>4289</v>
      </c>
      <c r="F52" s="266">
        <f>Summary!F24</f>
        <v>633.5</v>
      </c>
      <c r="G52" s="266">
        <f>Summary!F29</f>
        <v>28.5</v>
      </c>
      <c r="H52" s="266">
        <f>Summary!F34</f>
        <v>3</v>
      </c>
      <c r="I52" s="266">
        <f>Summary!F39</f>
        <v>0</v>
      </c>
      <c r="J52" s="266">
        <f>Summary!F44</f>
        <v>11894.5</v>
      </c>
      <c r="K52" s="266">
        <f>Summary!F49</f>
        <v>0</v>
      </c>
      <c r="L52" s="266">
        <f>Summary!F53</f>
        <v>0</v>
      </c>
      <c r="M52" s="279">
        <f t="shared" si="7"/>
        <v>58148</v>
      </c>
      <c r="N52" s="215"/>
    </row>
    <row r="53" spans="1:22" x14ac:dyDescent="0.2">
      <c r="A53" s="238" t="str">
        <f t="shared" si="6"/>
        <v xml:space="preserve">2006 Actual </v>
      </c>
      <c r="B53" s="238"/>
      <c r="C53" s="238"/>
      <c r="D53" s="214">
        <f>Summary!G16</f>
        <v>42039.5</v>
      </c>
      <c r="E53" s="214">
        <f>Summary!G20</f>
        <v>4352</v>
      </c>
      <c r="F53" s="266">
        <f>Summary!G24</f>
        <v>647</v>
      </c>
      <c r="G53" s="266">
        <f>Summary!G29</f>
        <v>29.5</v>
      </c>
      <c r="H53" s="266">
        <f>Summary!G34</f>
        <v>2.5</v>
      </c>
      <c r="I53" s="266">
        <f>Summary!G39</f>
        <v>1</v>
      </c>
      <c r="J53" s="266">
        <f>Summary!G44</f>
        <v>12052.25</v>
      </c>
      <c r="K53" s="266">
        <f>Summary!G49</f>
        <v>516</v>
      </c>
      <c r="L53" s="266">
        <f>Summary!G53</f>
        <v>0</v>
      </c>
      <c r="M53" s="279">
        <f t="shared" si="7"/>
        <v>59639.75</v>
      </c>
      <c r="N53" s="215"/>
      <c r="O53"/>
      <c r="P53"/>
      <c r="Q53"/>
      <c r="R53"/>
      <c r="S53"/>
      <c r="T53"/>
      <c r="U53"/>
      <c r="V53"/>
    </row>
    <row r="54" spans="1:22" x14ac:dyDescent="0.2">
      <c r="A54" s="238" t="str">
        <f t="shared" si="6"/>
        <v xml:space="preserve">2007 Actual </v>
      </c>
      <c r="B54" s="261"/>
      <c r="C54" s="238"/>
      <c r="D54" s="214">
        <f>Summary!H16</f>
        <v>42887.5</v>
      </c>
      <c r="E54" s="214">
        <f>Summary!H20</f>
        <v>4376</v>
      </c>
      <c r="F54" s="266">
        <f>Summary!H24</f>
        <v>672</v>
      </c>
      <c r="G54" s="266">
        <f>Summary!H29</f>
        <v>28.5</v>
      </c>
      <c r="H54" s="266">
        <f>Summary!H34</f>
        <v>2</v>
      </c>
      <c r="I54" s="266">
        <f>Summary!H39</f>
        <v>1</v>
      </c>
      <c r="J54" s="266">
        <f>Summary!H44</f>
        <v>12237.25</v>
      </c>
      <c r="K54" s="266">
        <f>Summary!H49</f>
        <v>486</v>
      </c>
      <c r="L54" s="266">
        <f>Summary!H53</f>
        <v>0</v>
      </c>
      <c r="M54" s="279">
        <f t="shared" si="7"/>
        <v>60690.25</v>
      </c>
      <c r="N54" s="215"/>
      <c r="O54"/>
      <c r="P54"/>
      <c r="Q54"/>
      <c r="R54"/>
      <c r="S54"/>
      <c r="T54"/>
      <c r="U54"/>
      <c r="V54"/>
    </row>
    <row r="55" spans="1:22" ht="12.75" customHeight="1" x14ac:dyDescent="0.2">
      <c r="A55" s="238" t="str">
        <f t="shared" si="6"/>
        <v xml:space="preserve">2008 Actual </v>
      </c>
      <c r="B55" s="280"/>
      <c r="C55" s="281"/>
      <c r="D55" s="214">
        <f>Summary!I16</f>
        <v>43431</v>
      </c>
      <c r="E55" s="214">
        <f>Summary!I20</f>
        <v>4449</v>
      </c>
      <c r="F55" s="266">
        <f>Summary!I24</f>
        <v>679.5</v>
      </c>
      <c r="G55" s="266">
        <f>Summary!I29</f>
        <v>28</v>
      </c>
      <c r="H55" s="266">
        <f>Summary!I34</f>
        <v>2</v>
      </c>
      <c r="I55" s="266">
        <f>Summary!I39</f>
        <v>1</v>
      </c>
      <c r="J55" s="266">
        <f>Summary!I44</f>
        <v>12365.5</v>
      </c>
      <c r="K55" s="266">
        <f>Summary!I49</f>
        <v>457</v>
      </c>
      <c r="L55" s="266">
        <f>Summary!I53</f>
        <v>0</v>
      </c>
      <c r="M55" s="279">
        <f t="shared" si="7"/>
        <v>61413</v>
      </c>
      <c r="N55" s="215"/>
      <c r="O55"/>
      <c r="P55"/>
      <c r="Q55"/>
      <c r="R55"/>
      <c r="S55"/>
      <c r="T55"/>
      <c r="U55"/>
      <c r="V55"/>
    </row>
    <row r="56" spans="1:22" ht="12.75" customHeight="1" x14ac:dyDescent="0.2">
      <c r="A56" s="238" t="str">
        <f t="shared" si="6"/>
        <v xml:space="preserve">2009 Actual </v>
      </c>
      <c r="B56" s="281"/>
      <c r="C56" s="281"/>
      <c r="D56" s="214">
        <f>Summary!$J$16</f>
        <v>43936.5</v>
      </c>
      <c r="E56" s="214">
        <f>Summary!J20</f>
        <v>4540.5</v>
      </c>
      <c r="F56" s="266">
        <f>Summary!J24</f>
        <v>693</v>
      </c>
      <c r="G56" s="266">
        <f>Summary!J29</f>
        <v>26.5</v>
      </c>
      <c r="H56" s="266">
        <f>Summary!J34</f>
        <v>2</v>
      </c>
      <c r="I56" s="266">
        <f>Summary!J39</f>
        <v>1</v>
      </c>
      <c r="J56" s="266">
        <f>Summary!J44</f>
        <v>12459.5</v>
      </c>
      <c r="K56" s="266">
        <f>Summary!J49</f>
        <v>498</v>
      </c>
      <c r="L56" s="266">
        <f>Summary!J53</f>
        <v>2</v>
      </c>
      <c r="M56" s="279">
        <f t="shared" si="7"/>
        <v>62159</v>
      </c>
      <c r="N56" s="215"/>
      <c r="O56"/>
      <c r="P56"/>
      <c r="Q56"/>
      <c r="R56"/>
      <c r="S56"/>
      <c r="T56"/>
      <c r="U56"/>
      <c r="V56"/>
    </row>
    <row r="57" spans="1:22" ht="12.75" customHeight="1" x14ac:dyDescent="0.2">
      <c r="A57" s="238" t="str">
        <f t="shared" si="6"/>
        <v xml:space="preserve">2010 Actual </v>
      </c>
      <c r="B57" s="238"/>
      <c r="C57" s="238"/>
      <c r="D57" s="214">
        <f>Summary!K16</f>
        <v>44920.5</v>
      </c>
      <c r="E57" s="214">
        <f>Summary!K20</f>
        <v>4604</v>
      </c>
      <c r="F57" s="266">
        <f>Summary!K24</f>
        <v>708</v>
      </c>
      <c r="G57" s="266">
        <f>Summary!K29</f>
        <v>26</v>
      </c>
      <c r="H57" s="266">
        <f>Summary!K34</f>
        <v>2</v>
      </c>
      <c r="I57" s="266">
        <f>Summary!K39</f>
        <v>1</v>
      </c>
      <c r="J57" s="266">
        <f>Summary!K44</f>
        <v>12558.5</v>
      </c>
      <c r="K57" s="266">
        <f>Summary!K49</f>
        <v>537.5</v>
      </c>
      <c r="L57" s="266">
        <f>Summary!K53</f>
        <v>2</v>
      </c>
      <c r="M57" s="279">
        <f t="shared" si="7"/>
        <v>63359.5</v>
      </c>
      <c r="N57" s="215"/>
      <c r="O57"/>
      <c r="P57"/>
      <c r="Q57"/>
      <c r="R57"/>
      <c r="S57"/>
      <c r="T57"/>
      <c r="U57"/>
      <c r="V57"/>
    </row>
    <row r="58" spans="1:22" ht="12.75" customHeight="1" x14ac:dyDescent="0.2">
      <c r="A58" s="238" t="str">
        <f t="shared" si="6"/>
        <v xml:space="preserve">2011 Actual </v>
      </c>
      <c r="B58" s="238"/>
      <c r="C58" s="189"/>
      <c r="D58" s="214">
        <f>Summary!L16</f>
        <v>45780.5</v>
      </c>
      <c r="E58" s="214">
        <f>Summary!L20</f>
        <v>4629.5</v>
      </c>
      <c r="F58" s="266">
        <f>Summary!L24</f>
        <v>723.5</v>
      </c>
      <c r="G58" s="266">
        <f>Summary!L29</f>
        <v>28</v>
      </c>
      <c r="H58" s="266">
        <f>Summary!L34</f>
        <v>2</v>
      </c>
      <c r="I58" s="266">
        <f>Summary!L39</f>
        <v>1</v>
      </c>
      <c r="J58" s="266">
        <f>Summary!L44</f>
        <v>12623.5</v>
      </c>
      <c r="K58" s="266">
        <f>Summary!L49</f>
        <v>514.5</v>
      </c>
      <c r="L58" s="266">
        <f>Summary!L53</f>
        <v>2</v>
      </c>
      <c r="M58" s="279">
        <f t="shared" si="7"/>
        <v>64304.5</v>
      </c>
      <c r="N58" s="215"/>
      <c r="O58"/>
      <c r="P58"/>
      <c r="Q58"/>
      <c r="R58"/>
      <c r="S58"/>
      <c r="T58"/>
      <c r="U58"/>
      <c r="V58"/>
    </row>
    <row r="59" spans="1:22" ht="12.75" customHeight="1" x14ac:dyDescent="0.2">
      <c r="A59" s="238" t="str">
        <f t="shared" si="6"/>
        <v xml:space="preserve">2012 Actual </v>
      </c>
      <c r="B59" s="238"/>
      <c r="C59" s="189"/>
      <c r="D59" s="214">
        <f>Summary!M16</f>
        <v>46283.5</v>
      </c>
      <c r="E59" s="214">
        <f>Summary!M20</f>
        <v>4661</v>
      </c>
      <c r="F59" s="266">
        <f>Summary!M24</f>
        <v>736.5</v>
      </c>
      <c r="G59" s="266">
        <f>Summary!M29</f>
        <v>27</v>
      </c>
      <c r="H59" s="266">
        <f>Summary!M34</f>
        <v>2</v>
      </c>
      <c r="I59" s="266">
        <f>Summary!M39</f>
        <v>1</v>
      </c>
      <c r="J59" s="266">
        <f>Summary!M44</f>
        <v>12722</v>
      </c>
      <c r="K59" s="266">
        <f>Summary!M49</f>
        <v>490.5</v>
      </c>
      <c r="L59" s="266">
        <f>Summary!M53</f>
        <v>2</v>
      </c>
      <c r="M59" s="279">
        <f t="shared" si="7"/>
        <v>64925.5</v>
      </c>
      <c r="N59" s="215"/>
    </row>
    <row r="60" spans="1:22" s="206" customFormat="1" ht="12.75" customHeight="1" x14ac:dyDescent="0.25">
      <c r="A60" s="189" t="str">
        <f t="shared" si="6"/>
        <v>2013 Bridge</v>
      </c>
      <c r="B60" s="189"/>
      <c r="C60" s="189"/>
      <c r="D60" s="217">
        <f>Summary!N16</f>
        <v>47178.461350810816</v>
      </c>
      <c r="E60" s="217">
        <f>Summary!N20</f>
        <v>4700.5810249068509</v>
      </c>
      <c r="F60" s="244">
        <f>Summary!N24</f>
        <v>754.3125707597062</v>
      </c>
      <c r="G60" s="244">
        <f>Summary!N29</f>
        <v>27.189566748340773</v>
      </c>
      <c r="H60" s="244">
        <f>Summary!N34</f>
        <v>2</v>
      </c>
      <c r="I60" s="244">
        <f>Summary!N39</f>
        <v>1</v>
      </c>
      <c r="J60" s="244">
        <f>Summary!N44</f>
        <v>12858.548708079272</v>
      </c>
      <c r="K60" s="244">
        <f>Summary!N49</f>
        <v>486.37423799105244</v>
      </c>
      <c r="L60" s="244">
        <f>Summary!N53</f>
        <v>2</v>
      </c>
      <c r="M60" s="285">
        <f t="shared" si="7"/>
        <v>66010.467459296036</v>
      </c>
      <c r="N60" s="286"/>
    </row>
    <row r="61" spans="1:22" s="206" customFormat="1" ht="12.75" customHeight="1" x14ac:dyDescent="0.25">
      <c r="A61" s="189" t="str">
        <f t="shared" si="6"/>
        <v>2014 Test</v>
      </c>
      <c r="B61" s="189"/>
      <c r="C61" s="189"/>
      <c r="D61" s="217">
        <f>Summary!O16</f>
        <v>48090.728130542193</v>
      </c>
      <c r="E61" s="217">
        <f>Summary!O20</f>
        <v>4740.4981702884234</v>
      </c>
      <c r="F61" s="244">
        <f>Summary!O24</f>
        <v>772.55594624048445</v>
      </c>
      <c r="G61" s="244">
        <f>Summary!O29</f>
        <v>27.380464443054752</v>
      </c>
      <c r="H61" s="244">
        <f>Summary!O34</f>
        <v>2</v>
      </c>
      <c r="I61" s="244">
        <f>Summary!O39</f>
        <v>1</v>
      </c>
      <c r="J61" s="244">
        <f>Summary!O44</f>
        <v>12996.563030816467</v>
      </c>
      <c r="K61" s="244">
        <f>Summary!O49</f>
        <v>482.28317916692544</v>
      </c>
      <c r="L61" s="244">
        <f>Summary!O53</f>
        <v>2</v>
      </c>
      <c r="M61" s="285">
        <f t="shared" si="7"/>
        <v>67115.00892149756</v>
      </c>
      <c r="N61" s="286"/>
    </row>
    <row r="63" spans="1:22" ht="15" x14ac:dyDescent="0.2">
      <c r="A63" s="301" t="s">
        <v>227</v>
      </c>
      <c r="B63" s="302"/>
      <c r="C63" s="302"/>
      <c r="D63" s="302"/>
      <c r="E63" s="302"/>
      <c r="F63" s="302"/>
      <c r="G63" s="302"/>
      <c r="H63" s="302"/>
      <c r="I63" s="302"/>
      <c r="J63" s="302"/>
      <c r="K63" s="302"/>
      <c r="L63" s="303"/>
    </row>
    <row r="64" spans="1:22" ht="60" x14ac:dyDescent="0.2">
      <c r="A64" s="424" t="s">
        <v>89</v>
      </c>
      <c r="B64" s="425"/>
      <c r="C64" s="269"/>
      <c r="D64" s="274" t="str">
        <f>D24</f>
        <v xml:space="preserve">Residential </v>
      </c>
      <c r="E64" s="274" t="str">
        <f t="shared" ref="E64:L64" si="8">E24</f>
        <v>General Service &lt; 50 kW</v>
      </c>
      <c r="F64" s="274" t="str">
        <f t="shared" si="8"/>
        <v>General Service &gt; 50 to 999 kW</v>
      </c>
      <c r="G64" s="274" t="str">
        <f t="shared" si="8"/>
        <v>General Service &gt; 1000 to 4999 kW</v>
      </c>
      <c r="H64" s="274" t="str">
        <f t="shared" si="8"/>
        <v>Large User</v>
      </c>
      <c r="I64" s="274" t="str">
        <f t="shared" si="8"/>
        <v>Direct Market Participant</v>
      </c>
      <c r="J64" s="274" t="str">
        <f t="shared" si="8"/>
        <v>Street Lights</v>
      </c>
      <c r="K64" s="274" t="str">
        <f t="shared" si="8"/>
        <v xml:space="preserve">Unmetered Loads </v>
      </c>
      <c r="L64" s="274" t="str">
        <f t="shared" si="8"/>
        <v>Embedded Distributor</v>
      </c>
    </row>
    <row r="65" spans="1:12" ht="15" x14ac:dyDescent="0.2">
      <c r="A65" s="383" t="s">
        <v>178</v>
      </c>
      <c r="B65" s="383"/>
      <c r="C65" s="383"/>
      <c r="D65" s="383"/>
      <c r="E65" s="383"/>
      <c r="F65" s="383"/>
      <c r="G65" s="383"/>
      <c r="H65" s="383"/>
      <c r="I65" s="383"/>
      <c r="J65" s="383"/>
      <c r="K65" s="383"/>
      <c r="L65" s="383"/>
    </row>
    <row r="66" spans="1:12" ht="15" x14ac:dyDescent="0.2">
      <c r="A66" s="423"/>
      <c r="B66" s="423"/>
      <c r="C66" s="423"/>
      <c r="D66" s="423"/>
      <c r="E66" s="423"/>
      <c r="F66" s="423"/>
      <c r="G66" s="423"/>
      <c r="H66" s="423"/>
      <c r="I66" s="423"/>
      <c r="J66" s="423"/>
      <c r="K66" s="423"/>
      <c r="L66" s="423"/>
    </row>
    <row r="67" spans="1:12" ht="15" x14ac:dyDescent="0.2">
      <c r="A67" s="261" t="str">
        <f>A46</f>
        <v>2010 Board Approved</v>
      </c>
      <c r="B67" s="249"/>
      <c r="C67" s="249"/>
      <c r="D67" s="196">
        <f>D27/D46*1000000</f>
        <v>8620.5148284937077</v>
      </c>
      <c r="E67" s="196">
        <f t="shared" ref="E67:L67" si="9">E27/E46*1000000</f>
        <v>36714.017896115241</v>
      </c>
      <c r="F67" s="196">
        <f t="shared" si="9"/>
        <v>683006.61464088398</v>
      </c>
      <c r="G67" s="196">
        <f t="shared" si="9"/>
        <v>8638617.8399999999</v>
      </c>
      <c r="H67" s="196">
        <f t="shared" si="9"/>
        <v>79652551</v>
      </c>
      <c r="I67" s="196"/>
      <c r="J67" s="196">
        <f t="shared" si="9"/>
        <v>744.69269481796027</v>
      </c>
      <c r="K67" s="196">
        <f t="shared" si="9"/>
        <v>3660.6134122287967</v>
      </c>
      <c r="L67" s="196">
        <f t="shared" si="9"/>
        <v>26634600</v>
      </c>
    </row>
    <row r="68" spans="1:12" ht="15" x14ac:dyDescent="0.2">
      <c r="A68" s="423"/>
      <c r="B68" s="423"/>
      <c r="C68" s="423"/>
      <c r="D68" s="423"/>
      <c r="E68" s="423"/>
      <c r="F68" s="423"/>
      <c r="G68" s="423"/>
      <c r="H68" s="423"/>
      <c r="I68" s="423"/>
      <c r="J68" s="423"/>
      <c r="K68" s="423"/>
      <c r="L68" s="423"/>
    </row>
    <row r="69" spans="1:12" x14ac:dyDescent="0.2">
      <c r="A69" s="238" t="str">
        <f t="shared" ref="A69:A82" si="10">A8</f>
        <v xml:space="preserve">2001 Actual </v>
      </c>
      <c r="B69" s="238"/>
      <c r="C69" s="238"/>
      <c r="D69" s="196">
        <f>D29/D48*1000000</f>
        <v>9373.9139493339153</v>
      </c>
      <c r="E69" s="196">
        <f t="shared" ref="E69:H69" si="11">E29/E48*1000000</f>
        <v>36999.370001668125</v>
      </c>
      <c r="F69" s="196">
        <f t="shared" si="11"/>
        <v>728644.418904452</v>
      </c>
      <c r="G69" s="196">
        <f t="shared" si="11"/>
        <v>9454115.8660000004</v>
      </c>
      <c r="H69" s="196">
        <f t="shared" si="11"/>
        <v>80954381.723999977</v>
      </c>
      <c r="I69" s="196"/>
      <c r="J69" s="196"/>
      <c r="K69" s="196"/>
      <c r="L69" s="196"/>
    </row>
    <row r="70" spans="1:12" x14ac:dyDescent="0.2">
      <c r="A70" s="238" t="str">
        <f t="shared" si="10"/>
        <v xml:space="preserve">2002 Actual </v>
      </c>
      <c r="B70" s="238"/>
      <c r="C70" s="238"/>
      <c r="D70" s="196">
        <f>D30/D49*1000000</f>
        <v>8792.7230825499519</v>
      </c>
      <c r="E70" s="196">
        <f t="shared" ref="E70:H70" si="12">E30/E49*1000000</f>
        <v>37948.394854666891</v>
      </c>
      <c r="F70" s="196">
        <f t="shared" si="12"/>
        <v>739289.91384358017</v>
      </c>
      <c r="G70" s="196">
        <f t="shared" si="12"/>
        <v>10112038.897959184</v>
      </c>
      <c r="H70" s="196">
        <f t="shared" si="12"/>
        <v>79522758.333333343</v>
      </c>
      <c r="I70" s="196"/>
      <c r="J70" s="196"/>
      <c r="K70" s="196"/>
      <c r="L70" s="196"/>
    </row>
    <row r="71" spans="1:12" x14ac:dyDescent="0.2">
      <c r="A71" s="238" t="str">
        <f t="shared" si="10"/>
        <v xml:space="preserve">2003 Actual </v>
      </c>
      <c r="B71" s="238"/>
      <c r="C71" s="238"/>
      <c r="D71" s="196">
        <f t="shared" ref="D71:L82" si="13">D31/D50*1000000</f>
        <v>9303.7585312801584</v>
      </c>
      <c r="E71" s="196">
        <f t="shared" si="13"/>
        <v>39384.833056561547</v>
      </c>
      <c r="F71" s="196">
        <f t="shared" si="13"/>
        <v>726413.09371193405</v>
      </c>
      <c r="G71" s="196">
        <f t="shared" si="13"/>
        <v>10127651.807691896</v>
      </c>
      <c r="H71" s="196">
        <f t="shared" si="13"/>
        <v>78223773.000000015</v>
      </c>
      <c r="I71" s="196"/>
      <c r="J71" s="196">
        <f t="shared" si="13"/>
        <v>814.57768355470955</v>
      </c>
      <c r="K71" s="196"/>
      <c r="L71" s="196"/>
    </row>
    <row r="72" spans="1:12" x14ac:dyDescent="0.2">
      <c r="A72" s="238" t="str">
        <f t="shared" si="10"/>
        <v xml:space="preserve">2004 Actual </v>
      </c>
      <c r="B72" s="238"/>
      <c r="C72" s="238"/>
      <c r="D72" s="196">
        <f t="shared" si="13"/>
        <v>9040.8417088218848</v>
      </c>
      <c r="E72" s="196">
        <f t="shared" si="13"/>
        <v>39520.373532119658</v>
      </c>
      <c r="F72" s="196">
        <f t="shared" si="13"/>
        <v>748440.44256939797</v>
      </c>
      <c r="G72" s="196">
        <f t="shared" si="13"/>
        <v>9996628.9999999981</v>
      </c>
      <c r="H72" s="196">
        <f t="shared" si="13"/>
        <v>81724293.333333313</v>
      </c>
      <c r="I72" s="196"/>
      <c r="J72" s="196">
        <f t="shared" si="13"/>
        <v>811.32030079699962</v>
      </c>
      <c r="K72" s="196"/>
      <c r="L72" s="196"/>
    </row>
    <row r="73" spans="1:12" x14ac:dyDescent="0.2">
      <c r="A73" s="238" t="str">
        <f t="shared" si="10"/>
        <v xml:space="preserve">2005 Actual </v>
      </c>
      <c r="B73" s="238"/>
      <c r="C73" s="238"/>
      <c r="D73" s="196">
        <f t="shared" si="13"/>
        <v>9540.631445754274</v>
      </c>
      <c r="E73" s="196">
        <f t="shared" si="13"/>
        <v>40305.941505536961</v>
      </c>
      <c r="F73" s="196">
        <f t="shared" si="13"/>
        <v>753500.45735210052</v>
      </c>
      <c r="G73" s="196">
        <f t="shared" si="13"/>
        <v>10135115.144209845</v>
      </c>
      <c r="H73" s="196">
        <f t="shared" si="13"/>
        <v>85447129.846669495</v>
      </c>
      <c r="I73" s="196"/>
      <c r="J73" s="196">
        <f t="shared" si="13"/>
        <v>802.20074152008578</v>
      </c>
      <c r="K73" s="196"/>
      <c r="L73" s="196"/>
    </row>
    <row r="74" spans="1:12" x14ac:dyDescent="0.2">
      <c r="A74" s="238" t="str">
        <f t="shared" si="10"/>
        <v xml:space="preserve">2006 Actual </v>
      </c>
      <c r="B74" s="238"/>
      <c r="C74" s="238"/>
      <c r="D74" s="196">
        <f t="shared" si="13"/>
        <v>9076.7009262821612</v>
      </c>
      <c r="E74" s="196">
        <f t="shared" si="13"/>
        <v>38347.185172637845</v>
      </c>
      <c r="F74" s="196">
        <f t="shared" si="13"/>
        <v>706685.75359590736</v>
      </c>
      <c r="G74" s="196">
        <f t="shared" si="13"/>
        <v>8415274.259600848</v>
      </c>
      <c r="H74" s="196">
        <f t="shared" si="13"/>
        <v>100840725.564</v>
      </c>
      <c r="I74" s="196">
        <f t="shared" si="13"/>
        <v>42759994.270000003</v>
      </c>
      <c r="J74" s="196">
        <f t="shared" si="13"/>
        <v>771.68643512033566</v>
      </c>
      <c r="K74" s="196">
        <f t="shared" si="13"/>
        <v>5808.7245563539936</v>
      </c>
      <c r="L74" s="196"/>
    </row>
    <row r="75" spans="1:12" x14ac:dyDescent="0.2">
      <c r="A75" s="238" t="str">
        <f t="shared" si="10"/>
        <v xml:space="preserve">2007 Actual </v>
      </c>
      <c r="B75" s="238"/>
      <c r="C75" s="238"/>
      <c r="D75" s="196">
        <f t="shared" si="13"/>
        <v>9153.2256721902322</v>
      </c>
      <c r="E75" s="196">
        <f t="shared" si="13"/>
        <v>38758.289334587418</v>
      </c>
      <c r="F75" s="196">
        <f t="shared" si="13"/>
        <v>701008.02986795979</v>
      </c>
      <c r="G75" s="196">
        <f t="shared" si="13"/>
        <v>7959260.4631572273</v>
      </c>
      <c r="H75" s="196">
        <f t="shared" si="13"/>
        <v>126046174.23999564</v>
      </c>
      <c r="I75" s="196">
        <f t="shared" si="13"/>
        <v>42771842.82</v>
      </c>
      <c r="J75" s="196">
        <f t="shared" si="13"/>
        <v>771.64656111335228</v>
      </c>
      <c r="K75" s="196">
        <f t="shared" si="13"/>
        <v>4528.8251249231444</v>
      </c>
      <c r="L75" s="196"/>
    </row>
    <row r="76" spans="1:12" x14ac:dyDescent="0.2">
      <c r="A76" s="238" t="str">
        <f t="shared" si="10"/>
        <v xml:space="preserve">2008 Actual </v>
      </c>
      <c r="B76" s="238"/>
      <c r="C76" s="238"/>
      <c r="D76" s="196">
        <f t="shared" si="13"/>
        <v>8917.9326246403143</v>
      </c>
      <c r="E76" s="196">
        <f t="shared" si="13"/>
        <v>38270.082546105012</v>
      </c>
      <c r="F76" s="196">
        <f t="shared" si="13"/>
        <v>671152.88069500064</v>
      </c>
      <c r="G76" s="196">
        <f t="shared" si="13"/>
        <v>7864402.1861153571</v>
      </c>
      <c r="H76" s="196">
        <f t="shared" si="13"/>
        <v>115148877.55499917</v>
      </c>
      <c r="I76" s="196">
        <f t="shared" si="13"/>
        <v>42936833.090000004</v>
      </c>
      <c r="J76" s="196">
        <f t="shared" si="13"/>
        <v>764.13327160167648</v>
      </c>
      <c r="K76" s="196">
        <f t="shared" si="13"/>
        <v>4621.9523807213536</v>
      </c>
      <c r="L76" s="196"/>
    </row>
    <row r="77" spans="1:12" s="206" customFormat="1" ht="15" x14ac:dyDescent="0.25">
      <c r="A77" s="238" t="str">
        <f t="shared" si="10"/>
        <v xml:space="preserve">2009 Actual </v>
      </c>
      <c r="B77" s="238"/>
      <c r="C77" s="189"/>
      <c r="D77" s="196">
        <f t="shared" si="13"/>
        <v>8639.3480086025338</v>
      </c>
      <c r="E77" s="196">
        <f t="shared" si="13"/>
        <v>35304.546677693681</v>
      </c>
      <c r="F77" s="196">
        <f t="shared" si="13"/>
        <v>624043.24213462556</v>
      </c>
      <c r="G77" s="196">
        <f t="shared" si="13"/>
        <v>7283120.2011315906</v>
      </c>
      <c r="H77" s="196">
        <f t="shared" si="13"/>
        <v>90339539.399996996</v>
      </c>
      <c r="I77" s="196">
        <f t="shared" si="13"/>
        <v>43206777.520000003</v>
      </c>
      <c r="J77" s="196">
        <f t="shared" si="13"/>
        <v>760.10515349541504</v>
      </c>
      <c r="K77" s="196">
        <f t="shared" si="13"/>
        <v>4288.4677558858666</v>
      </c>
      <c r="L77" s="196">
        <f t="shared" si="13"/>
        <v>27136267.779458601</v>
      </c>
    </row>
    <row r="78" spans="1:12" s="206" customFormat="1" ht="15" x14ac:dyDescent="0.25">
      <c r="A78" s="238" t="str">
        <f t="shared" si="10"/>
        <v xml:space="preserve">2010 Actual </v>
      </c>
      <c r="B78" s="238"/>
      <c r="C78" s="189"/>
      <c r="D78" s="196">
        <f t="shared" si="13"/>
        <v>8821.5143507970934</v>
      </c>
      <c r="E78" s="196">
        <f t="shared" si="13"/>
        <v>35508.230412391196</v>
      </c>
      <c r="F78" s="196">
        <f t="shared" si="13"/>
        <v>602420.55870491301</v>
      </c>
      <c r="G78" s="196">
        <f t="shared" si="13"/>
        <v>8496833.4022547808</v>
      </c>
      <c r="H78" s="196">
        <f t="shared" si="13"/>
        <v>98278640.311352804</v>
      </c>
      <c r="I78" s="196">
        <f t="shared" si="13"/>
        <v>43796746.469999999</v>
      </c>
      <c r="J78" s="196">
        <f t="shared" si="13"/>
        <v>757.9890848863397</v>
      </c>
      <c r="K78" s="196">
        <f t="shared" si="13"/>
        <v>3963.2407637355345</v>
      </c>
      <c r="L78" s="196">
        <f t="shared" si="13"/>
        <v>24905414.236567497</v>
      </c>
    </row>
    <row r="79" spans="1:12" s="206" customFormat="1" ht="15" x14ac:dyDescent="0.25">
      <c r="A79" s="238" t="str">
        <f t="shared" si="10"/>
        <v xml:space="preserve">2011 Actual </v>
      </c>
      <c r="B79" s="238"/>
      <c r="C79" s="189"/>
      <c r="D79" s="196">
        <f t="shared" si="13"/>
        <v>8662.131701650429</v>
      </c>
      <c r="E79" s="196">
        <f t="shared" si="13"/>
        <v>34198.524515304656</v>
      </c>
      <c r="F79" s="196">
        <f t="shared" si="13"/>
        <v>604228.10792279441</v>
      </c>
      <c r="G79" s="196">
        <f t="shared" si="13"/>
        <v>8598827.6741832234</v>
      </c>
      <c r="H79" s="196">
        <f t="shared" si="13"/>
        <v>84597900.095934883</v>
      </c>
      <c r="I79" s="196">
        <f t="shared" si="13"/>
        <v>46753740.940000005</v>
      </c>
      <c r="J79" s="196">
        <f t="shared" si="13"/>
        <v>754.10825158583168</v>
      </c>
      <c r="K79" s="196">
        <f t="shared" si="13"/>
        <v>4018.6794702854008</v>
      </c>
      <c r="L79" s="196">
        <f t="shared" si="13"/>
        <v>25633242.453565735</v>
      </c>
    </row>
    <row r="80" spans="1:12" s="206" customFormat="1" ht="15" x14ac:dyDescent="0.25">
      <c r="A80" s="238" t="str">
        <f t="shared" si="10"/>
        <v xml:space="preserve">2012 Actual </v>
      </c>
      <c r="B80" s="238"/>
      <c r="C80" s="189"/>
      <c r="D80" s="196">
        <f t="shared" si="13"/>
        <v>8633.477980961592</v>
      </c>
      <c r="E80" s="196">
        <f t="shared" si="13"/>
        <v>34025.967469642819</v>
      </c>
      <c r="F80" s="196">
        <f t="shared" si="13"/>
        <v>593891.75762258796</v>
      </c>
      <c r="G80" s="196">
        <f t="shared" si="13"/>
        <v>8378886.6359366057</v>
      </c>
      <c r="H80" s="196">
        <f t="shared" si="13"/>
        <v>100594752.60625</v>
      </c>
      <c r="I80" s="196">
        <f t="shared" si="13"/>
        <v>45452655.189999998</v>
      </c>
      <c r="J80" s="196">
        <f t="shared" si="13"/>
        <v>758.14896959779435</v>
      </c>
      <c r="K80" s="196">
        <f t="shared" si="13"/>
        <v>4108.8472920388394</v>
      </c>
      <c r="L80" s="196">
        <f t="shared" si="13"/>
        <v>22395380.176944394</v>
      </c>
    </row>
    <row r="81" spans="1:16" s="206" customFormat="1" ht="15" x14ac:dyDescent="0.25">
      <c r="A81" s="189" t="str">
        <f t="shared" si="10"/>
        <v>2013 Bridge</v>
      </c>
      <c r="B81" s="189"/>
      <c r="C81" s="189"/>
      <c r="D81" s="204">
        <f t="shared" si="13"/>
        <v>8303.9226217272244</v>
      </c>
      <c r="E81" s="204">
        <f t="shared" si="13"/>
        <v>32722.691682914479</v>
      </c>
      <c r="F81" s="204">
        <f t="shared" si="13"/>
        <v>570393.80665357294</v>
      </c>
      <c r="G81" s="204">
        <f t="shared" si="13"/>
        <v>8184073.9015636286</v>
      </c>
      <c r="H81" s="204">
        <f t="shared" si="13"/>
        <v>102168760.87174278</v>
      </c>
      <c r="I81" s="204">
        <f t="shared" si="13"/>
        <v>45724232.197163619</v>
      </c>
      <c r="J81" s="204">
        <f t="shared" si="13"/>
        <v>748.95758710979567</v>
      </c>
      <c r="K81" s="204">
        <f t="shared" si="13"/>
        <v>3862.1288920844822</v>
      </c>
      <c r="L81" s="204">
        <f t="shared" si="13"/>
        <v>22052786.836872753</v>
      </c>
    </row>
    <row r="82" spans="1:16" s="206" customFormat="1" ht="15" x14ac:dyDescent="0.25">
      <c r="A82" s="189" t="str">
        <f t="shared" si="10"/>
        <v>2014 Test</v>
      </c>
      <c r="B82" s="189"/>
      <c r="C82" s="189"/>
      <c r="D82" s="204">
        <f t="shared" si="13"/>
        <v>8082.1149489153404</v>
      </c>
      <c r="E82" s="204">
        <f t="shared" si="13"/>
        <v>31844.305354066917</v>
      </c>
      <c r="F82" s="204">
        <f t="shared" si="13"/>
        <v>551624.60397607263</v>
      </c>
      <c r="G82" s="204">
        <f t="shared" si="13"/>
        <v>8010853.4447582504</v>
      </c>
      <c r="H82" s="204">
        <f t="shared" si="13"/>
        <v>103536174.50390337</v>
      </c>
      <c r="I82" s="204">
        <f t="shared" si="13"/>
        <v>45894936.545319714</v>
      </c>
      <c r="J82" s="204">
        <f t="shared" si="13"/>
        <v>738.22897881506401</v>
      </c>
      <c r="K82" s="204">
        <f t="shared" si="13"/>
        <v>3622.1356884724114</v>
      </c>
      <c r="L82" s="204">
        <f t="shared" si="13"/>
        <v>21715434.318601597</v>
      </c>
    </row>
    <row r="83" spans="1:16" x14ac:dyDescent="0.2">
      <c r="A83" s="387"/>
      <c r="B83" s="387"/>
      <c r="C83" s="387"/>
      <c r="D83" s="387"/>
      <c r="E83" s="387"/>
      <c r="F83" s="387"/>
      <c r="G83" s="387"/>
      <c r="H83" s="387"/>
      <c r="I83" s="387"/>
      <c r="J83" s="387"/>
      <c r="K83" s="387"/>
      <c r="L83" s="387"/>
    </row>
    <row r="84" spans="1:16" ht="15" x14ac:dyDescent="0.2">
      <c r="A84" s="388" t="s">
        <v>90</v>
      </c>
      <c r="B84" s="388"/>
      <c r="C84" s="388"/>
      <c r="D84" s="388"/>
      <c r="E84" s="388"/>
      <c r="F84" s="388"/>
      <c r="G84" s="388"/>
      <c r="H84" s="388"/>
      <c r="I84" s="388"/>
      <c r="J84" s="388"/>
      <c r="K84" s="388"/>
      <c r="L84" s="388"/>
    </row>
    <row r="85" spans="1:16" ht="15" x14ac:dyDescent="0.2">
      <c r="A85" s="389"/>
      <c r="B85" s="389"/>
      <c r="C85" s="389"/>
      <c r="D85" s="389"/>
      <c r="E85" s="389"/>
      <c r="F85" s="389"/>
      <c r="G85" s="389"/>
      <c r="H85" s="389"/>
      <c r="I85" s="389"/>
      <c r="J85" s="389"/>
      <c r="K85" s="389"/>
      <c r="L85" s="389"/>
    </row>
    <row r="86" spans="1:16" ht="30" customHeight="1" x14ac:dyDescent="0.2">
      <c r="A86" s="385" t="s">
        <v>179</v>
      </c>
      <c r="B86" s="386"/>
      <c r="C86" s="218"/>
      <c r="D86" s="195">
        <f>D67/D78-1</f>
        <v>-2.2785149387103076E-2</v>
      </c>
      <c r="E86" s="195">
        <f t="shared" ref="E86:L86" si="14">E67/E78-1</f>
        <v>3.3957971707406331E-2</v>
      </c>
      <c r="F86" s="195">
        <f t="shared" si="14"/>
        <v>0.13377042793694716</v>
      </c>
      <c r="G86" s="195">
        <f t="shared" si="14"/>
        <v>1.6686738580468541E-2</v>
      </c>
      <c r="H86" s="195">
        <f t="shared" si="14"/>
        <v>-0.18952327028888682</v>
      </c>
      <c r="I86" s="195"/>
      <c r="J86" s="195">
        <f t="shared" si="14"/>
        <v>-1.7541664297676784E-2</v>
      </c>
      <c r="K86" s="195">
        <f t="shared" si="14"/>
        <v>-7.6358558449398317E-2</v>
      </c>
      <c r="L86" s="195">
        <f t="shared" si="14"/>
        <v>6.9430114552907929E-2</v>
      </c>
    </row>
    <row r="87" spans="1:16" ht="15" x14ac:dyDescent="0.2">
      <c r="A87" s="389"/>
      <c r="B87" s="389"/>
      <c r="C87" s="389"/>
      <c r="D87" s="389"/>
      <c r="E87" s="389"/>
      <c r="F87" s="389"/>
      <c r="G87" s="389"/>
      <c r="H87" s="389"/>
      <c r="I87" s="389"/>
      <c r="J87" s="389"/>
      <c r="K87" s="389"/>
      <c r="L87" s="389"/>
    </row>
    <row r="88" spans="1:16" x14ac:dyDescent="0.2">
      <c r="A88" s="219" t="str">
        <f t="shared" ref="A88:A101" si="15">A69</f>
        <v xml:space="preserve">2001 Actual </v>
      </c>
      <c r="B88" s="219"/>
      <c r="C88" s="219"/>
      <c r="D88" s="195"/>
      <c r="E88" s="195"/>
      <c r="F88" s="195"/>
      <c r="G88" s="195"/>
      <c r="H88" s="195"/>
      <c r="I88" s="195"/>
      <c r="J88" s="195"/>
      <c r="K88" s="195"/>
      <c r="L88" s="195"/>
    </row>
    <row r="89" spans="1:16" x14ac:dyDescent="0.2">
      <c r="A89" s="219" t="str">
        <f t="shared" si="15"/>
        <v xml:space="preserve">2002 Actual </v>
      </c>
      <c r="B89" s="219"/>
      <c r="C89" s="219"/>
      <c r="D89" s="195">
        <f>D70/D69-1</f>
        <v>-6.2000874973389464E-2</v>
      </c>
      <c r="E89" s="195">
        <f t="shared" ref="E89:H89" si="16">E70/E69-1</f>
        <v>2.5649757089268865E-2</v>
      </c>
      <c r="F89" s="195">
        <f t="shared" si="16"/>
        <v>1.4609999971088916E-2</v>
      </c>
      <c r="G89" s="195">
        <f t="shared" si="16"/>
        <v>6.9591175027300389E-2</v>
      </c>
      <c r="H89" s="195">
        <f t="shared" si="16"/>
        <v>-1.7684322456411383E-2</v>
      </c>
      <c r="I89" s="195"/>
      <c r="J89" s="195"/>
      <c r="K89" s="195"/>
      <c r="L89" s="195"/>
    </row>
    <row r="90" spans="1:16" x14ac:dyDescent="0.2">
      <c r="A90" s="219" t="str">
        <f t="shared" si="15"/>
        <v xml:space="preserve">2003 Actual </v>
      </c>
      <c r="B90" s="219"/>
      <c r="C90" s="219"/>
      <c r="D90" s="195">
        <f>D71/D70-1</f>
        <v>5.8120271039174165E-2</v>
      </c>
      <c r="E90" s="195">
        <f t="shared" ref="E90:H90" si="17">E71/E70-1</f>
        <v>3.7852410026718353E-2</v>
      </c>
      <c r="F90" s="195">
        <f t="shared" si="17"/>
        <v>-1.7417822008012118E-2</v>
      </c>
      <c r="G90" s="195">
        <f t="shared" si="17"/>
        <v>1.5439922542093143E-3</v>
      </c>
      <c r="H90" s="195">
        <f t="shared" si="17"/>
        <v>-1.6334762029863281E-2</v>
      </c>
      <c r="I90" s="195"/>
      <c r="J90" s="195"/>
      <c r="K90" s="195"/>
      <c r="L90" s="195"/>
    </row>
    <row r="91" spans="1:16" x14ac:dyDescent="0.2">
      <c r="A91" s="219" t="str">
        <f t="shared" si="15"/>
        <v xml:space="preserve">2004 Actual </v>
      </c>
      <c r="B91" s="219"/>
      <c r="C91" s="219"/>
      <c r="D91" s="195">
        <f t="shared" ref="D91:L101" si="18">D72/D71-1</f>
        <v>-2.8259205306578106E-2</v>
      </c>
      <c r="E91" s="195">
        <f t="shared" si="18"/>
        <v>3.4414383669840731E-3</v>
      </c>
      <c r="F91" s="195">
        <f t="shared" si="18"/>
        <v>3.0323446876356908E-2</v>
      </c>
      <c r="G91" s="195">
        <f t="shared" si="18"/>
        <v>-1.2937135890906837E-2</v>
      </c>
      <c r="H91" s="195">
        <f t="shared" si="18"/>
        <v>4.475008298734573E-2</v>
      </c>
      <c r="I91" s="195"/>
      <c r="J91" s="195">
        <f t="shared" si="18"/>
        <v>-3.9988607882002203E-3</v>
      </c>
      <c r="K91" s="195"/>
      <c r="L91" s="195"/>
    </row>
    <row r="92" spans="1:16" x14ac:dyDescent="0.2">
      <c r="A92" s="219" t="str">
        <f t="shared" si="15"/>
        <v xml:space="preserve">2005 Actual </v>
      </c>
      <c r="B92" s="219"/>
      <c r="C92" s="219"/>
      <c r="D92" s="195">
        <f t="shared" si="18"/>
        <v>5.528132811402986E-2</v>
      </c>
      <c r="E92" s="195">
        <f t="shared" si="18"/>
        <v>1.9877544243827705E-2</v>
      </c>
      <c r="F92" s="195">
        <f t="shared" si="18"/>
        <v>6.7607447365236606E-3</v>
      </c>
      <c r="G92" s="195">
        <f t="shared" si="18"/>
        <v>1.3853284363143592E-2</v>
      </c>
      <c r="H92" s="195">
        <f t="shared" si="18"/>
        <v>4.5553609110471571E-2</v>
      </c>
      <c r="I92" s="195"/>
      <c r="J92" s="195">
        <f t="shared" si="18"/>
        <v>-1.124039330453741E-2</v>
      </c>
      <c r="K92" s="195"/>
      <c r="L92" s="195"/>
    </row>
    <row r="93" spans="1:16" x14ac:dyDescent="0.2">
      <c r="A93" s="219" t="str">
        <f t="shared" si="15"/>
        <v xml:space="preserve">2006 Actual </v>
      </c>
      <c r="B93" s="219"/>
      <c r="C93" s="219"/>
      <c r="D93" s="195">
        <f t="shared" si="18"/>
        <v>-4.862681491365739E-2</v>
      </c>
      <c r="E93" s="195">
        <f t="shared" si="18"/>
        <v>-4.8597210727109208E-2</v>
      </c>
      <c r="F93" s="195">
        <f t="shared" si="18"/>
        <v>-6.2129628853453078E-2</v>
      </c>
      <c r="G93" s="195">
        <f t="shared" si="18"/>
        <v>-0.1696913019869869</v>
      </c>
      <c r="H93" s="195">
        <f t="shared" si="18"/>
        <v>0.18015345565092145</v>
      </c>
      <c r="I93" s="195"/>
      <c r="J93" s="195">
        <f t="shared" si="18"/>
        <v>-3.8038242574955361E-2</v>
      </c>
      <c r="K93" s="195"/>
      <c r="L93" s="195"/>
    </row>
    <row r="94" spans="1:16" s="206" customFormat="1" ht="15" x14ac:dyDescent="0.25">
      <c r="A94" s="219" t="str">
        <f t="shared" si="15"/>
        <v xml:space="preserve">2007 Actual </v>
      </c>
      <c r="B94" s="220"/>
      <c r="C94" s="220"/>
      <c r="D94" s="195">
        <f t="shared" si="18"/>
        <v>8.4308986855001766E-3</v>
      </c>
      <c r="E94" s="195">
        <f t="shared" si="18"/>
        <v>1.0720582491225761E-2</v>
      </c>
      <c r="F94" s="195">
        <f t="shared" si="18"/>
        <v>-8.0342977045412267E-3</v>
      </c>
      <c r="G94" s="195">
        <f t="shared" si="18"/>
        <v>-5.4188821703982093E-2</v>
      </c>
      <c r="H94" s="195">
        <f t="shared" si="18"/>
        <v>0.24995306742411971</v>
      </c>
      <c r="I94" s="195">
        <f t="shared" si="18"/>
        <v>2.7709428409128378E-4</v>
      </c>
      <c r="J94" s="195">
        <f t="shared" si="18"/>
        <v>-5.1671255536844818E-5</v>
      </c>
      <c r="K94" s="195">
        <f t="shared" si="18"/>
        <v>-0.22034087156548077</v>
      </c>
      <c r="L94" s="195"/>
    </row>
    <row r="95" spans="1:16" s="206" customFormat="1" ht="15" x14ac:dyDescent="0.25">
      <c r="A95" s="219" t="str">
        <f t="shared" si="15"/>
        <v xml:space="preserve">2008 Actual </v>
      </c>
      <c r="B95" s="220"/>
      <c r="C95" s="220"/>
      <c r="D95" s="195">
        <f t="shared" si="18"/>
        <v>-2.5706024955202023E-2</v>
      </c>
      <c r="E95" s="195">
        <f t="shared" si="18"/>
        <v>-1.2596190308294508E-2</v>
      </c>
      <c r="F95" s="195">
        <f t="shared" si="18"/>
        <v>-4.2588883295078039E-2</v>
      </c>
      <c r="G95" s="195">
        <f t="shared" si="18"/>
        <v>-1.1917976234219418E-2</v>
      </c>
      <c r="H95" s="195">
        <f t="shared" si="18"/>
        <v>-8.6454799209119138E-2</v>
      </c>
      <c r="I95" s="195">
        <f t="shared" si="18"/>
        <v>3.8574505824857663E-3</v>
      </c>
      <c r="J95" s="195">
        <f t="shared" si="18"/>
        <v>-9.7366979784571095E-3</v>
      </c>
      <c r="K95" s="195">
        <f t="shared" si="18"/>
        <v>2.0563226273787594E-2</v>
      </c>
      <c r="L95" s="195"/>
      <c r="M95" s="221"/>
      <c r="N95" s="221"/>
      <c r="O95" s="221"/>
      <c r="P95" s="221"/>
    </row>
    <row r="96" spans="1:16" s="206" customFormat="1" ht="15" x14ac:dyDescent="0.25">
      <c r="A96" s="219" t="str">
        <f t="shared" si="15"/>
        <v xml:space="preserve">2009 Actual </v>
      </c>
      <c r="B96" s="220"/>
      <c r="C96" s="220"/>
      <c r="D96" s="195">
        <f t="shared" si="18"/>
        <v>-3.1238699344739329E-2</v>
      </c>
      <c r="E96" s="195">
        <f t="shared" si="18"/>
        <v>-7.7489664801184244E-2</v>
      </c>
      <c r="F96" s="195">
        <f t="shared" si="18"/>
        <v>-7.0192112580358068E-2</v>
      </c>
      <c r="G96" s="195">
        <f t="shared" si="18"/>
        <v>-7.3913054193746941E-2</v>
      </c>
      <c r="H96" s="195">
        <f t="shared" si="18"/>
        <v>-0.21545445063632829</v>
      </c>
      <c r="I96" s="195">
        <f t="shared" si="18"/>
        <v>6.2870130508734245E-3</v>
      </c>
      <c r="J96" s="195">
        <f t="shared" si="18"/>
        <v>-5.2714863440224136E-3</v>
      </c>
      <c r="K96" s="195">
        <f t="shared" si="18"/>
        <v>-7.2152328143077815E-2</v>
      </c>
      <c r="L96" s="195"/>
      <c r="M96" s="222"/>
      <c r="N96" s="222"/>
      <c r="O96" s="222"/>
      <c r="P96" s="222"/>
    </row>
    <row r="97" spans="1:12" s="206" customFormat="1" ht="15" x14ac:dyDescent="0.25">
      <c r="A97" s="219" t="str">
        <f t="shared" si="15"/>
        <v xml:space="preserve">2010 Actual </v>
      </c>
      <c r="B97" s="220"/>
      <c r="C97" s="220"/>
      <c r="D97" s="195">
        <f t="shared" si="18"/>
        <v>2.1085658548905428E-2</v>
      </c>
      <c r="E97" s="195">
        <f t="shared" si="18"/>
        <v>5.7693343737565961E-3</v>
      </c>
      <c r="F97" s="195">
        <f t="shared" si="18"/>
        <v>-3.4649335125798597E-2</v>
      </c>
      <c r="G97" s="195">
        <f t="shared" si="18"/>
        <v>0.16664742138055244</v>
      </c>
      <c r="H97" s="195">
        <f t="shared" si="18"/>
        <v>8.788068839053742E-2</v>
      </c>
      <c r="I97" s="195">
        <f t="shared" si="18"/>
        <v>1.3654546436074888E-2</v>
      </c>
      <c r="J97" s="195">
        <f t="shared" si="18"/>
        <v>-2.7839156192329684E-3</v>
      </c>
      <c r="K97" s="195">
        <f t="shared" si="18"/>
        <v>-7.583757431869742E-2</v>
      </c>
      <c r="L97" s="195">
        <f t="shared" si="18"/>
        <v>-8.2209298678125431E-2</v>
      </c>
    </row>
    <row r="98" spans="1:12" s="206" customFormat="1" ht="15" x14ac:dyDescent="0.25">
      <c r="A98" s="219" t="str">
        <f t="shared" si="15"/>
        <v xml:space="preserve">2011 Actual </v>
      </c>
      <c r="B98" s="219"/>
      <c r="C98" s="224"/>
      <c r="D98" s="195">
        <f t="shared" si="18"/>
        <v>-1.8067493041289739E-2</v>
      </c>
      <c r="E98" s="195">
        <f t="shared" si="18"/>
        <v>-3.6884572446322039E-2</v>
      </c>
      <c r="F98" s="195">
        <f t="shared" si="18"/>
        <v>3.0004773106802052E-3</v>
      </c>
      <c r="G98" s="195">
        <f t="shared" si="18"/>
        <v>1.2003798015078893E-2</v>
      </c>
      <c r="H98" s="195">
        <f t="shared" si="18"/>
        <v>-0.13920359675384697</v>
      </c>
      <c r="I98" s="195">
        <f t="shared" si="18"/>
        <v>6.7516304482240441E-2</v>
      </c>
      <c r="J98" s="195">
        <f t="shared" si="18"/>
        <v>-5.1199065763459783E-3</v>
      </c>
      <c r="K98" s="195">
        <f t="shared" si="18"/>
        <v>1.3988225761387474E-2</v>
      </c>
      <c r="L98" s="195">
        <f t="shared" si="18"/>
        <v>2.9223694498106356E-2</v>
      </c>
    </row>
    <row r="99" spans="1:12" s="206" customFormat="1" ht="15" x14ac:dyDescent="0.25">
      <c r="A99" s="219" t="str">
        <f t="shared" si="15"/>
        <v xml:space="preserve">2012 Actual </v>
      </c>
      <c r="B99" s="219"/>
      <c r="C99" s="224"/>
      <c r="D99" s="195">
        <f t="shared" si="18"/>
        <v>-3.3079294653737268E-3</v>
      </c>
      <c r="E99" s="195">
        <f t="shared" si="18"/>
        <v>-5.0457453386508755E-3</v>
      </c>
      <c r="F99" s="195">
        <f t="shared" si="18"/>
        <v>-1.7106702195203383E-2</v>
      </c>
      <c r="G99" s="195">
        <f t="shared" si="18"/>
        <v>-2.5578026049639324E-2</v>
      </c>
      <c r="H99" s="195">
        <f t="shared" si="18"/>
        <v>0.18909278471657709</v>
      </c>
      <c r="I99" s="195">
        <f t="shared" si="18"/>
        <v>-2.7828484391649311E-2</v>
      </c>
      <c r="J99" s="195">
        <f t="shared" si="18"/>
        <v>5.3582731702848108E-3</v>
      </c>
      <c r="K99" s="195">
        <f t="shared" si="18"/>
        <v>2.2437176794056546E-2</v>
      </c>
      <c r="L99" s="195">
        <f t="shared" si="18"/>
        <v>-0.12631497097905908</v>
      </c>
    </row>
    <row r="100" spans="1:12" s="206" customFormat="1" ht="15" x14ac:dyDescent="0.25">
      <c r="A100" s="220" t="str">
        <f t="shared" si="15"/>
        <v>2013 Bridge</v>
      </c>
      <c r="B100" s="220"/>
      <c r="C100" s="224"/>
      <c r="D100" s="203">
        <f t="shared" si="18"/>
        <v>-3.8171795881230985E-2</v>
      </c>
      <c r="E100" s="203">
        <f t="shared" si="18"/>
        <v>-3.8302387371970892E-2</v>
      </c>
      <c r="F100" s="203">
        <f t="shared" si="18"/>
        <v>-3.9566049987088237E-2</v>
      </c>
      <c r="G100" s="203">
        <f t="shared" si="18"/>
        <v>-2.325043204874444E-2</v>
      </c>
      <c r="H100" s="203">
        <f t="shared" si="18"/>
        <v>1.5647021586243204E-2</v>
      </c>
      <c r="I100" s="203">
        <f t="shared" si="18"/>
        <v>5.9749426304884778E-3</v>
      </c>
      <c r="J100" s="203">
        <f t="shared" si="18"/>
        <v>-1.2123451797177554E-2</v>
      </c>
      <c r="K100" s="203">
        <f t="shared" si="18"/>
        <v>-6.0045648430982146E-2</v>
      </c>
      <c r="L100" s="203">
        <f t="shared" si="18"/>
        <v>-1.529750052755674E-2</v>
      </c>
    </row>
    <row r="101" spans="1:12" s="206" customFormat="1" ht="15" x14ac:dyDescent="0.25">
      <c r="A101" s="220" t="str">
        <f t="shared" si="15"/>
        <v>2014 Test</v>
      </c>
      <c r="B101" s="220"/>
      <c r="C101" s="224"/>
      <c r="D101" s="203">
        <f t="shared" si="18"/>
        <v>-2.6711192157730879E-2</v>
      </c>
      <c r="E101" s="203">
        <f t="shared" si="18"/>
        <v>-2.6843339703200408E-2</v>
      </c>
      <c r="F101" s="203">
        <f t="shared" si="18"/>
        <v>-3.2905691574066753E-2</v>
      </c>
      <c r="G101" s="203">
        <f t="shared" si="18"/>
        <v>-2.116555384138008E-2</v>
      </c>
      <c r="H101" s="203">
        <f t="shared" si="18"/>
        <v>1.3383872139519859E-2</v>
      </c>
      <c r="I101" s="203">
        <f t="shared" si="18"/>
        <v>3.7333453172054831E-3</v>
      </c>
      <c r="J101" s="203">
        <f t="shared" si="18"/>
        <v>-1.4324720757730836E-2</v>
      </c>
      <c r="K101" s="203">
        <f t="shared" si="18"/>
        <v>-6.2140133154007904E-2</v>
      </c>
      <c r="L101" s="203">
        <f t="shared" si="18"/>
        <v>-1.5297500527556629E-2</v>
      </c>
    </row>
    <row r="102" spans="1:12" s="206" customFormat="1" ht="15" x14ac:dyDescent="0.25">
      <c r="A102" s="223"/>
      <c r="B102" s="224"/>
      <c r="C102" s="224"/>
      <c r="D102" s="225"/>
      <c r="E102" s="225"/>
      <c r="F102" s="225"/>
      <c r="G102" s="225"/>
      <c r="H102" s="225"/>
      <c r="I102" s="225"/>
      <c r="J102" s="197"/>
    </row>
    <row r="103" spans="1:12" s="206" customFormat="1" ht="15" x14ac:dyDescent="0.25">
      <c r="A103" s="223"/>
      <c r="B103" s="224"/>
      <c r="C103" s="224"/>
      <c r="D103" s="225"/>
      <c r="E103" s="225"/>
      <c r="F103" s="225"/>
      <c r="G103" s="225"/>
      <c r="H103" s="225"/>
      <c r="I103" s="225"/>
      <c r="J103" s="197"/>
    </row>
    <row r="104" spans="1:12" s="206" customFormat="1" ht="15" x14ac:dyDescent="0.25">
      <c r="A104" s="223"/>
      <c r="B104" s="224"/>
      <c r="C104" s="224"/>
      <c r="D104" s="225"/>
      <c r="E104" s="225"/>
      <c r="F104" s="225"/>
      <c r="G104" s="225"/>
      <c r="H104" s="225"/>
      <c r="I104" s="225"/>
      <c r="J104" s="197"/>
    </row>
    <row r="105" spans="1:12" ht="27.75" customHeight="1" x14ac:dyDescent="0.2">
      <c r="D105" s="415" t="s">
        <v>232</v>
      </c>
      <c r="E105" s="416"/>
      <c r="F105" s="416"/>
      <c r="G105" s="416"/>
      <c r="H105" s="417"/>
      <c r="J105" s="197"/>
    </row>
    <row r="106" spans="1:12" x14ac:dyDescent="0.2">
      <c r="D106" s="409" t="s">
        <v>230</v>
      </c>
      <c r="E106" s="409"/>
      <c r="F106" s="409"/>
      <c r="G106" s="409"/>
      <c r="H106" s="409"/>
      <c r="J106" s="197"/>
    </row>
    <row r="107" spans="1:12" x14ac:dyDescent="0.2">
      <c r="D107" s="410">
        <f>'CDM Activity'!P2</f>
        <v>73660000</v>
      </c>
      <c r="E107" s="410"/>
      <c r="F107" s="410"/>
      <c r="G107" s="410"/>
      <c r="H107" s="410"/>
      <c r="J107" s="197"/>
    </row>
    <row r="108" spans="1:12" x14ac:dyDescent="0.2">
      <c r="D108" s="226">
        <v>2011</v>
      </c>
      <c r="E108" s="226">
        <v>2012</v>
      </c>
      <c r="F108" s="226">
        <v>2013</v>
      </c>
      <c r="G108" s="226">
        <v>2014</v>
      </c>
      <c r="H108" s="226" t="s">
        <v>12</v>
      </c>
      <c r="J108" s="197"/>
    </row>
    <row r="109" spans="1:12" hidden="1" x14ac:dyDescent="0.2">
      <c r="D109" s="227">
        <f>'CDM Activity'!P7</f>
        <v>0</v>
      </c>
      <c r="E109" s="228">
        <f>'CDM Activity'!Q7</f>
        <v>0.10738528373608472</v>
      </c>
      <c r="F109" s="228">
        <f>E109</f>
        <v>0.10738528373608472</v>
      </c>
      <c r="G109" s="228">
        <f>F109</f>
        <v>0.10738528373608472</v>
      </c>
      <c r="H109" s="228">
        <f>SUM(D109:G109)</f>
        <v>0.32215585120825418</v>
      </c>
      <c r="J109" s="197"/>
    </row>
    <row r="110" spans="1:12" x14ac:dyDescent="0.2">
      <c r="D110" s="409" t="s">
        <v>229</v>
      </c>
      <c r="E110" s="409"/>
      <c r="F110" s="409"/>
      <c r="G110" s="409"/>
      <c r="H110" s="409"/>
      <c r="J110" s="197"/>
    </row>
    <row r="111" spans="1:12" x14ac:dyDescent="0.2">
      <c r="D111" s="229">
        <f>'CDM Activity'!P12</f>
        <v>13450000</v>
      </c>
      <c r="E111" s="293">
        <f>'CDM Activity'!Q12</f>
        <v>12900000</v>
      </c>
      <c r="F111" s="293">
        <f>'CDM Activity'!R12</f>
        <v>12900000</v>
      </c>
      <c r="G111" s="293">
        <f>'CDM Activity'!S12</f>
        <v>12820000</v>
      </c>
      <c r="H111" s="229">
        <f>SUM(D111:G111)</f>
        <v>52070000</v>
      </c>
    </row>
    <row r="112" spans="1:12" x14ac:dyDescent="0.2">
      <c r="D112" s="409" t="s">
        <v>231</v>
      </c>
      <c r="E112" s="409"/>
      <c r="F112" s="409"/>
      <c r="G112" s="409"/>
      <c r="H112" s="409"/>
    </row>
    <row r="113" spans="1:15" x14ac:dyDescent="0.2">
      <c r="D113" s="293">
        <f>'CDM Activity'!P13</f>
        <v>0</v>
      </c>
      <c r="E113" s="293">
        <f>'CDM Activity'!Q13</f>
        <v>7910000</v>
      </c>
      <c r="F113" s="293">
        <f>'CDM Activity'!R13</f>
        <v>7850000</v>
      </c>
      <c r="G113" s="293">
        <f>'CDM Activity'!S13</f>
        <v>7810000</v>
      </c>
      <c r="H113" s="293">
        <f>SUM(D113:G113)</f>
        <v>23570000</v>
      </c>
    </row>
    <row r="114" spans="1:15" x14ac:dyDescent="0.2">
      <c r="D114" s="410" t="s">
        <v>180</v>
      </c>
      <c r="E114" s="410"/>
      <c r="F114" s="410"/>
      <c r="G114" s="410"/>
      <c r="H114" s="418"/>
    </row>
    <row r="115" spans="1:15" x14ac:dyDescent="0.2">
      <c r="D115" s="297">
        <v>2006</v>
      </c>
      <c r="E115" s="297">
        <v>2007</v>
      </c>
      <c r="F115" s="297">
        <v>2008</v>
      </c>
      <c r="G115" s="298">
        <v>2009</v>
      </c>
      <c r="H115" s="299"/>
    </row>
    <row r="116" spans="1:15" x14ac:dyDescent="0.2">
      <c r="D116" s="229">
        <f>'CDM Activity'!C3</f>
        <v>1826895.8597920679</v>
      </c>
      <c r="E116" s="229">
        <f>'CDM Activity'!C4</f>
        <v>4932237.5799856689</v>
      </c>
      <c r="F116" s="229">
        <f>'CDM Activity'!C5</f>
        <v>7199424.3715859512</v>
      </c>
      <c r="G116" s="296">
        <f>'CDM Activity'!C6</f>
        <v>11355458.395677308</v>
      </c>
      <c r="H116" s="300"/>
      <c r="J116" s="215">
        <f>D116</f>
        <v>1826895.8597920679</v>
      </c>
      <c r="M116" s="215">
        <f>SUM(J116:L116)</f>
        <v>1826895.8597920679</v>
      </c>
      <c r="N116" s="215">
        <f>'CDM Activity'!F3</f>
        <v>1826895.8597920679</v>
      </c>
      <c r="O116" s="215">
        <f>M116-N116</f>
        <v>0</v>
      </c>
    </row>
    <row r="117" spans="1:15" x14ac:dyDescent="0.2">
      <c r="D117" s="226">
        <v>2010</v>
      </c>
      <c r="E117" s="226">
        <v>2011</v>
      </c>
      <c r="F117" s="226">
        <v>2012</v>
      </c>
      <c r="G117" s="226">
        <v>2013</v>
      </c>
      <c r="H117" s="297">
        <v>2014</v>
      </c>
      <c r="J117" s="215">
        <f>E116</f>
        <v>4932237.5799856689</v>
      </c>
      <c r="M117" s="215">
        <f t="shared" ref="M117:M124" si="19">SUM(J117:L117)</f>
        <v>4932237.5799856689</v>
      </c>
      <c r="N117" s="215">
        <f>'CDM Activity'!F4</f>
        <v>4932237.5799856689</v>
      </c>
      <c r="O117" s="215">
        <f t="shared" ref="O117:O124" si="20">M117-N117</f>
        <v>0</v>
      </c>
    </row>
    <row r="118" spans="1:15" x14ac:dyDescent="0.2">
      <c r="D118" s="229">
        <f>'CDM Activity'!C7</f>
        <v>16129896.991863357</v>
      </c>
      <c r="E118" s="229">
        <f>'CDM Activity'!C8</f>
        <v>19795632.977069873</v>
      </c>
      <c r="F118" s="229">
        <f>'CDM Activity'!C9</f>
        <v>19505272.310954027</v>
      </c>
      <c r="G118" s="229">
        <f>'CDM Activity'!C10</f>
        <v>19444649.840082143</v>
      </c>
      <c r="H118" s="293">
        <f>'CDM Activity'!C11</f>
        <v>19030184.128223255</v>
      </c>
      <c r="J118" s="215">
        <f>F116</f>
        <v>7199424.3715859512</v>
      </c>
      <c r="M118" s="215">
        <f t="shared" si="19"/>
        <v>7199424.3715859512</v>
      </c>
      <c r="N118" s="215">
        <f>'CDM Activity'!F5</f>
        <v>7199424.3715859512</v>
      </c>
      <c r="O118" s="215">
        <f t="shared" si="20"/>
        <v>0</v>
      </c>
    </row>
    <row r="119" spans="1:15" x14ac:dyDescent="0.2">
      <c r="J119" s="215">
        <f>G116</f>
        <v>11355458.395677308</v>
      </c>
      <c r="M119" s="215">
        <f t="shared" si="19"/>
        <v>11355458.395677308</v>
      </c>
      <c r="N119" s="215">
        <f>'CDM Activity'!F6</f>
        <v>11355458.395677308</v>
      </c>
      <c r="O119" s="215">
        <f t="shared" si="20"/>
        <v>0</v>
      </c>
    </row>
    <row r="120" spans="1:15" ht="15" x14ac:dyDescent="0.2">
      <c r="A120" s="397" t="s">
        <v>233</v>
      </c>
      <c r="B120" s="398"/>
      <c r="C120" s="398"/>
      <c r="D120" s="399"/>
      <c r="J120" s="215">
        <f>D118</f>
        <v>16129896.991863357</v>
      </c>
      <c r="M120" s="215">
        <f t="shared" si="19"/>
        <v>16129896.991863357</v>
      </c>
      <c r="N120" s="215">
        <f>'CDM Activity'!F7</f>
        <v>16129896.991863357</v>
      </c>
      <c r="O120" s="215">
        <f t="shared" si="20"/>
        <v>0</v>
      </c>
    </row>
    <row r="121" spans="1:15" ht="15" x14ac:dyDescent="0.2">
      <c r="A121" s="405" t="s">
        <v>181</v>
      </c>
      <c r="B121" s="405"/>
      <c r="C121" s="325"/>
      <c r="D121" s="267" t="s">
        <v>101</v>
      </c>
      <c r="J121" s="215">
        <f>E118</f>
        <v>19795632.977069873</v>
      </c>
      <c r="K121" s="215">
        <f>D111</f>
        <v>13450000</v>
      </c>
      <c r="M121" s="215">
        <f t="shared" si="19"/>
        <v>33245632.977069873</v>
      </c>
      <c r="N121" s="215">
        <f>'CDM Activity'!F8</f>
        <v>26520632.977069873</v>
      </c>
      <c r="O121" s="215">
        <f t="shared" si="20"/>
        <v>6725000</v>
      </c>
    </row>
    <row r="122" spans="1:15" x14ac:dyDescent="0.2">
      <c r="A122" s="375" t="s">
        <v>31</v>
      </c>
      <c r="B122" s="375"/>
      <c r="C122" s="294"/>
      <c r="D122" s="308">
        <f>'Purchased Power Model'!U6</f>
        <v>0.9274480558193523</v>
      </c>
      <c r="J122" s="215">
        <f>F118</f>
        <v>19505272.310954027</v>
      </c>
      <c r="K122" s="215">
        <f>E111</f>
        <v>12900000</v>
      </c>
      <c r="L122" s="215">
        <f>E113</f>
        <v>7910000</v>
      </c>
      <c r="M122" s="215">
        <f t="shared" si="19"/>
        <v>40315272.310954027</v>
      </c>
      <c r="N122" s="215">
        <f>'CDM Activity'!F9</f>
        <v>36360272.310954027</v>
      </c>
      <c r="O122" s="215">
        <f t="shared" si="20"/>
        <v>3955000</v>
      </c>
    </row>
    <row r="123" spans="1:15" x14ac:dyDescent="0.2">
      <c r="A123" s="294" t="s">
        <v>32</v>
      </c>
      <c r="B123" s="294"/>
      <c r="C123" s="294"/>
      <c r="D123" s="308">
        <f>'Purchased Power Model'!U7</f>
        <v>0.92447156580168466</v>
      </c>
      <c r="J123" s="215">
        <f>G118</f>
        <v>19444649.840082143</v>
      </c>
      <c r="K123" s="215">
        <f>F111</f>
        <v>12900000</v>
      </c>
      <c r="L123" s="215">
        <f>F113</f>
        <v>7850000</v>
      </c>
      <c r="M123" s="215">
        <f t="shared" si="19"/>
        <v>40194649.840082139</v>
      </c>
      <c r="N123" s="215">
        <f>'CDM Activity'!F10</f>
        <v>36269649.840082139</v>
      </c>
      <c r="O123" s="215">
        <f t="shared" si="20"/>
        <v>3925000</v>
      </c>
    </row>
    <row r="124" spans="1:15" x14ac:dyDescent="0.2">
      <c r="A124" s="375" t="s">
        <v>182</v>
      </c>
      <c r="B124" s="375"/>
      <c r="C124" s="294"/>
      <c r="D124" s="230">
        <f>'Purchased Power Model'!X13</f>
        <v>311.59118636860359</v>
      </c>
      <c r="J124" s="215">
        <f>H118</f>
        <v>19030184.128223255</v>
      </c>
      <c r="K124" s="215">
        <f>G111</f>
        <v>12820000</v>
      </c>
      <c r="L124" s="215">
        <f>G113</f>
        <v>7810000</v>
      </c>
      <c r="M124" s="215">
        <f t="shared" si="19"/>
        <v>39660184.128223255</v>
      </c>
      <c r="N124" s="215">
        <f>'CDM Activity'!F11</f>
        <v>35755184.128223255</v>
      </c>
      <c r="O124" s="215">
        <f t="shared" si="20"/>
        <v>3905000</v>
      </c>
    </row>
    <row r="125" spans="1:15" x14ac:dyDescent="0.2">
      <c r="A125" s="375" t="s">
        <v>235</v>
      </c>
      <c r="B125" s="375"/>
      <c r="C125" s="294"/>
      <c r="D125" s="308">
        <f>'Purchased Power Model'!Q251</f>
        <v>1.4089702681538507E-2</v>
      </c>
      <c r="J125" s="215"/>
      <c r="K125" s="215"/>
      <c r="L125" s="215"/>
      <c r="M125" s="215">
        <f>SUM(M116:M124)</f>
        <v>194859652.45523363</v>
      </c>
      <c r="N125" s="215"/>
      <c r="O125" s="215"/>
    </row>
    <row r="126" spans="1:15" x14ac:dyDescent="0.2">
      <c r="A126" s="375" t="s">
        <v>234</v>
      </c>
      <c r="B126" s="375"/>
      <c r="C126" s="294"/>
      <c r="D126" s="308">
        <f>'Purchased Power Model'!Q207</f>
        <v>2.2900993973613351E-2</v>
      </c>
      <c r="J126" s="215"/>
      <c r="K126" s="215"/>
      <c r="L126" s="215"/>
      <c r="N126" s="215"/>
      <c r="O126" s="215"/>
    </row>
    <row r="127" spans="1:15" x14ac:dyDescent="0.2">
      <c r="A127" s="294" t="s">
        <v>183</v>
      </c>
      <c r="B127" s="294"/>
      <c r="C127" s="294"/>
      <c r="D127" s="230"/>
      <c r="J127" s="190"/>
    </row>
    <row r="128" spans="1:15" x14ac:dyDescent="0.2">
      <c r="A128" s="392" t="str">
        <f>'Purchased Power Model'!T19</f>
        <v>Heating Degree Days</v>
      </c>
      <c r="B128" s="393"/>
      <c r="C128" s="294"/>
      <c r="D128" s="231">
        <f>'Purchased Power Model'!W19</f>
        <v>13.516602306904163</v>
      </c>
      <c r="J128" s="190"/>
    </row>
    <row r="129" spans="1:10" ht="14.25" customHeight="1" x14ac:dyDescent="0.2">
      <c r="A129" s="392" t="str">
        <f>'Purchased Power Model'!T20</f>
        <v>Cooling Degree Days</v>
      </c>
      <c r="B129" s="393"/>
      <c r="C129" s="294"/>
      <c r="D129" s="231">
        <f>'Purchased Power Model'!W20</f>
        <v>12.334614744813303</v>
      </c>
      <c r="J129" s="190"/>
    </row>
    <row r="130" spans="1:10" ht="14.25" customHeight="1" x14ac:dyDescent="0.2">
      <c r="A130" s="392" t="str">
        <f>'Purchased Power Model'!T21</f>
        <v>Number of Days in Month</v>
      </c>
      <c r="B130" s="393"/>
      <c r="C130" s="294"/>
      <c r="D130" s="231">
        <f>'Purchased Power Model'!W21</f>
        <v>4.4370235848252362</v>
      </c>
      <c r="J130" s="190"/>
    </row>
    <row r="131" spans="1:10" ht="14.25" customHeight="1" x14ac:dyDescent="0.2">
      <c r="A131" s="392" t="str">
        <f>'Purchased Power Model'!T22</f>
        <v>Spring Fall Flag</v>
      </c>
      <c r="B131" s="393"/>
      <c r="C131" s="294"/>
      <c r="D131" s="231">
        <f>'Purchased Power Model'!W22</f>
        <v>-2.0795259230032213</v>
      </c>
      <c r="J131" s="190"/>
    </row>
    <row r="132" spans="1:10" ht="14.25" customHeight="1" x14ac:dyDescent="0.2">
      <c r="A132" s="392" t="str">
        <f>'Purchased Power Model'!T23</f>
        <v>Number of Peak Hours</v>
      </c>
      <c r="B132" s="393"/>
      <c r="C132" s="294"/>
      <c r="D132" s="231">
        <f>'Purchased Power Model'!W23</f>
        <v>6.1252178559621582</v>
      </c>
    </row>
    <row r="133" spans="1:10" ht="27" customHeight="1" x14ac:dyDescent="0.2">
      <c r="A133" s="392" t="str">
        <f>'Purchased Power Model'!T24</f>
        <v>Employment Kitchener-Waterloo-Barrie (000's)</v>
      </c>
      <c r="B133" s="393"/>
      <c r="C133" s="294"/>
      <c r="D133" s="231">
        <f>'Purchased Power Model'!W24</f>
        <v>41.96881224333498</v>
      </c>
    </row>
    <row r="134" spans="1:10" ht="14.25" customHeight="1" x14ac:dyDescent="0.2">
      <c r="A134" s="392" t="str">
        <f>'Purchased Power Model'!T25</f>
        <v>CDM Activity</v>
      </c>
      <c r="B134" s="393"/>
      <c r="C134" s="294"/>
      <c r="D134" s="231">
        <f>'Purchased Power Model'!W25</f>
        <v>-9.240135214842967</v>
      </c>
    </row>
    <row r="135" spans="1:10" ht="30" customHeight="1" x14ac:dyDescent="0.2">
      <c r="A135" s="392" t="str">
        <f>'Purchased Power Model'!T26</f>
        <v>Unemployment Kitchener-Waterloo-Barrie (000's)</v>
      </c>
      <c r="B135" s="393"/>
      <c r="C135" s="294"/>
      <c r="D135" s="231">
        <f>'Purchased Power Model'!W26</f>
        <v>-8.8252048779013386</v>
      </c>
    </row>
    <row r="136" spans="1:10" ht="14.25" customHeight="1" x14ac:dyDescent="0.2">
      <c r="A136" s="419" t="str">
        <f>'Purchased Power Model'!T18</f>
        <v>Intercept</v>
      </c>
      <c r="B136" s="419"/>
      <c r="C136" s="294"/>
      <c r="D136" s="231">
        <f>'Purchased Power Model'!W18</f>
        <v>-7.4436301953172537</v>
      </c>
    </row>
    <row r="138" spans="1:10" x14ac:dyDescent="0.2">
      <c r="A138" s="304"/>
      <c r="B138" s="259"/>
      <c r="C138" s="259"/>
      <c r="D138" s="305"/>
    </row>
    <row r="139" spans="1:10" x14ac:dyDescent="0.2">
      <c r="A139" s="304"/>
      <c r="B139" s="259"/>
      <c r="C139" s="259"/>
      <c r="D139" s="305"/>
    </row>
    <row r="140" spans="1:10" x14ac:dyDescent="0.2">
      <c r="J140" s="208"/>
    </row>
    <row r="141" spans="1:10" ht="15" x14ac:dyDescent="0.2">
      <c r="A141" s="397" t="s">
        <v>236</v>
      </c>
      <c r="B141" s="398"/>
      <c r="C141" s="398"/>
      <c r="D141" s="398"/>
      <c r="E141" s="398"/>
      <c r="F141" s="399"/>
      <c r="J141" s="197"/>
    </row>
    <row r="142" spans="1:10" ht="30" x14ac:dyDescent="0.2">
      <c r="A142" s="403" t="s">
        <v>89</v>
      </c>
      <c r="B142" s="404"/>
      <c r="C142" s="269"/>
      <c r="D142" s="267" t="s">
        <v>184</v>
      </c>
      <c r="E142" s="267" t="s">
        <v>185</v>
      </c>
      <c r="F142" s="267" t="s">
        <v>11</v>
      </c>
      <c r="J142" s="197"/>
    </row>
    <row r="143" spans="1:10" ht="15" x14ac:dyDescent="0.2">
      <c r="A143" s="394" t="s">
        <v>186</v>
      </c>
      <c r="B143" s="395"/>
      <c r="C143" s="395"/>
      <c r="D143" s="395"/>
      <c r="E143" s="395"/>
      <c r="F143" s="396"/>
      <c r="J143" s="197"/>
    </row>
    <row r="144" spans="1:10" ht="15" x14ac:dyDescent="0.2">
      <c r="A144" s="371">
        <v>1996</v>
      </c>
      <c r="B144" s="402"/>
      <c r="C144" s="289"/>
      <c r="D144" s="193">
        <f>'Purchased Power Model'!B234/1000000</f>
        <v>1126.778593</v>
      </c>
      <c r="E144" s="193">
        <f>'Purchased Power Model'!N234/1000000</f>
        <v>1160.636229055681</v>
      </c>
      <c r="F144" s="232">
        <f t="shared" ref="F144:F159" si="21">E144/D144-1</f>
        <v>3.0048171189990924E-2</v>
      </c>
      <c r="H144" s="232">
        <f>'Purchased Power Model'!P234</f>
        <v>3.004817118999082E-2</v>
      </c>
      <c r="J144" s="197"/>
    </row>
    <row r="145" spans="1:10" ht="15" x14ac:dyDescent="0.2">
      <c r="A145" s="371">
        <v>1997</v>
      </c>
      <c r="B145" s="402"/>
      <c r="C145" s="289"/>
      <c r="D145" s="193">
        <f>'Purchased Power Model'!B235/1000000</f>
        <v>1202.822244</v>
      </c>
      <c r="E145" s="193">
        <f>'Purchased Power Model'!N235/1000000</f>
        <v>1199.6381919534881</v>
      </c>
      <c r="F145" s="232">
        <f t="shared" si="21"/>
        <v>-2.6471509505205937E-3</v>
      </c>
      <c r="H145" s="232">
        <f>'Purchased Power Model'!P235</f>
        <v>-2.6471509505205729E-3</v>
      </c>
      <c r="J145" s="197"/>
    </row>
    <row r="146" spans="1:10" ht="15" x14ac:dyDescent="0.2">
      <c r="A146" s="371">
        <v>1998</v>
      </c>
      <c r="B146" s="402"/>
      <c r="C146" s="289"/>
      <c r="D146" s="193">
        <f>'Purchased Power Model'!B236/1000000</f>
        <v>1272.5511570000001</v>
      </c>
      <c r="E146" s="193">
        <f>'Purchased Power Model'!N236/1000000</f>
        <v>1275.6438952985011</v>
      </c>
      <c r="F146" s="232">
        <f t="shared" si="21"/>
        <v>2.4303449660854071E-3</v>
      </c>
      <c r="H146" s="232">
        <f>'Purchased Power Model'!P236</f>
        <v>2.4303449660853316E-3</v>
      </c>
      <c r="J146" s="197"/>
    </row>
    <row r="147" spans="1:10" ht="15" x14ac:dyDescent="0.2">
      <c r="A147" s="371">
        <v>1999</v>
      </c>
      <c r="B147" s="402"/>
      <c r="C147" s="289"/>
      <c r="D147" s="193">
        <f>'Purchased Power Model'!B237/1000000</f>
        <v>1350.8153901000001</v>
      </c>
      <c r="E147" s="193">
        <f>'Purchased Power Model'!N237/1000000</f>
        <v>1379.2139670884619</v>
      </c>
      <c r="F147" s="232">
        <f t="shared" si="21"/>
        <v>2.1023285044420081E-2</v>
      </c>
      <c r="H147" s="232">
        <f>'Purchased Power Model'!P237</f>
        <v>2.1023285044420022E-2</v>
      </c>
      <c r="J147" s="197"/>
    </row>
    <row r="148" spans="1:10" ht="15" x14ac:dyDescent="0.2">
      <c r="A148" s="371">
        <v>2000</v>
      </c>
      <c r="B148" s="402"/>
      <c r="C148" s="289"/>
      <c r="D148" s="193">
        <f>'Purchased Power Model'!B238/1000000</f>
        <v>1392.1735917999999</v>
      </c>
      <c r="E148" s="193">
        <f>'Purchased Power Model'!N238/1000000</f>
        <v>1382.0395336418392</v>
      </c>
      <c r="F148" s="232">
        <f t="shared" si="21"/>
        <v>-7.2793064154147435E-3</v>
      </c>
      <c r="H148" s="232">
        <f>'Purchased Power Model'!P238</f>
        <v>-7.2793064154147149E-3</v>
      </c>
      <c r="J148" s="197"/>
    </row>
    <row r="149" spans="1:10" ht="15" x14ac:dyDescent="0.2">
      <c r="A149" s="371">
        <v>2001</v>
      </c>
      <c r="B149" s="402"/>
      <c r="C149" s="289"/>
      <c r="D149" s="193">
        <f>'Purchased Power Model'!B239/1000000</f>
        <v>1420.9777300000001</v>
      </c>
      <c r="E149" s="193">
        <f>'Purchased Power Model'!N239/1000000</f>
        <v>1416.5904032563885</v>
      </c>
      <c r="F149" s="232">
        <f t="shared" si="21"/>
        <v>-3.0875408185401243E-3</v>
      </c>
      <c r="H149" s="232">
        <f>'Purchased Power Model'!P239</f>
        <v>-3.087540818540185E-3</v>
      </c>
      <c r="J149" s="197"/>
    </row>
    <row r="150" spans="1:10" ht="15" x14ac:dyDescent="0.2">
      <c r="A150" s="371">
        <v>2002</v>
      </c>
      <c r="B150" s="402"/>
      <c r="C150" s="289"/>
      <c r="D150" s="193">
        <f>'Purchased Power Model'!B240/1000000</f>
        <v>1519.1447559999999</v>
      </c>
      <c r="E150" s="193">
        <f>'Purchased Power Model'!N240/1000000</f>
        <v>1470.5755136215623</v>
      </c>
      <c r="F150" s="232">
        <f t="shared" si="21"/>
        <v>-3.1971437999314345E-2</v>
      </c>
      <c r="H150" s="232">
        <f>'Purchased Power Model'!P240</f>
        <v>-3.1971437999314505E-2</v>
      </c>
      <c r="J150" s="197"/>
    </row>
    <row r="151" spans="1:10" x14ac:dyDescent="0.2">
      <c r="A151" s="371">
        <v>2003</v>
      </c>
      <c r="B151" s="402"/>
      <c r="C151" s="192"/>
      <c r="D151" s="193">
        <f>'Purchased Power Model'!B241/1000000</f>
        <v>1523.7175299999999</v>
      </c>
      <c r="E151" s="193">
        <f>'Purchased Power Model'!N241/1000000</f>
        <v>1500.8532652510455</v>
      </c>
      <c r="F151" s="232">
        <f t="shared" si="21"/>
        <v>-1.5005579642412004E-2</v>
      </c>
      <c r="G151" s="190"/>
      <c r="H151" s="232">
        <f>'Purchased Power Model'!P241</f>
        <v>-1.5005579642412156E-2</v>
      </c>
      <c r="J151" s="197"/>
    </row>
    <row r="152" spans="1:10" x14ac:dyDescent="0.2">
      <c r="A152" s="371">
        <v>2004</v>
      </c>
      <c r="B152" s="402"/>
      <c r="C152" s="192"/>
      <c r="D152" s="193">
        <f>'Purchased Power Model'!B242/1000000</f>
        <v>1570.4059299999999</v>
      </c>
      <c r="E152" s="193">
        <f>'Purchased Power Model'!N242/1000000</f>
        <v>1539.3780982646749</v>
      </c>
      <c r="F152" s="232">
        <f t="shared" si="21"/>
        <v>-1.9757841678122667E-2</v>
      </c>
      <c r="G152" s="190"/>
      <c r="H152" s="232">
        <f>'Purchased Power Model'!P242</f>
        <v>-1.9757841678122737E-2</v>
      </c>
      <c r="J152" s="197"/>
    </row>
    <row r="153" spans="1:10" x14ac:dyDescent="0.2">
      <c r="A153" s="371">
        <v>2005</v>
      </c>
      <c r="B153" s="402"/>
      <c r="C153" s="192"/>
      <c r="D153" s="193">
        <f>'Purchased Power Model'!B243/1000000</f>
        <v>1640.988662</v>
      </c>
      <c r="E153" s="193">
        <f>'Purchased Power Model'!N243/1000000</f>
        <v>1627.2379810482955</v>
      </c>
      <c r="F153" s="232">
        <f t="shared" si="21"/>
        <v>-8.3795100296094605E-3</v>
      </c>
      <c r="G153" s="190"/>
      <c r="H153" s="232">
        <f>'Purchased Power Model'!P243</f>
        <v>-8.3795100296095177E-3</v>
      </c>
      <c r="J153" s="197"/>
    </row>
    <row r="154" spans="1:10" x14ac:dyDescent="0.2">
      <c r="A154" s="371">
        <v>2006</v>
      </c>
      <c r="B154" s="402"/>
      <c r="C154" s="192"/>
      <c r="D154" s="193">
        <f>'Purchased Power Model'!B244/1000000</f>
        <v>1599.360044</v>
      </c>
      <c r="E154" s="193">
        <f>'Purchased Power Model'!N244/1000000</f>
        <v>1634.0262223421594</v>
      </c>
      <c r="F154" s="232">
        <f t="shared" si="21"/>
        <v>2.1675030880138335E-2</v>
      </c>
      <c r="G154" s="190"/>
      <c r="H154" s="232">
        <f>'Purchased Power Model'!P244</f>
        <v>2.1675030880138252E-2</v>
      </c>
      <c r="J154" s="197"/>
    </row>
    <row r="155" spans="1:10" x14ac:dyDescent="0.2">
      <c r="A155" s="371">
        <v>2007</v>
      </c>
      <c r="B155" s="402"/>
      <c r="C155" s="192"/>
      <c r="D155" s="193">
        <f>'Purchased Power Model'!B245/1000000</f>
        <v>1609.193923</v>
      </c>
      <c r="E155" s="193">
        <f>'Purchased Power Model'!N245/1000000</f>
        <v>1622.7973186380689</v>
      </c>
      <c r="F155" s="232">
        <f t="shared" si="21"/>
        <v>8.4535464891069001E-3</v>
      </c>
      <c r="G155" s="190"/>
      <c r="H155" s="232">
        <f>'Purchased Power Model'!P245</f>
        <v>8.453546489106966E-3</v>
      </c>
      <c r="J155" s="197"/>
    </row>
    <row r="156" spans="1:10" x14ac:dyDescent="0.2">
      <c r="A156" s="371">
        <v>2008</v>
      </c>
      <c r="B156" s="402"/>
      <c r="C156" s="192"/>
      <c r="D156" s="193">
        <f>'Purchased Power Model'!B246/1000000</f>
        <v>1557.5232289999999</v>
      </c>
      <c r="E156" s="193">
        <f>'Purchased Power Model'!N246/1000000</f>
        <v>1601.223664943572</v>
      </c>
      <c r="F156" s="232">
        <f t="shared" si="21"/>
        <v>2.8057646351528076E-2</v>
      </c>
      <c r="G156" s="190"/>
      <c r="H156" s="232">
        <f>'Purchased Power Model'!P246</f>
        <v>2.8057646351528055E-2</v>
      </c>
      <c r="J156" s="197"/>
    </row>
    <row r="157" spans="1:10" x14ac:dyDescent="0.2">
      <c r="A157" s="371">
        <v>2009</v>
      </c>
      <c r="B157" s="402"/>
      <c r="C157" s="192"/>
      <c r="D157" s="193">
        <f>'Purchased Power Model'!B247/1000000</f>
        <v>1450.354846</v>
      </c>
      <c r="E157" s="193">
        <f>'Purchased Power Model'!N247/1000000</f>
        <v>1444.4593689156191</v>
      </c>
      <c r="F157" s="232">
        <f t="shared" si="21"/>
        <v>-4.0648515090222492E-3</v>
      </c>
      <c r="G157" s="190"/>
      <c r="H157" s="232">
        <f>'Purchased Power Model'!P247</f>
        <v>-4.0648515090222718E-3</v>
      </c>
      <c r="J157" s="197"/>
    </row>
    <row r="158" spans="1:10" x14ac:dyDescent="0.2">
      <c r="A158" s="371">
        <v>2010</v>
      </c>
      <c r="B158" s="402"/>
      <c r="C158" s="192"/>
      <c r="D158" s="193">
        <f>'Purchased Power Model'!B248/1000000</f>
        <v>1513.16563</v>
      </c>
      <c r="E158" s="193">
        <f>'Purchased Power Model'!N248/1000000</f>
        <v>1492.4113399877301</v>
      </c>
      <c r="F158" s="232">
        <f t="shared" si="21"/>
        <v>-1.3715808501591376E-2</v>
      </c>
      <c r="G158" s="190"/>
      <c r="H158" s="232">
        <f>'Purchased Power Model'!P248</f>
        <v>-1.3715808501591445E-2</v>
      </c>
      <c r="J158" s="197"/>
    </row>
    <row r="159" spans="1:10" ht="12.75" customHeight="1" x14ac:dyDescent="0.2">
      <c r="A159" s="371">
        <v>2011</v>
      </c>
      <c r="B159" s="402"/>
      <c r="C159" s="233"/>
      <c r="D159" s="193">
        <f>'Purchased Power Model'!B249/1000000</f>
        <v>1519.43926771</v>
      </c>
      <c r="E159" s="193">
        <f>'Purchased Power Model'!N249/1000000</f>
        <v>1537.7577518746832</v>
      </c>
      <c r="F159" s="232">
        <f t="shared" si="21"/>
        <v>1.2056081841488542E-2</v>
      </c>
      <c r="G159" s="190"/>
      <c r="H159" s="232">
        <f>'Purchased Power Model'!P249</f>
        <v>1.2056081841488491E-2</v>
      </c>
    </row>
    <row r="160" spans="1:10" ht="12.75" customHeight="1" x14ac:dyDescent="0.2">
      <c r="A160" s="371">
        <v>2012</v>
      </c>
      <c r="B160" s="402"/>
      <c r="C160" s="291"/>
      <c r="D160" s="193">
        <f>'Purchased Power Model'!B250/1000000</f>
        <v>1526.5913362900003</v>
      </c>
      <c r="E160" s="193">
        <f>'Purchased Power Model'!N250/1000000</f>
        <v>1511.5211147182199</v>
      </c>
      <c r="F160" s="232">
        <f t="shared" ref="F160" si="22">E160/D160-1</f>
        <v>-9.87181127884873E-3</v>
      </c>
      <c r="G160" s="190"/>
      <c r="H160" s="232">
        <f>'Purchased Power Model'!P250</f>
        <v>-9.8718112788486155E-3</v>
      </c>
    </row>
    <row r="161" spans="1:15" s="206" customFormat="1" ht="12.75" customHeight="1" x14ac:dyDescent="0.25">
      <c r="A161" s="394" t="s">
        <v>104</v>
      </c>
      <c r="B161" s="395"/>
      <c r="C161" s="216"/>
      <c r="D161" s="234"/>
      <c r="E161" s="201">
        <f>'Purchased Power Model'!N251/1000000</f>
        <v>1525.6057135900066</v>
      </c>
      <c r="F161" s="235"/>
    </row>
    <row r="162" spans="1:15" s="206" customFormat="1" ht="15" x14ac:dyDescent="0.25">
      <c r="A162" s="394" t="s">
        <v>105</v>
      </c>
      <c r="B162" s="395"/>
      <c r="C162" s="188"/>
      <c r="D162" s="234"/>
      <c r="E162" s="201">
        <f>'Purchased Power Model'!N252/1000000</f>
        <v>1524.5523323854195</v>
      </c>
      <c r="F162" s="235"/>
      <c r="J162" s="236"/>
    </row>
    <row r="163" spans="1:15" s="197" customFormat="1" ht="15" x14ac:dyDescent="0.2">
      <c r="A163" s="200" t="s">
        <v>237</v>
      </c>
      <c r="B163" s="188"/>
      <c r="C163" s="188"/>
      <c r="D163" s="234"/>
      <c r="E163" s="201">
        <f>'Purchased Power Model'!O272/1000000</f>
        <v>1523.2573062946665</v>
      </c>
      <c r="F163" s="235"/>
    </row>
    <row r="164" spans="1:15" s="197" customFormat="1" ht="15" x14ac:dyDescent="0.2">
      <c r="A164" s="200" t="s">
        <v>238</v>
      </c>
      <c r="B164" s="192"/>
      <c r="C164" s="192"/>
      <c r="D164" s="230"/>
      <c r="E164" s="201">
        <f>'Purchased Power Model'!O286/1000000</f>
        <v>1521.6112638521004</v>
      </c>
      <c r="F164" s="232"/>
      <c r="J164" s="237"/>
    </row>
    <row r="165" spans="1:15" x14ac:dyDescent="0.2">
      <c r="J165" s="190"/>
    </row>
    <row r="166" spans="1:15" x14ac:dyDescent="0.2">
      <c r="J166" s="190"/>
    </row>
    <row r="167" spans="1:15" x14ac:dyDescent="0.2">
      <c r="J167" s="190"/>
    </row>
    <row r="168" spans="1:15" ht="15" x14ac:dyDescent="0.2">
      <c r="A168" s="376" t="s">
        <v>259</v>
      </c>
      <c r="B168" s="376"/>
      <c r="C168" s="376"/>
      <c r="D168" s="376"/>
      <c r="E168" s="376"/>
      <c r="F168" s="376"/>
      <c r="G168" s="376"/>
      <c r="H168" s="376"/>
      <c r="I168" s="376"/>
      <c r="J168" s="376"/>
      <c r="K168" s="376"/>
      <c r="L168" s="376"/>
      <c r="M168" s="376"/>
    </row>
    <row r="169" spans="1:15" ht="63" customHeight="1" x14ac:dyDescent="0.2">
      <c r="A169" s="384" t="s">
        <v>89</v>
      </c>
      <c r="B169" s="384"/>
      <c r="C169" s="325"/>
      <c r="D169" s="274" t="str">
        <f>D64</f>
        <v xml:space="preserve">Residential </v>
      </c>
      <c r="E169" s="274" t="str">
        <f t="shared" ref="E169:L169" si="23">E64</f>
        <v>General Service &lt; 50 kW</v>
      </c>
      <c r="F169" s="274" t="str">
        <f t="shared" si="23"/>
        <v>General Service &gt; 50 to 999 kW</v>
      </c>
      <c r="G169" s="274" t="str">
        <f t="shared" si="23"/>
        <v>General Service &gt; 1000 to 4999 kW</v>
      </c>
      <c r="H169" s="274" t="str">
        <f t="shared" si="23"/>
        <v>Large User</v>
      </c>
      <c r="I169" s="274" t="str">
        <f t="shared" si="23"/>
        <v>Direct Market Participant</v>
      </c>
      <c r="J169" s="274" t="str">
        <f t="shared" si="23"/>
        <v>Street Lights</v>
      </c>
      <c r="K169" s="274" t="str">
        <f t="shared" si="23"/>
        <v xml:space="preserve">Unmetered Loads </v>
      </c>
      <c r="L169" s="274" t="str">
        <f t="shared" si="23"/>
        <v>Embedded Distributor</v>
      </c>
      <c r="M169" s="274" t="s">
        <v>12</v>
      </c>
    </row>
    <row r="170" spans="1:15" ht="15" x14ac:dyDescent="0.2">
      <c r="A170" s="383" t="s">
        <v>177</v>
      </c>
      <c r="B170" s="383"/>
      <c r="C170" s="383"/>
      <c r="D170" s="383"/>
      <c r="E170" s="383"/>
      <c r="F170" s="383"/>
      <c r="G170" s="383"/>
      <c r="H170" s="383"/>
      <c r="I170" s="383"/>
      <c r="J170" s="383"/>
      <c r="K170" s="383"/>
      <c r="L170" s="383"/>
      <c r="M170" s="383"/>
    </row>
    <row r="171" spans="1:15" ht="15" x14ac:dyDescent="0.2">
      <c r="A171" s="375">
        <f t="shared" ref="A171:A182" si="24">A149</f>
        <v>2001</v>
      </c>
      <c r="B171" s="375"/>
      <c r="C171" s="292"/>
      <c r="D171" s="239">
        <f>'Rate Class Customer Model'!B5</f>
        <v>37491.5</v>
      </c>
      <c r="E171" s="239">
        <f>'Rate Class Customer Model'!C5</f>
        <v>4247</v>
      </c>
      <c r="F171" s="239">
        <f>'Rate Class Customer Model'!D5</f>
        <v>566.25000000000011</v>
      </c>
      <c r="G171" s="239">
        <f>'Rate Class Customer Model'!E5</f>
        <v>25</v>
      </c>
      <c r="H171" s="239">
        <f>'Rate Class Customer Model'!F5</f>
        <v>2.5</v>
      </c>
      <c r="I171" s="239">
        <f>'Rate Class Customer Model'!G5</f>
        <v>0</v>
      </c>
      <c r="J171" s="239">
        <f>'Rate Class Customer Model'!H5</f>
        <v>0</v>
      </c>
      <c r="K171" s="239">
        <f>'Rate Class Customer Model'!I5</f>
        <v>0</v>
      </c>
      <c r="L171" s="239">
        <f>'Rate Class Customer Model'!J5</f>
        <v>0</v>
      </c>
      <c r="M171" s="239">
        <f>SUM(D171:L171)</f>
        <v>42332.25</v>
      </c>
      <c r="O171" s="215"/>
    </row>
    <row r="172" spans="1:15" ht="15" x14ac:dyDescent="0.2">
      <c r="A172" s="375">
        <f t="shared" si="24"/>
        <v>2002</v>
      </c>
      <c r="B172" s="375"/>
      <c r="C172" s="292"/>
      <c r="D172" s="239">
        <f>'Rate Class Customer Model'!B6</f>
        <v>38233.75</v>
      </c>
      <c r="E172" s="239">
        <f>'Rate Class Customer Model'!C6</f>
        <v>4064.75</v>
      </c>
      <c r="F172" s="239">
        <f>'Rate Class Customer Model'!D6</f>
        <v>597.74999999999989</v>
      </c>
      <c r="G172" s="239">
        <f>'Rate Class Customer Model'!E6</f>
        <v>24.5</v>
      </c>
      <c r="H172" s="239">
        <f>'Rate Class Customer Model'!F6</f>
        <v>3</v>
      </c>
      <c r="I172" s="239">
        <f>'Rate Class Customer Model'!G6</f>
        <v>0</v>
      </c>
      <c r="J172" s="239">
        <f>'Rate Class Customer Model'!H6</f>
        <v>0</v>
      </c>
      <c r="K172" s="239">
        <f>'Rate Class Customer Model'!I6</f>
        <v>0</v>
      </c>
      <c r="L172" s="239">
        <f>'Rate Class Customer Model'!J6</f>
        <v>0</v>
      </c>
      <c r="M172" s="239">
        <f t="shared" ref="M172:M182" si="25">SUM(D172:L172)</f>
        <v>42923.75</v>
      </c>
      <c r="O172" s="215"/>
    </row>
    <row r="173" spans="1:15" x14ac:dyDescent="0.2">
      <c r="A173" s="375">
        <f t="shared" si="24"/>
        <v>2003</v>
      </c>
      <c r="B173" s="375"/>
      <c r="C173" s="294"/>
      <c r="D173" s="239">
        <f>'Rate Class Customer Model'!B7</f>
        <v>39315.75</v>
      </c>
      <c r="E173" s="239">
        <f>'Rate Class Customer Model'!C7</f>
        <v>4144.75</v>
      </c>
      <c r="F173" s="239">
        <f>'Rate Class Customer Model'!D7</f>
        <v>619.24999999999989</v>
      </c>
      <c r="G173" s="239">
        <f>'Rate Class Customer Model'!E7</f>
        <v>26</v>
      </c>
      <c r="H173" s="239">
        <f>'Rate Class Customer Model'!F7</f>
        <v>3</v>
      </c>
      <c r="I173" s="239">
        <f>'Rate Class Customer Model'!G7</f>
        <v>0</v>
      </c>
      <c r="J173" s="239">
        <f>'Rate Class Customer Model'!H7</f>
        <v>11556.5</v>
      </c>
      <c r="K173" s="239">
        <f>'Rate Class Customer Model'!I7</f>
        <v>0</v>
      </c>
      <c r="L173" s="239">
        <f>'Rate Class Customer Model'!J7</f>
        <v>0</v>
      </c>
      <c r="M173" s="239">
        <f t="shared" si="25"/>
        <v>55665.25</v>
      </c>
      <c r="O173" s="215"/>
    </row>
    <row r="174" spans="1:15" x14ac:dyDescent="0.2">
      <c r="A174" s="375">
        <f t="shared" si="24"/>
        <v>2004</v>
      </c>
      <c r="B174" s="375"/>
      <c r="C174" s="294"/>
      <c r="D174" s="239">
        <f>'Rate Class Customer Model'!B8</f>
        <v>40534.5</v>
      </c>
      <c r="E174" s="239">
        <f>'Rate Class Customer Model'!C8</f>
        <v>4193</v>
      </c>
      <c r="F174" s="239">
        <f>'Rate Class Customer Model'!D8</f>
        <v>630</v>
      </c>
      <c r="G174" s="239">
        <f>'Rate Class Customer Model'!E8</f>
        <v>27</v>
      </c>
      <c r="H174" s="239">
        <f>'Rate Class Customer Model'!F8</f>
        <v>3</v>
      </c>
      <c r="I174" s="239">
        <f>'Rate Class Customer Model'!G8</f>
        <v>0</v>
      </c>
      <c r="J174" s="239">
        <f>'Rate Class Customer Model'!H8</f>
        <v>11731.5</v>
      </c>
      <c r="K174" s="239">
        <f>'Rate Class Customer Model'!I8</f>
        <v>0</v>
      </c>
      <c r="L174" s="239">
        <f>'Rate Class Customer Model'!J8</f>
        <v>0</v>
      </c>
      <c r="M174" s="239">
        <f t="shared" si="25"/>
        <v>57119</v>
      </c>
      <c r="O174" s="215"/>
    </row>
    <row r="175" spans="1:15" x14ac:dyDescent="0.2">
      <c r="A175" s="375">
        <f t="shared" si="24"/>
        <v>2005</v>
      </c>
      <c r="B175" s="375"/>
      <c r="C175" s="294"/>
      <c r="D175" s="239">
        <f>'Rate Class Customer Model'!B9</f>
        <v>41299.5</v>
      </c>
      <c r="E175" s="239">
        <f>'Rate Class Customer Model'!C9</f>
        <v>4289</v>
      </c>
      <c r="F175" s="239">
        <f>'Rate Class Customer Model'!D9</f>
        <v>633.5</v>
      </c>
      <c r="G175" s="239">
        <f>'Rate Class Customer Model'!E9</f>
        <v>28.5</v>
      </c>
      <c r="H175" s="239">
        <f>'Rate Class Customer Model'!F9</f>
        <v>3</v>
      </c>
      <c r="I175" s="239">
        <f>'Rate Class Customer Model'!G9</f>
        <v>0</v>
      </c>
      <c r="J175" s="239">
        <f>'Rate Class Customer Model'!H9</f>
        <v>11894.5</v>
      </c>
      <c r="K175" s="239">
        <f>'Rate Class Customer Model'!I9</f>
        <v>0</v>
      </c>
      <c r="L175" s="239">
        <f>'Rate Class Customer Model'!J9</f>
        <v>0</v>
      </c>
      <c r="M175" s="239">
        <f t="shared" si="25"/>
        <v>58148</v>
      </c>
      <c r="O175" s="215"/>
    </row>
    <row r="176" spans="1:15" x14ac:dyDescent="0.2">
      <c r="A176" s="375">
        <f t="shared" si="24"/>
        <v>2006</v>
      </c>
      <c r="B176" s="375"/>
      <c r="C176" s="294"/>
      <c r="D176" s="239">
        <f>'Rate Class Customer Model'!B10</f>
        <v>42039.5</v>
      </c>
      <c r="E176" s="239">
        <f>'Rate Class Customer Model'!C10</f>
        <v>4352</v>
      </c>
      <c r="F176" s="239">
        <f>'Rate Class Customer Model'!D10</f>
        <v>647</v>
      </c>
      <c r="G176" s="239">
        <f>'Rate Class Customer Model'!E10</f>
        <v>29.5</v>
      </c>
      <c r="H176" s="239">
        <f>'Rate Class Customer Model'!F10</f>
        <v>2.5</v>
      </c>
      <c r="I176" s="239">
        <f>'Rate Class Customer Model'!G10</f>
        <v>1</v>
      </c>
      <c r="J176" s="239">
        <f>'Rate Class Customer Model'!H10</f>
        <v>12052.25</v>
      </c>
      <c r="K176" s="239">
        <f>'Rate Class Customer Model'!I10</f>
        <v>516</v>
      </c>
      <c r="L176" s="239">
        <f>'Rate Class Customer Model'!J10</f>
        <v>0</v>
      </c>
      <c r="M176" s="239">
        <f t="shared" si="25"/>
        <v>59639.75</v>
      </c>
      <c r="O176" s="215"/>
    </row>
    <row r="177" spans="1:23" x14ac:dyDescent="0.2">
      <c r="A177" s="375">
        <f t="shared" si="24"/>
        <v>2007</v>
      </c>
      <c r="B177" s="375"/>
      <c r="C177" s="294"/>
      <c r="D177" s="239">
        <f>'Rate Class Customer Model'!B11</f>
        <v>42887.5</v>
      </c>
      <c r="E177" s="239">
        <f>'Rate Class Customer Model'!C11</f>
        <v>4376</v>
      </c>
      <c r="F177" s="239">
        <f>'Rate Class Customer Model'!D11</f>
        <v>672</v>
      </c>
      <c r="G177" s="239">
        <f>'Rate Class Customer Model'!E11</f>
        <v>28.5</v>
      </c>
      <c r="H177" s="239">
        <f>'Rate Class Customer Model'!F11</f>
        <v>2</v>
      </c>
      <c r="I177" s="239">
        <f>'Rate Class Customer Model'!G11</f>
        <v>1</v>
      </c>
      <c r="J177" s="239">
        <f>'Rate Class Customer Model'!H11</f>
        <v>12237.25</v>
      </c>
      <c r="K177" s="239">
        <f>'Rate Class Customer Model'!I11</f>
        <v>486</v>
      </c>
      <c r="L177" s="239">
        <f>'Rate Class Customer Model'!J11</f>
        <v>0</v>
      </c>
      <c r="M177" s="239">
        <f t="shared" si="25"/>
        <v>60690.25</v>
      </c>
      <c r="O177" s="215"/>
    </row>
    <row r="178" spans="1:23" x14ac:dyDescent="0.2">
      <c r="A178" s="375">
        <f t="shared" si="24"/>
        <v>2008</v>
      </c>
      <c r="B178" s="375"/>
      <c r="C178" s="294"/>
      <c r="D178" s="239">
        <f>'Rate Class Customer Model'!B12</f>
        <v>43431</v>
      </c>
      <c r="E178" s="239">
        <f>'Rate Class Customer Model'!C12</f>
        <v>4449</v>
      </c>
      <c r="F178" s="239">
        <f>'Rate Class Customer Model'!D12</f>
        <v>679.5</v>
      </c>
      <c r="G178" s="239">
        <f>'Rate Class Customer Model'!E12</f>
        <v>28</v>
      </c>
      <c r="H178" s="239">
        <f>'Rate Class Customer Model'!F12</f>
        <v>2</v>
      </c>
      <c r="I178" s="239">
        <f>'Rate Class Customer Model'!G12</f>
        <v>1</v>
      </c>
      <c r="J178" s="239">
        <f>'Rate Class Customer Model'!H12</f>
        <v>12365.5</v>
      </c>
      <c r="K178" s="239">
        <f>'Rate Class Customer Model'!I12</f>
        <v>457</v>
      </c>
      <c r="L178" s="239">
        <f>'Rate Class Customer Model'!J12</f>
        <v>0</v>
      </c>
      <c r="M178" s="239">
        <f t="shared" si="25"/>
        <v>61413</v>
      </c>
      <c r="O178" s="215"/>
    </row>
    <row r="179" spans="1:23" x14ac:dyDescent="0.2">
      <c r="A179" s="375">
        <f t="shared" si="24"/>
        <v>2009</v>
      </c>
      <c r="B179" s="375"/>
      <c r="C179" s="294"/>
      <c r="D179" s="239">
        <f>'Rate Class Customer Model'!B13</f>
        <v>43936.5</v>
      </c>
      <c r="E179" s="239">
        <f>'Rate Class Customer Model'!C13</f>
        <v>4540.5</v>
      </c>
      <c r="F179" s="239">
        <f>'Rate Class Customer Model'!D13</f>
        <v>693</v>
      </c>
      <c r="G179" s="239">
        <f>'Rate Class Customer Model'!E13</f>
        <v>26.5</v>
      </c>
      <c r="H179" s="239">
        <f>'Rate Class Customer Model'!F13</f>
        <v>2</v>
      </c>
      <c r="I179" s="239">
        <f>'Rate Class Customer Model'!G13</f>
        <v>1</v>
      </c>
      <c r="J179" s="239">
        <f>'Rate Class Customer Model'!H13</f>
        <v>12459.5</v>
      </c>
      <c r="K179" s="239">
        <f>'Rate Class Customer Model'!I13</f>
        <v>498</v>
      </c>
      <c r="L179" s="239">
        <f>'Rate Class Customer Model'!J13+'Rate Class Customer Model'!K13</f>
        <v>2</v>
      </c>
      <c r="M179" s="239">
        <f t="shared" si="25"/>
        <v>62159</v>
      </c>
      <c r="O179" s="215"/>
    </row>
    <row r="180" spans="1:23" x14ac:dyDescent="0.2">
      <c r="A180" s="375">
        <f t="shared" si="24"/>
        <v>2010</v>
      </c>
      <c r="B180" s="375"/>
      <c r="C180" s="294"/>
      <c r="D180" s="239">
        <f>'Rate Class Customer Model'!B14</f>
        <v>44920.5</v>
      </c>
      <c r="E180" s="239">
        <f>'Rate Class Customer Model'!C14</f>
        <v>4604</v>
      </c>
      <c r="F180" s="239">
        <f>'Rate Class Customer Model'!D14</f>
        <v>708</v>
      </c>
      <c r="G180" s="239">
        <f>'Rate Class Customer Model'!E14</f>
        <v>26</v>
      </c>
      <c r="H180" s="239">
        <f>'Rate Class Customer Model'!F14</f>
        <v>2</v>
      </c>
      <c r="I180" s="239">
        <f>'Rate Class Customer Model'!G14</f>
        <v>1</v>
      </c>
      <c r="J180" s="239">
        <f>'Rate Class Customer Model'!H14</f>
        <v>12558.5</v>
      </c>
      <c r="K180" s="239">
        <f>'Rate Class Customer Model'!I14</f>
        <v>537.5</v>
      </c>
      <c r="L180" s="239">
        <f>'Rate Class Customer Model'!J14+'Rate Class Customer Model'!K14</f>
        <v>2</v>
      </c>
      <c r="M180" s="239">
        <f t="shared" si="25"/>
        <v>63359.5</v>
      </c>
      <c r="O180" s="215"/>
    </row>
    <row r="181" spans="1:23" x14ac:dyDescent="0.2">
      <c r="A181" s="375">
        <f t="shared" si="24"/>
        <v>2011</v>
      </c>
      <c r="B181" s="375"/>
      <c r="C181" s="294"/>
      <c r="D181" s="239">
        <f>'Rate Class Customer Model'!B15</f>
        <v>45780.5</v>
      </c>
      <c r="E181" s="239">
        <f>'Rate Class Customer Model'!C15</f>
        <v>4629.5</v>
      </c>
      <c r="F181" s="239">
        <f>'Rate Class Customer Model'!D15</f>
        <v>723.5</v>
      </c>
      <c r="G181" s="239">
        <f>'Rate Class Customer Model'!E15</f>
        <v>28</v>
      </c>
      <c r="H181" s="239">
        <f>'Rate Class Customer Model'!F15</f>
        <v>2</v>
      </c>
      <c r="I181" s="239">
        <f>'Rate Class Customer Model'!G15</f>
        <v>1</v>
      </c>
      <c r="J181" s="239">
        <f>'Rate Class Customer Model'!H15</f>
        <v>12623.5</v>
      </c>
      <c r="K181" s="239">
        <f>'Rate Class Customer Model'!I15</f>
        <v>514.5</v>
      </c>
      <c r="L181" s="239">
        <f>'Rate Class Customer Model'!J15+'Rate Class Customer Model'!K15</f>
        <v>2</v>
      </c>
      <c r="M181" s="239">
        <f t="shared" si="25"/>
        <v>64304.5</v>
      </c>
      <c r="O181" s="215"/>
    </row>
    <row r="182" spans="1:23" x14ac:dyDescent="0.2">
      <c r="A182" s="375">
        <f t="shared" si="24"/>
        <v>2012</v>
      </c>
      <c r="B182" s="375"/>
      <c r="C182" s="294"/>
      <c r="D182" s="239">
        <f>'Rate Class Customer Model'!B16</f>
        <v>46283.5</v>
      </c>
      <c r="E182" s="239">
        <f>'Rate Class Customer Model'!C16</f>
        <v>4661</v>
      </c>
      <c r="F182" s="239">
        <f>'Rate Class Customer Model'!D16</f>
        <v>736.5</v>
      </c>
      <c r="G182" s="239">
        <f>'Rate Class Customer Model'!E16</f>
        <v>27</v>
      </c>
      <c r="H182" s="239">
        <f>'Rate Class Customer Model'!F16</f>
        <v>2</v>
      </c>
      <c r="I182" s="239">
        <f>'Rate Class Customer Model'!G16</f>
        <v>1</v>
      </c>
      <c r="J182" s="239">
        <f>'Rate Class Customer Model'!H16</f>
        <v>12722</v>
      </c>
      <c r="K182" s="239">
        <f>'Rate Class Customer Model'!I16</f>
        <v>490.5</v>
      </c>
      <c r="L182" s="239">
        <f>'Rate Class Customer Model'!J16+'Rate Class Customer Model'!K16</f>
        <v>2</v>
      </c>
      <c r="M182" s="239">
        <f t="shared" si="25"/>
        <v>64925.5</v>
      </c>
      <c r="O182" s="215"/>
    </row>
    <row r="184" spans="1:23" ht="15" x14ac:dyDescent="0.2">
      <c r="A184" s="376" t="s">
        <v>260</v>
      </c>
      <c r="B184" s="376"/>
      <c r="C184" s="376"/>
      <c r="D184" s="376"/>
      <c r="E184" s="376"/>
      <c r="F184" s="376"/>
      <c r="G184" s="376"/>
      <c r="H184" s="376"/>
      <c r="I184" s="376"/>
      <c r="J184" s="376"/>
      <c r="K184" s="376"/>
      <c r="L184" s="376"/>
    </row>
    <row r="185" spans="1:23" ht="61.5" customHeight="1" x14ac:dyDescent="0.2">
      <c r="A185" s="384" t="s">
        <v>89</v>
      </c>
      <c r="B185" s="384"/>
      <c r="C185" s="325"/>
      <c r="D185" s="274" t="str">
        <f t="shared" ref="D185:L185" si="26">D169</f>
        <v xml:space="preserve">Residential </v>
      </c>
      <c r="E185" s="274" t="str">
        <f t="shared" si="26"/>
        <v>General Service &lt; 50 kW</v>
      </c>
      <c r="F185" s="274" t="str">
        <f t="shared" si="26"/>
        <v>General Service &gt; 50 to 999 kW</v>
      </c>
      <c r="G185" s="274" t="str">
        <f t="shared" si="26"/>
        <v>General Service &gt; 1000 to 4999 kW</v>
      </c>
      <c r="H185" s="274" t="str">
        <f t="shared" si="26"/>
        <v>Large User</v>
      </c>
      <c r="I185" s="274" t="str">
        <f t="shared" si="26"/>
        <v>Direct Market Participant</v>
      </c>
      <c r="J185" s="274" t="str">
        <f t="shared" si="26"/>
        <v>Street Lights</v>
      </c>
      <c r="K185" s="274" t="str">
        <f t="shared" si="26"/>
        <v xml:space="preserve">Unmetered Loads </v>
      </c>
      <c r="L185" s="274" t="str">
        <f t="shared" si="26"/>
        <v>Embedded Distributor</v>
      </c>
    </row>
    <row r="186" spans="1:23" ht="15" x14ac:dyDescent="0.2">
      <c r="A186" s="383" t="s">
        <v>187</v>
      </c>
      <c r="B186" s="383"/>
      <c r="C186" s="383"/>
      <c r="D186" s="383"/>
      <c r="E186" s="383"/>
      <c r="F186" s="383"/>
      <c r="G186" s="383"/>
      <c r="H186" s="383"/>
      <c r="I186" s="383"/>
      <c r="J186" s="383"/>
      <c r="K186" s="383"/>
      <c r="L186" s="383"/>
    </row>
    <row r="187" spans="1:23" ht="15" x14ac:dyDescent="0.2">
      <c r="A187" s="375">
        <f t="shared" ref="A187:A198" si="27">A171</f>
        <v>2001</v>
      </c>
      <c r="B187" s="375"/>
      <c r="C187" s="292"/>
      <c r="D187" s="240"/>
      <c r="E187" s="292"/>
      <c r="F187" s="292"/>
      <c r="G187" s="292"/>
      <c r="H187" s="292"/>
      <c r="I187" s="292"/>
      <c r="J187" s="210"/>
      <c r="K187" s="210"/>
      <c r="L187" s="210"/>
    </row>
    <row r="188" spans="1:23" ht="15" x14ac:dyDescent="0.2">
      <c r="A188" s="375">
        <f t="shared" si="27"/>
        <v>2002</v>
      </c>
      <c r="B188" s="375"/>
      <c r="C188" s="292"/>
      <c r="D188" s="240">
        <f t="shared" ref="D188:L198" si="28">D172/D171-1</f>
        <v>1.9797820839390301E-2</v>
      </c>
      <c r="E188" s="240">
        <f t="shared" si="28"/>
        <v>-4.291264421944907E-2</v>
      </c>
      <c r="F188" s="240">
        <f t="shared" si="28"/>
        <v>5.5629139072847167E-2</v>
      </c>
      <c r="G188" s="240">
        <f t="shared" si="28"/>
        <v>-2.0000000000000018E-2</v>
      </c>
      <c r="H188" s="240">
        <f t="shared" si="28"/>
        <v>0.19999999999999996</v>
      </c>
      <c r="I188" s="240"/>
      <c r="J188" s="240"/>
      <c r="K188" s="240"/>
      <c r="L188" s="240"/>
      <c r="O188" s="240">
        <f>'Rate Class Customer Model'!B24-1</f>
        <v>1.9797820839390301E-2</v>
      </c>
      <c r="P188" s="240">
        <f>'Rate Class Customer Model'!C24-1</f>
        <v>-4.291264421944907E-2</v>
      </c>
      <c r="Q188" s="240">
        <f>'Rate Class Customer Model'!D24-1</f>
        <v>5.5629139072847167E-2</v>
      </c>
      <c r="R188" s="240">
        <f>'Rate Class Customer Model'!E24-1</f>
        <v>-2.0000000000000018E-2</v>
      </c>
      <c r="S188" s="240">
        <f>'Rate Class Customer Model'!F24-1</f>
        <v>0.19999999999999996</v>
      </c>
      <c r="T188" s="240"/>
      <c r="U188" s="240"/>
      <c r="V188" s="240"/>
      <c r="W188" s="240"/>
    </row>
    <row r="189" spans="1:23" x14ac:dyDescent="0.2">
      <c r="A189" s="375">
        <f t="shared" si="27"/>
        <v>2003</v>
      </c>
      <c r="B189" s="375"/>
      <c r="C189" s="294"/>
      <c r="D189" s="240">
        <f t="shared" si="28"/>
        <v>2.8299604407101109E-2</v>
      </c>
      <c r="E189" s="240">
        <f t="shared" si="28"/>
        <v>1.9681407220616176E-2</v>
      </c>
      <c r="F189" s="240">
        <f t="shared" si="28"/>
        <v>3.5968214136344656E-2</v>
      </c>
      <c r="G189" s="240">
        <f t="shared" si="28"/>
        <v>6.1224489795918435E-2</v>
      </c>
      <c r="H189" s="240">
        <f t="shared" si="28"/>
        <v>0</v>
      </c>
      <c r="I189" s="240"/>
      <c r="J189" s="240"/>
      <c r="K189" s="240"/>
      <c r="L189" s="240"/>
      <c r="O189" s="240">
        <f>'Rate Class Customer Model'!B25-1</f>
        <v>2.8299604407101109E-2</v>
      </c>
      <c r="P189" s="240">
        <f>'Rate Class Customer Model'!C25-1</f>
        <v>1.9681407220616176E-2</v>
      </c>
      <c r="Q189" s="240">
        <f>'Rate Class Customer Model'!D25-1</f>
        <v>3.5968214136344656E-2</v>
      </c>
      <c r="R189" s="240">
        <f>'Rate Class Customer Model'!E25-1</f>
        <v>6.1224489795918435E-2</v>
      </c>
      <c r="S189" s="240">
        <f>'Rate Class Customer Model'!F25-1</f>
        <v>0</v>
      </c>
      <c r="T189" s="240"/>
      <c r="U189" s="240"/>
      <c r="V189" s="240"/>
      <c r="W189" s="240"/>
    </row>
    <row r="190" spans="1:23" x14ac:dyDescent="0.2">
      <c r="A190" s="375">
        <f t="shared" si="27"/>
        <v>2004</v>
      </c>
      <c r="B190" s="375"/>
      <c r="C190" s="294"/>
      <c r="D190" s="240">
        <f t="shared" si="28"/>
        <v>3.0999027107456945E-2</v>
      </c>
      <c r="E190" s="240">
        <f t="shared" si="28"/>
        <v>1.1641232884974873E-2</v>
      </c>
      <c r="F190" s="240">
        <f t="shared" si="28"/>
        <v>1.7359709325797557E-2</v>
      </c>
      <c r="G190" s="240">
        <f t="shared" si="28"/>
        <v>3.8461538461538547E-2</v>
      </c>
      <c r="H190" s="240">
        <f t="shared" si="28"/>
        <v>0</v>
      </c>
      <c r="I190" s="240"/>
      <c r="J190" s="240">
        <f t="shared" si="28"/>
        <v>1.5142993120754511E-2</v>
      </c>
      <c r="K190" s="240"/>
      <c r="L190" s="240"/>
      <c r="O190" s="240">
        <f>'Rate Class Customer Model'!B26-1</f>
        <v>3.0999027107456945E-2</v>
      </c>
      <c r="P190" s="240">
        <f>'Rate Class Customer Model'!C26-1</f>
        <v>1.1641232884974873E-2</v>
      </c>
      <c r="Q190" s="240">
        <f>'Rate Class Customer Model'!D26-1</f>
        <v>1.7359709325797557E-2</v>
      </c>
      <c r="R190" s="240">
        <f>'Rate Class Customer Model'!E26-1</f>
        <v>3.8461538461538547E-2</v>
      </c>
      <c r="S190" s="240">
        <f>'Rate Class Customer Model'!F26-1</f>
        <v>0</v>
      </c>
      <c r="T190" s="240"/>
      <c r="U190" s="240">
        <f>'Rate Class Customer Model'!H26-1</f>
        <v>1.5142993120754511E-2</v>
      </c>
      <c r="V190" s="240"/>
      <c r="W190" s="240"/>
    </row>
    <row r="191" spans="1:23" x14ac:dyDescent="0.2">
      <c r="A191" s="375">
        <f t="shared" si="27"/>
        <v>2005</v>
      </c>
      <c r="B191" s="375"/>
      <c r="C191" s="294"/>
      <c r="D191" s="240">
        <f t="shared" si="28"/>
        <v>1.887281204899538E-2</v>
      </c>
      <c r="E191" s="240">
        <f t="shared" si="28"/>
        <v>2.2895301693298453E-2</v>
      </c>
      <c r="F191" s="240">
        <f t="shared" si="28"/>
        <v>5.5555555555555358E-3</v>
      </c>
      <c r="G191" s="240">
        <f t="shared" si="28"/>
        <v>5.555555555555558E-2</v>
      </c>
      <c r="H191" s="240">
        <f t="shared" si="28"/>
        <v>0</v>
      </c>
      <c r="I191" s="240"/>
      <c r="J191" s="240">
        <f t="shared" si="28"/>
        <v>1.3894216425861972E-2</v>
      </c>
      <c r="K191" s="240"/>
      <c r="L191" s="240"/>
      <c r="O191" s="240">
        <f>'Rate Class Customer Model'!B27-1</f>
        <v>1.887281204899538E-2</v>
      </c>
      <c r="P191" s="240">
        <f>'Rate Class Customer Model'!C27-1</f>
        <v>2.2895301693298453E-2</v>
      </c>
      <c r="Q191" s="240">
        <f>'Rate Class Customer Model'!D27-1</f>
        <v>5.5555555555555358E-3</v>
      </c>
      <c r="R191" s="240">
        <f>'Rate Class Customer Model'!E27-1</f>
        <v>5.555555555555558E-2</v>
      </c>
      <c r="S191" s="240">
        <f>'Rate Class Customer Model'!F27-1</f>
        <v>0</v>
      </c>
      <c r="T191" s="240"/>
      <c r="U191" s="240">
        <f>'Rate Class Customer Model'!H27-1</f>
        <v>1.3894216425861972E-2</v>
      </c>
      <c r="V191" s="240"/>
      <c r="W191" s="240"/>
    </row>
    <row r="192" spans="1:23" x14ac:dyDescent="0.2">
      <c r="A192" s="375">
        <f t="shared" si="27"/>
        <v>2006</v>
      </c>
      <c r="B192" s="375"/>
      <c r="C192" s="294"/>
      <c r="D192" s="240">
        <f t="shared" si="28"/>
        <v>1.7917892468431784E-2</v>
      </c>
      <c r="E192" s="240">
        <f t="shared" si="28"/>
        <v>1.4688738633714227E-2</v>
      </c>
      <c r="F192" s="240">
        <f t="shared" si="28"/>
        <v>2.1310181531176031E-2</v>
      </c>
      <c r="G192" s="240">
        <f t="shared" si="28"/>
        <v>3.5087719298245723E-2</v>
      </c>
      <c r="H192" s="240">
        <f t="shared" si="28"/>
        <v>-0.16666666666666663</v>
      </c>
      <c r="I192" s="240"/>
      <c r="J192" s="240">
        <f t="shared" si="28"/>
        <v>1.3262432216570641E-2</v>
      </c>
      <c r="K192" s="240"/>
      <c r="L192" s="240"/>
      <c r="O192" s="240">
        <f>'Rate Class Customer Model'!B28-1</f>
        <v>1.7917892468431784E-2</v>
      </c>
      <c r="P192" s="240">
        <f>'Rate Class Customer Model'!C28-1</f>
        <v>1.4688738633714227E-2</v>
      </c>
      <c r="Q192" s="240">
        <f>'Rate Class Customer Model'!D28-1</f>
        <v>2.1310181531176031E-2</v>
      </c>
      <c r="R192" s="240">
        <f>'Rate Class Customer Model'!E28-1</f>
        <v>3.5087719298245723E-2</v>
      </c>
      <c r="S192" s="240">
        <f>'Rate Class Customer Model'!F28-1</f>
        <v>-0.16666666666666663</v>
      </c>
      <c r="T192" s="240"/>
      <c r="U192" s="240">
        <f>'Rate Class Customer Model'!H28-1</f>
        <v>1.3262432216570641E-2</v>
      </c>
      <c r="V192" s="240"/>
      <c r="W192" s="240"/>
    </row>
    <row r="193" spans="1:23" x14ac:dyDescent="0.2">
      <c r="A193" s="375">
        <f t="shared" si="27"/>
        <v>2007</v>
      </c>
      <c r="B193" s="375"/>
      <c r="C193" s="294"/>
      <c r="D193" s="240">
        <f t="shared" si="28"/>
        <v>2.0171505369949605E-2</v>
      </c>
      <c r="E193" s="240">
        <f t="shared" si="28"/>
        <v>5.5147058823530326E-3</v>
      </c>
      <c r="F193" s="240">
        <f t="shared" si="28"/>
        <v>3.863987635239563E-2</v>
      </c>
      <c r="G193" s="240">
        <f t="shared" si="28"/>
        <v>-3.3898305084745783E-2</v>
      </c>
      <c r="H193" s="240">
        <f t="shared" si="28"/>
        <v>-0.19999999999999996</v>
      </c>
      <c r="I193" s="240">
        <f t="shared" si="28"/>
        <v>0</v>
      </c>
      <c r="J193" s="240">
        <f t="shared" si="28"/>
        <v>1.5349830944429543E-2</v>
      </c>
      <c r="K193" s="240">
        <f t="shared" si="28"/>
        <v>-5.8139534883720922E-2</v>
      </c>
      <c r="L193" s="240"/>
      <c r="O193" s="240">
        <f>'Rate Class Customer Model'!B29-1</f>
        <v>2.0171505369949605E-2</v>
      </c>
      <c r="P193" s="240">
        <f>'Rate Class Customer Model'!C29-1</f>
        <v>5.5147058823530326E-3</v>
      </c>
      <c r="Q193" s="240">
        <f>'Rate Class Customer Model'!D29-1</f>
        <v>3.863987635239563E-2</v>
      </c>
      <c r="R193" s="240">
        <f>'Rate Class Customer Model'!E29-1</f>
        <v>-3.3898305084745783E-2</v>
      </c>
      <c r="S193" s="240">
        <f>'Rate Class Customer Model'!F29-1</f>
        <v>-0.19999999999999996</v>
      </c>
      <c r="T193" s="240">
        <f>'Rate Class Customer Model'!G29-1</f>
        <v>0</v>
      </c>
      <c r="U193" s="240">
        <f>'Rate Class Customer Model'!H29-1</f>
        <v>1.5349830944429543E-2</v>
      </c>
      <c r="V193" s="240">
        <f>'Rate Class Customer Model'!I29-1</f>
        <v>-5.8139534883720922E-2</v>
      </c>
      <c r="W193" s="240"/>
    </row>
    <row r="194" spans="1:23" x14ac:dyDescent="0.2">
      <c r="A194" s="375">
        <f t="shared" si="27"/>
        <v>2008</v>
      </c>
      <c r="B194" s="375"/>
      <c r="C194" s="294"/>
      <c r="D194" s="240">
        <f t="shared" si="28"/>
        <v>1.2672690177790713E-2</v>
      </c>
      <c r="E194" s="240">
        <f t="shared" si="28"/>
        <v>1.6681901279707478E-2</v>
      </c>
      <c r="F194" s="240">
        <f t="shared" si="28"/>
        <v>1.1160714285714191E-2</v>
      </c>
      <c r="G194" s="240">
        <f t="shared" si="28"/>
        <v>-1.7543859649122862E-2</v>
      </c>
      <c r="H194" s="240">
        <f t="shared" si="28"/>
        <v>0</v>
      </c>
      <c r="I194" s="240">
        <f t="shared" si="28"/>
        <v>0</v>
      </c>
      <c r="J194" s="240">
        <f t="shared" si="28"/>
        <v>1.0480295818096286E-2</v>
      </c>
      <c r="K194" s="240">
        <f t="shared" si="28"/>
        <v>-5.9670781893004121E-2</v>
      </c>
      <c r="L194" s="240"/>
      <c r="O194" s="240">
        <f>'Rate Class Customer Model'!B30-1</f>
        <v>1.2672690177790713E-2</v>
      </c>
      <c r="P194" s="240">
        <f>'Rate Class Customer Model'!C30-1</f>
        <v>1.6681901279707478E-2</v>
      </c>
      <c r="Q194" s="240">
        <f>'Rate Class Customer Model'!D30-1</f>
        <v>1.1160714285714191E-2</v>
      </c>
      <c r="R194" s="240">
        <f>'Rate Class Customer Model'!E30-1</f>
        <v>-1.7543859649122862E-2</v>
      </c>
      <c r="S194" s="240">
        <f>'Rate Class Customer Model'!F30-1</f>
        <v>0</v>
      </c>
      <c r="T194" s="240">
        <f>'Rate Class Customer Model'!G30-1</f>
        <v>0</v>
      </c>
      <c r="U194" s="240">
        <f>'Rate Class Customer Model'!H30-1</f>
        <v>1.0480295818096286E-2</v>
      </c>
      <c r="V194" s="240">
        <f>'Rate Class Customer Model'!I30-1</f>
        <v>-5.9670781893004121E-2</v>
      </c>
      <c r="W194" s="240"/>
    </row>
    <row r="195" spans="1:23" x14ac:dyDescent="0.2">
      <c r="A195" s="375">
        <f t="shared" si="27"/>
        <v>2009</v>
      </c>
      <c r="B195" s="375"/>
      <c r="C195" s="294"/>
      <c r="D195" s="240">
        <f t="shared" si="28"/>
        <v>1.1639151757960819E-2</v>
      </c>
      <c r="E195" s="240">
        <f t="shared" si="28"/>
        <v>2.0566419420094295E-2</v>
      </c>
      <c r="F195" s="240">
        <f t="shared" si="28"/>
        <v>1.9867549668874274E-2</v>
      </c>
      <c r="G195" s="240">
        <f t="shared" si="28"/>
        <v>-5.3571428571428603E-2</v>
      </c>
      <c r="H195" s="240">
        <f t="shared" si="28"/>
        <v>0</v>
      </c>
      <c r="I195" s="240">
        <f t="shared" si="28"/>
        <v>0</v>
      </c>
      <c r="J195" s="240">
        <f t="shared" si="28"/>
        <v>7.6017953176175102E-3</v>
      </c>
      <c r="K195" s="240">
        <f t="shared" si="28"/>
        <v>8.97155361050328E-2</v>
      </c>
      <c r="L195" s="240"/>
      <c r="O195" s="240">
        <f>'Rate Class Customer Model'!B31-1</f>
        <v>1.1639151757960819E-2</v>
      </c>
      <c r="P195" s="240">
        <f>'Rate Class Customer Model'!C31-1</f>
        <v>2.0566419420094295E-2</v>
      </c>
      <c r="Q195" s="240">
        <f>'Rate Class Customer Model'!D31-1</f>
        <v>1.9867549668874274E-2</v>
      </c>
      <c r="R195" s="240">
        <f>'Rate Class Customer Model'!E31-1</f>
        <v>-5.3571428571428603E-2</v>
      </c>
      <c r="S195" s="240">
        <f>'Rate Class Customer Model'!F31-1</f>
        <v>0</v>
      </c>
      <c r="T195" s="240">
        <f>'Rate Class Customer Model'!G31-1</f>
        <v>0</v>
      </c>
      <c r="U195" s="240">
        <f>'Rate Class Customer Model'!H31-1</f>
        <v>7.6017953176175102E-3</v>
      </c>
      <c r="V195" s="240">
        <f>'Rate Class Customer Model'!I31-1</f>
        <v>8.97155361050328E-2</v>
      </c>
      <c r="W195" s="240"/>
    </row>
    <row r="196" spans="1:23" x14ac:dyDescent="0.2">
      <c r="A196" s="375">
        <f t="shared" si="27"/>
        <v>2010</v>
      </c>
      <c r="B196" s="375"/>
      <c r="C196" s="294"/>
      <c r="D196" s="240">
        <f t="shared" si="28"/>
        <v>2.2395957802737954E-2</v>
      </c>
      <c r="E196" s="240">
        <f t="shared" si="28"/>
        <v>1.3985243915868306E-2</v>
      </c>
      <c r="F196" s="240">
        <f t="shared" si="28"/>
        <v>2.1645021645021689E-2</v>
      </c>
      <c r="G196" s="240">
        <f t="shared" si="28"/>
        <v>-1.8867924528301883E-2</v>
      </c>
      <c r="H196" s="240">
        <f t="shared" si="28"/>
        <v>0</v>
      </c>
      <c r="I196" s="240">
        <f t="shared" si="28"/>
        <v>0</v>
      </c>
      <c r="J196" s="240">
        <f t="shared" si="28"/>
        <v>7.9457442112444987E-3</v>
      </c>
      <c r="K196" s="240">
        <f t="shared" si="28"/>
        <v>7.9317269076305319E-2</v>
      </c>
      <c r="L196" s="240">
        <f t="shared" si="28"/>
        <v>0</v>
      </c>
      <c r="O196" s="240">
        <f>'Rate Class Customer Model'!B32-1</f>
        <v>2.2395957802737954E-2</v>
      </c>
      <c r="P196" s="240">
        <f>'Rate Class Customer Model'!C32-1</f>
        <v>1.3985243915868306E-2</v>
      </c>
      <c r="Q196" s="240">
        <f>'Rate Class Customer Model'!D32-1</f>
        <v>2.1645021645021689E-2</v>
      </c>
      <c r="R196" s="240">
        <f>'Rate Class Customer Model'!E32-1</f>
        <v>-1.8867924528301883E-2</v>
      </c>
      <c r="S196" s="240">
        <f>'Rate Class Customer Model'!F32-1</f>
        <v>0</v>
      </c>
      <c r="T196" s="240">
        <f>'Rate Class Customer Model'!G32-1</f>
        <v>0</v>
      </c>
      <c r="U196" s="240">
        <f>'Rate Class Customer Model'!H32-1</f>
        <v>7.9457442112444987E-3</v>
      </c>
      <c r="V196" s="240">
        <f>'Rate Class Customer Model'!I32-1</f>
        <v>7.9317269076305319E-2</v>
      </c>
      <c r="W196" s="240">
        <f>'Rate Class Customer Model'!J32-1</f>
        <v>0</v>
      </c>
    </row>
    <row r="197" spans="1:23" x14ac:dyDescent="0.2">
      <c r="A197" s="375">
        <f t="shared" si="27"/>
        <v>2011</v>
      </c>
      <c r="B197" s="375"/>
      <c r="C197" s="294"/>
      <c r="D197" s="240">
        <f t="shared" si="28"/>
        <v>1.914493382753979E-2</v>
      </c>
      <c r="E197" s="240">
        <f t="shared" si="28"/>
        <v>5.5386620330146741E-3</v>
      </c>
      <c r="F197" s="240">
        <f t="shared" si="28"/>
        <v>2.1892655367231617E-2</v>
      </c>
      <c r="G197" s="240">
        <f t="shared" si="28"/>
        <v>7.6923076923076872E-2</v>
      </c>
      <c r="H197" s="240">
        <f t="shared" si="28"/>
        <v>0</v>
      </c>
      <c r="I197" s="240">
        <f t="shared" si="28"/>
        <v>0</v>
      </c>
      <c r="J197" s="240">
        <f t="shared" si="28"/>
        <v>5.1757773619460767E-3</v>
      </c>
      <c r="K197" s="240">
        <f t="shared" si="28"/>
        <v>-4.2790697674418565E-2</v>
      </c>
      <c r="L197" s="240">
        <f t="shared" si="28"/>
        <v>0</v>
      </c>
      <c r="O197" s="240">
        <f>'Rate Class Customer Model'!B33-1</f>
        <v>1.914493382753979E-2</v>
      </c>
      <c r="P197" s="240">
        <f>'Rate Class Customer Model'!C33-1</f>
        <v>5.5386620330146741E-3</v>
      </c>
      <c r="Q197" s="240">
        <f>'Rate Class Customer Model'!D33-1</f>
        <v>2.1892655367231617E-2</v>
      </c>
      <c r="R197" s="240">
        <f>'Rate Class Customer Model'!E33-1</f>
        <v>7.6923076923076872E-2</v>
      </c>
      <c r="S197" s="240">
        <f>'Rate Class Customer Model'!F33-1</f>
        <v>0</v>
      </c>
      <c r="T197" s="240">
        <f>'Rate Class Customer Model'!G33-1</f>
        <v>0</v>
      </c>
      <c r="U197" s="240">
        <f>'Rate Class Customer Model'!H33-1</f>
        <v>5.1757773619460767E-3</v>
      </c>
      <c r="V197" s="240">
        <f>'Rate Class Customer Model'!I33-1</f>
        <v>-4.2790697674418565E-2</v>
      </c>
      <c r="W197" s="240">
        <f>'Rate Class Customer Model'!J33-1</f>
        <v>0</v>
      </c>
    </row>
    <row r="198" spans="1:23" x14ac:dyDescent="0.2">
      <c r="A198" s="375">
        <f t="shared" si="27"/>
        <v>2012</v>
      </c>
      <c r="B198" s="375"/>
      <c r="C198" s="294"/>
      <c r="D198" s="240">
        <f t="shared" si="28"/>
        <v>1.0987210711984385E-2</v>
      </c>
      <c r="E198" s="240">
        <f t="shared" si="28"/>
        <v>6.8041905173343853E-3</v>
      </c>
      <c r="F198" s="240">
        <f t="shared" si="28"/>
        <v>1.7968210089841063E-2</v>
      </c>
      <c r="G198" s="240">
        <f t="shared" si="28"/>
        <v>-3.5714285714285698E-2</v>
      </c>
      <c r="H198" s="240">
        <f t="shared" si="28"/>
        <v>0</v>
      </c>
      <c r="I198" s="240">
        <f t="shared" si="28"/>
        <v>0</v>
      </c>
      <c r="J198" s="240">
        <f t="shared" si="28"/>
        <v>7.8029072761121032E-3</v>
      </c>
      <c r="K198" s="240">
        <f t="shared" si="28"/>
        <v>-4.6647230320699729E-2</v>
      </c>
      <c r="L198" s="240">
        <f t="shared" si="28"/>
        <v>0</v>
      </c>
      <c r="O198" s="240">
        <f>'Rate Class Customer Model'!B34-1</f>
        <v>1.0987210711984385E-2</v>
      </c>
      <c r="P198" s="240">
        <f>'Rate Class Customer Model'!C34-1</f>
        <v>6.8041905173343853E-3</v>
      </c>
      <c r="Q198" s="240">
        <f>'Rate Class Customer Model'!D34-1</f>
        <v>1.7968210089841063E-2</v>
      </c>
      <c r="R198" s="240">
        <f>'Rate Class Customer Model'!E34-1</f>
        <v>-3.5714285714285698E-2</v>
      </c>
      <c r="S198" s="240">
        <f>'Rate Class Customer Model'!F34-1</f>
        <v>0</v>
      </c>
      <c r="T198" s="240">
        <f>'Rate Class Customer Model'!G34-1</f>
        <v>0</v>
      </c>
      <c r="U198" s="240">
        <f>'Rate Class Customer Model'!H34-1</f>
        <v>7.8029072761121032E-3</v>
      </c>
      <c r="V198" s="240">
        <f>'Rate Class Customer Model'!I34-1</f>
        <v>-4.6647230320699729E-2</v>
      </c>
      <c r="W198" s="240">
        <f>'Rate Class Customer Model'!J34-1</f>
        <v>0</v>
      </c>
    </row>
    <row r="199" spans="1:23" ht="15" x14ac:dyDescent="0.2">
      <c r="A199" s="383" t="s">
        <v>99</v>
      </c>
      <c r="B199" s="383"/>
      <c r="C199" s="292"/>
      <c r="D199" s="241">
        <f>'Rate Class Customer Model'!B38-1</f>
        <v>1.9336509788819178E-2</v>
      </c>
      <c r="E199" s="241">
        <f>'Rate Class Customer Model'!C38-1</f>
        <v>8.4919598598693913E-3</v>
      </c>
      <c r="F199" s="241">
        <f>'Rate Class Customer Model'!D38-1</f>
        <v>2.4185432124516293E-2</v>
      </c>
      <c r="G199" s="241">
        <f>'Rate Class Customer Model'!E38-1</f>
        <v>7.0209906792879639E-3</v>
      </c>
      <c r="H199" s="241">
        <f>'Rate Class Customer Model'!F38-1</f>
        <v>-2.0081405291969112E-2</v>
      </c>
      <c r="I199" s="241">
        <f>'Rate Class Customer Model'!G38-1</f>
        <v>0</v>
      </c>
      <c r="J199" s="241">
        <f>'Rate Class Customer Model'!H38-1</f>
        <v>1.0733273705334945E-2</v>
      </c>
      <c r="K199" s="241">
        <f>'Rate Class Customer Model'!I38-1</f>
        <v>-8.4113394677829412E-3</v>
      </c>
      <c r="L199" s="241">
        <f>'Rate Class Customer Model'!J38-1</f>
        <v>0</v>
      </c>
    </row>
    <row r="200" spans="1:23" x14ac:dyDescent="0.2">
      <c r="I200" s="190"/>
      <c r="K200" s="197"/>
    </row>
    <row r="201" spans="1:23" ht="15" x14ac:dyDescent="0.2">
      <c r="A201" s="376" t="s">
        <v>261</v>
      </c>
      <c r="B201" s="376"/>
      <c r="C201" s="376"/>
      <c r="D201" s="376"/>
      <c r="E201" s="376"/>
      <c r="F201" s="376"/>
      <c r="G201" s="376"/>
      <c r="H201" s="376"/>
      <c r="I201" s="376"/>
      <c r="J201" s="376"/>
      <c r="K201" s="376"/>
      <c r="L201" s="376"/>
      <c r="M201" s="376"/>
    </row>
    <row r="202" spans="1:23" ht="60.75" customHeight="1" x14ac:dyDescent="0.2">
      <c r="A202" s="405" t="s">
        <v>89</v>
      </c>
      <c r="B202" s="405"/>
      <c r="C202" s="326"/>
      <c r="D202" s="274" t="str">
        <f>D169</f>
        <v xml:space="preserve">Residential </v>
      </c>
      <c r="E202" s="274" t="str">
        <f t="shared" ref="E202:L202" si="29">E169</f>
        <v>General Service &lt; 50 kW</v>
      </c>
      <c r="F202" s="274" t="str">
        <f t="shared" si="29"/>
        <v>General Service &gt; 50 to 999 kW</v>
      </c>
      <c r="G202" s="274" t="str">
        <f t="shared" si="29"/>
        <v>General Service &gt; 1000 to 4999 kW</v>
      </c>
      <c r="H202" s="274" t="str">
        <f t="shared" si="29"/>
        <v>Large User</v>
      </c>
      <c r="I202" s="274" t="str">
        <f t="shared" si="29"/>
        <v>Direct Market Participant</v>
      </c>
      <c r="J202" s="274" t="str">
        <f t="shared" si="29"/>
        <v>Street Lights</v>
      </c>
      <c r="K202" s="274" t="str">
        <f t="shared" si="29"/>
        <v xml:space="preserve">Unmetered Loads </v>
      </c>
      <c r="L202" s="274" t="str">
        <f t="shared" si="29"/>
        <v>Embedded Distributor</v>
      </c>
      <c r="M202" s="274" t="str">
        <f>M169</f>
        <v>Total</v>
      </c>
    </row>
    <row r="203" spans="1:23" ht="15" x14ac:dyDescent="0.2">
      <c r="A203" s="383" t="s">
        <v>188</v>
      </c>
      <c r="B203" s="383"/>
      <c r="C203" s="383"/>
      <c r="D203" s="383"/>
      <c r="E203" s="383"/>
      <c r="F203" s="383"/>
      <c r="G203" s="383"/>
      <c r="H203" s="383"/>
      <c r="I203" s="383"/>
      <c r="J203" s="246"/>
      <c r="K203" s="210"/>
      <c r="L203" s="210"/>
      <c r="M203" s="210"/>
    </row>
    <row r="204" spans="1:23" ht="15" x14ac:dyDescent="0.2">
      <c r="A204" s="408">
        <v>2013</v>
      </c>
      <c r="B204" s="408"/>
      <c r="C204" s="290"/>
      <c r="D204" s="243">
        <f>D182*(1+D199)</f>
        <v>47178.461350810816</v>
      </c>
      <c r="E204" s="243">
        <f t="shared" ref="E204:L204" si="30">E182*(1+E199)</f>
        <v>4700.5810249068509</v>
      </c>
      <c r="F204" s="243">
        <f t="shared" si="30"/>
        <v>754.3125707597062</v>
      </c>
      <c r="G204" s="243">
        <f t="shared" si="30"/>
        <v>27.189566748340773</v>
      </c>
      <c r="H204" s="243">
        <v>2</v>
      </c>
      <c r="I204" s="243">
        <f t="shared" si="30"/>
        <v>1</v>
      </c>
      <c r="J204" s="243">
        <f t="shared" si="30"/>
        <v>12858.548708079272</v>
      </c>
      <c r="K204" s="243">
        <f t="shared" si="30"/>
        <v>486.37423799105244</v>
      </c>
      <c r="L204" s="243">
        <f t="shared" si="30"/>
        <v>2</v>
      </c>
      <c r="M204" s="243">
        <f>SUM(D204:L204)</f>
        <v>66010.467459296036</v>
      </c>
      <c r="O204" s="215">
        <f>Summary!N58</f>
        <v>66010.467459296036</v>
      </c>
    </row>
    <row r="205" spans="1:23" ht="15" x14ac:dyDescent="0.2">
      <c r="A205" s="408">
        <v>2014</v>
      </c>
      <c r="B205" s="408"/>
      <c r="C205" s="294"/>
      <c r="D205" s="243">
        <f>D204*(1+D199)</f>
        <v>48090.728130542193</v>
      </c>
      <c r="E205" s="243">
        <f t="shared" ref="E205:L205" si="31">E204*(1+E199)</f>
        <v>4740.4981702884234</v>
      </c>
      <c r="F205" s="243">
        <f t="shared" si="31"/>
        <v>772.55594624048445</v>
      </c>
      <c r="G205" s="243">
        <f t="shared" si="31"/>
        <v>27.380464443054752</v>
      </c>
      <c r="H205" s="243">
        <v>2</v>
      </c>
      <c r="I205" s="243">
        <f t="shared" si="31"/>
        <v>1</v>
      </c>
      <c r="J205" s="243">
        <f t="shared" si="31"/>
        <v>12996.563030816467</v>
      </c>
      <c r="K205" s="243">
        <f t="shared" si="31"/>
        <v>482.28317916692544</v>
      </c>
      <c r="L205" s="243">
        <f t="shared" si="31"/>
        <v>2</v>
      </c>
      <c r="M205" s="243">
        <f>SUM(D205:L205)</f>
        <v>67115.00892149756</v>
      </c>
      <c r="O205" s="215">
        <f>Summary!O58</f>
        <v>67115.00892149756</v>
      </c>
    </row>
    <row r="206" spans="1:23" x14ac:dyDescent="0.2">
      <c r="J206" s="190"/>
    </row>
    <row r="207" spans="1:23" ht="15" x14ac:dyDescent="0.2">
      <c r="A207" s="284" t="s">
        <v>262</v>
      </c>
      <c r="B207" s="284"/>
      <c r="C207" s="284"/>
      <c r="D207" s="284"/>
      <c r="E207" s="284"/>
      <c r="F207" s="284"/>
      <c r="G207" s="284"/>
      <c r="H207" s="284"/>
      <c r="I207" s="284"/>
      <c r="J207" s="284"/>
      <c r="K207" s="284"/>
      <c r="L207" s="284"/>
    </row>
    <row r="208" spans="1:23" ht="60" x14ac:dyDescent="0.2">
      <c r="A208" s="405" t="s">
        <v>89</v>
      </c>
      <c r="B208" s="405"/>
      <c r="C208" s="325"/>
      <c r="D208" s="267" t="str">
        <f>D202</f>
        <v xml:space="preserve">Residential </v>
      </c>
      <c r="E208" s="267" t="str">
        <f t="shared" ref="E208:L208" si="32">E202</f>
        <v>General Service &lt; 50 kW</v>
      </c>
      <c r="F208" s="267" t="str">
        <f t="shared" si="32"/>
        <v>General Service &gt; 50 to 999 kW</v>
      </c>
      <c r="G208" s="267" t="str">
        <f t="shared" si="32"/>
        <v>General Service &gt; 1000 to 4999 kW</v>
      </c>
      <c r="H208" s="267" t="str">
        <f t="shared" si="32"/>
        <v>Large User</v>
      </c>
      <c r="I208" s="267" t="str">
        <f t="shared" si="32"/>
        <v>Direct Market Participant</v>
      </c>
      <c r="J208" s="267" t="str">
        <f t="shared" si="32"/>
        <v>Street Lights</v>
      </c>
      <c r="K208" s="267" t="str">
        <f t="shared" si="32"/>
        <v xml:space="preserve">Unmetered Loads </v>
      </c>
      <c r="L208" s="267" t="str">
        <f t="shared" si="32"/>
        <v>Embedded Distributor</v>
      </c>
    </row>
    <row r="209" spans="1:12" ht="15" x14ac:dyDescent="0.2">
      <c r="A209" s="383" t="s">
        <v>189</v>
      </c>
      <c r="B209" s="383"/>
      <c r="C209" s="383"/>
      <c r="D209" s="383"/>
      <c r="E209" s="383"/>
      <c r="F209" s="383"/>
      <c r="G209" s="383"/>
      <c r="H209" s="383"/>
      <c r="I209" s="383"/>
      <c r="J209" s="383"/>
      <c r="K209" s="383"/>
      <c r="L209" s="383"/>
    </row>
    <row r="210" spans="1:12" ht="15" x14ac:dyDescent="0.2">
      <c r="A210" s="375">
        <f t="shared" ref="A210:A221" si="33">A187</f>
        <v>2001</v>
      </c>
      <c r="B210" s="375"/>
      <c r="C210" s="292"/>
      <c r="D210" s="239">
        <f>D69</f>
        <v>9373.9139493339153</v>
      </c>
      <c r="E210" s="239">
        <f t="shared" ref="E210:K210" si="34">E69</f>
        <v>36999.370001668125</v>
      </c>
      <c r="F210" s="239">
        <f t="shared" si="34"/>
        <v>728644.418904452</v>
      </c>
      <c r="G210" s="239">
        <f t="shared" si="34"/>
        <v>9454115.8660000004</v>
      </c>
      <c r="H210" s="239">
        <f t="shared" si="34"/>
        <v>80954381.723999977</v>
      </c>
      <c r="I210" s="239">
        <f t="shared" si="34"/>
        <v>0</v>
      </c>
      <c r="J210" s="239">
        <f t="shared" si="34"/>
        <v>0</v>
      </c>
      <c r="K210" s="239">
        <f t="shared" si="34"/>
        <v>0</v>
      </c>
      <c r="L210" s="239">
        <f>L69</f>
        <v>0</v>
      </c>
    </row>
    <row r="211" spans="1:12" ht="15" x14ac:dyDescent="0.2">
      <c r="A211" s="375">
        <f t="shared" si="33"/>
        <v>2002</v>
      </c>
      <c r="B211" s="375"/>
      <c r="C211" s="292"/>
      <c r="D211" s="239">
        <f t="shared" ref="D211:K221" si="35">D70</f>
        <v>8792.7230825499519</v>
      </c>
      <c r="E211" s="239">
        <f t="shared" si="35"/>
        <v>37948.394854666891</v>
      </c>
      <c r="F211" s="239">
        <f t="shared" si="35"/>
        <v>739289.91384358017</v>
      </c>
      <c r="G211" s="239">
        <f t="shared" si="35"/>
        <v>10112038.897959184</v>
      </c>
      <c r="H211" s="239">
        <f t="shared" si="35"/>
        <v>79522758.333333343</v>
      </c>
      <c r="I211" s="239">
        <f t="shared" si="35"/>
        <v>0</v>
      </c>
      <c r="J211" s="239">
        <f t="shared" si="35"/>
        <v>0</v>
      </c>
      <c r="K211" s="239">
        <f t="shared" si="35"/>
        <v>0</v>
      </c>
      <c r="L211" s="239">
        <f t="shared" ref="L211" si="36">L70</f>
        <v>0</v>
      </c>
    </row>
    <row r="212" spans="1:12" x14ac:dyDescent="0.2">
      <c r="A212" s="375">
        <f t="shared" si="33"/>
        <v>2003</v>
      </c>
      <c r="B212" s="375"/>
      <c r="C212" s="294"/>
      <c r="D212" s="239">
        <f t="shared" si="35"/>
        <v>9303.7585312801584</v>
      </c>
      <c r="E212" s="239">
        <f t="shared" si="35"/>
        <v>39384.833056561547</v>
      </c>
      <c r="F212" s="239">
        <f t="shared" si="35"/>
        <v>726413.09371193405</v>
      </c>
      <c r="G212" s="239">
        <f t="shared" si="35"/>
        <v>10127651.807691896</v>
      </c>
      <c r="H212" s="239">
        <f t="shared" si="35"/>
        <v>78223773.000000015</v>
      </c>
      <c r="I212" s="239">
        <f t="shared" si="35"/>
        <v>0</v>
      </c>
      <c r="J212" s="239">
        <f t="shared" si="35"/>
        <v>814.57768355470955</v>
      </c>
      <c r="K212" s="239">
        <f t="shared" si="35"/>
        <v>0</v>
      </c>
      <c r="L212" s="239">
        <f t="shared" ref="L212" si="37">L71</f>
        <v>0</v>
      </c>
    </row>
    <row r="213" spans="1:12" x14ac:dyDescent="0.2">
      <c r="A213" s="375">
        <f t="shared" si="33"/>
        <v>2004</v>
      </c>
      <c r="B213" s="375"/>
      <c r="C213" s="294"/>
      <c r="D213" s="239">
        <f t="shared" si="35"/>
        <v>9040.8417088218848</v>
      </c>
      <c r="E213" s="239">
        <f t="shared" si="35"/>
        <v>39520.373532119658</v>
      </c>
      <c r="F213" s="239">
        <f t="shared" si="35"/>
        <v>748440.44256939797</v>
      </c>
      <c r="G213" s="239">
        <f t="shared" si="35"/>
        <v>9996628.9999999981</v>
      </c>
      <c r="H213" s="239">
        <f t="shared" si="35"/>
        <v>81724293.333333313</v>
      </c>
      <c r="I213" s="239">
        <f t="shared" si="35"/>
        <v>0</v>
      </c>
      <c r="J213" s="239">
        <f t="shared" si="35"/>
        <v>811.32030079699962</v>
      </c>
      <c r="K213" s="239">
        <f t="shared" si="35"/>
        <v>0</v>
      </c>
      <c r="L213" s="239">
        <f t="shared" ref="L213" si="38">L72</f>
        <v>0</v>
      </c>
    </row>
    <row r="214" spans="1:12" x14ac:dyDescent="0.2">
      <c r="A214" s="375">
        <f t="shared" si="33"/>
        <v>2005</v>
      </c>
      <c r="B214" s="375"/>
      <c r="C214" s="294"/>
      <c r="D214" s="239">
        <f t="shared" si="35"/>
        <v>9540.631445754274</v>
      </c>
      <c r="E214" s="239">
        <f t="shared" si="35"/>
        <v>40305.941505536961</v>
      </c>
      <c r="F214" s="239">
        <f t="shared" si="35"/>
        <v>753500.45735210052</v>
      </c>
      <c r="G214" s="239">
        <f t="shared" si="35"/>
        <v>10135115.144209845</v>
      </c>
      <c r="H214" s="239">
        <f t="shared" si="35"/>
        <v>85447129.846669495</v>
      </c>
      <c r="I214" s="239">
        <f t="shared" si="35"/>
        <v>0</v>
      </c>
      <c r="J214" s="239">
        <f t="shared" si="35"/>
        <v>802.20074152008578</v>
      </c>
      <c r="K214" s="239">
        <f t="shared" si="35"/>
        <v>0</v>
      </c>
      <c r="L214" s="239">
        <f t="shared" ref="L214" si="39">L73</f>
        <v>0</v>
      </c>
    </row>
    <row r="215" spans="1:12" x14ac:dyDescent="0.2">
      <c r="A215" s="375">
        <f t="shared" si="33"/>
        <v>2006</v>
      </c>
      <c r="B215" s="375"/>
      <c r="C215" s="294"/>
      <c r="D215" s="239">
        <f t="shared" si="35"/>
        <v>9076.7009262821612</v>
      </c>
      <c r="E215" s="239">
        <f t="shared" si="35"/>
        <v>38347.185172637845</v>
      </c>
      <c r="F215" s="239">
        <f t="shared" si="35"/>
        <v>706685.75359590736</v>
      </c>
      <c r="G215" s="239">
        <f t="shared" si="35"/>
        <v>8415274.259600848</v>
      </c>
      <c r="H215" s="239">
        <f t="shared" si="35"/>
        <v>100840725.564</v>
      </c>
      <c r="I215" s="239">
        <f t="shared" si="35"/>
        <v>42759994.270000003</v>
      </c>
      <c r="J215" s="239">
        <f t="shared" si="35"/>
        <v>771.68643512033566</v>
      </c>
      <c r="K215" s="239">
        <f t="shared" si="35"/>
        <v>5808.7245563539936</v>
      </c>
      <c r="L215" s="239">
        <f t="shared" ref="L215" si="40">L74</f>
        <v>0</v>
      </c>
    </row>
    <row r="216" spans="1:12" x14ac:dyDescent="0.2">
      <c r="A216" s="375">
        <f t="shared" si="33"/>
        <v>2007</v>
      </c>
      <c r="B216" s="375"/>
      <c r="C216" s="294"/>
      <c r="D216" s="239">
        <f t="shared" si="35"/>
        <v>9153.2256721902322</v>
      </c>
      <c r="E216" s="239">
        <f t="shared" si="35"/>
        <v>38758.289334587418</v>
      </c>
      <c r="F216" s="239">
        <f t="shared" si="35"/>
        <v>701008.02986795979</v>
      </c>
      <c r="G216" s="239">
        <f t="shared" si="35"/>
        <v>7959260.4631572273</v>
      </c>
      <c r="H216" s="239">
        <f t="shared" si="35"/>
        <v>126046174.23999564</v>
      </c>
      <c r="I216" s="239">
        <f t="shared" si="35"/>
        <v>42771842.82</v>
      </c>
      <c r="J216" s="239">
        <f t="shared" si="35"/>
        <v>771.64656111335228</v>
      </c>
      <c r="K216" s="239">
        <f t="shared" si="35"/>
        <v>4528.8251249231444</v>
      </c>
      <c r="L216" s="239">
        <f t="shared" ref="L216" si="41">L75</f>
        <v>0</v>
      </c>
    </row>
    <row r="217" spans="1:12" x14ac:dyDescent="0.2">
      <c r="A217" s="375">
        <f t="shared" si="33"/>
        <v>2008</v>
      </c>
      <c r="B217" s="375"/>
      <c r="C217" s="294"/>
      <c r="D217" s="239">
        <f t="shared" si="35"/>
        <v>8917.9326246403143</v>
      </c>
      <c r="E217" s="239">
        <f t="shared" si="35"/>
        <v>38270.082546105012</v>
      </c>
      <c r="F217" s="239">
        <f t="shared" si="35"/>
        <v>671152.88069500064</v>
      </c>
      <c r="G217" s="239">
        <f t="shared" si="35"/>
        <v>7864402.1861153571</v>
      </c>
      <c r="H217" s="239">
        <f t="shared" si="35"/>
        <v>115148877.55499917</v>
      </c>
      <c r="I217" s="239">
        <f t="shared" si="35"/>
        <v>42936833.090000004</v>
      </c>
      <c r="J217" s="239">
        <f t="shared" si="35"/>
        <v>764.13327160167648</v>
      </c>
      <c r="K217" s="239">
        <f t="shared" si="35"/>
        <v>4621.9523807213536</v>
      </c>
      <c r="L217" s="239">
        <f t="shared" ref="L217" si="42">L76</f>
        <v>0</v>
      </c>
    </row>
    <row r="218" spans="1:12" x14ac:dyDescent="0.2">
      <c r="A218" s="375">
        <f t="shared" si="33"/>
        <v>2009</v>
      </c>
      <c r="B218" s="375"/>
      <c r="C218" s="294"/>
      <c r="D218" s="239">
        <f t="shared" si="35"/>
        <v>8639.3480086025338</v>
      </c>
      <c r="E218" s="239">
        <f t="shared" si="35"/>
        <v>35304.546677693681</v>
      </c>
      <c r="F218" s="239">
        <f t="shared" si="35"/>
        <v>624043.24213462556</v>
      </c>
      <c r="G218" s="239">
        <f t="shared" si="35"/>
        <v>7283120.2011315906</v>
      </c>
      <c r="H218" s="239">
        <f t="shared" si="35"/>
        <v>90339539.399996996</v>
      </c>
      <c r="I218" s="239">
        <f t="shared" si="35"/>
        <v>43206777.520000003</v>
      </c>
      <c r="J218" s="239">
        <f t="shared" si="35"/>
        <v>760.10515349541504</v>
      </c>
      <c r="K218" s="239">
        <f t="shared" si="35"/>
        <v>4288.4677558858666</v>
      </c>
      <c r="L218" s="239">
        <f t="shared" ref="L218" si="43">L77</f>
        <v>27136267.779458601</v>
      </c>
    </row>
    <row r="219" spans="1:12" x14ac:dyDescent="0.2">
      <c r="A219" s="375">
        <f t="shared" si="33"/>
        <v>2010</v>
      </c>
      <c r="B219" s="375"/>
      <c r="C219" s="294"/>
      <c r="D219" s="239">
        <f t="shared" si="35"/>
        <v>8821.5143507970934</v>
      </c>
      <c r="E219" s="239">
        <f t="shared" si="35"/>
        <v>35508.230412391196</v>
      </c>
      <c r="F219" s="239">
        <f t="shared" si="35"/>
        <v>602420.55870491301</v>
      </c>
      <c r="G219" s="239">
        <f t="shared" si="35"/>
        <v>8496833.4022547808</v>
      </c>
      <c r="H219" s="239">
        <f t="shared" si="35"/>
        <v>98278640.311352804</v>
      </c>
      <c r="I219" s="239">
        <f t="shared" si="35"/>
        <v>43796746.469999999</v>
      </c>
      <c r="J219" s="239">
        <f t="shared" si="35"/>
        <v>757.9890848863397</v>
      </c>
      <c r="K219" s="239">
        <f t="shared" si="35"/>
        <v>3963.2407637355345</v>
      </c>
      <c r="L219" s="239">
        <f t="shared" ref="L219" si="44">L78</f>
        <v>24905414.236567497</v>
      </c>
    </row>
    <row r="220" spans="1:12" x14ac:dyDescent="0.2">
      <c r="A220" s="375">
        <f t="shared" si="33"/>
        <v>2011</v>
      </c>
      <c r="B220" s="375"/>
      <c r="C220" s="294"/>
      <c r="D220" s="239">
        <f t="shared" si="35"/>
        <v>8662.131701650429</v>
      </c>
      <c r="E220" s="239">
        <f t="shared" si="35"/>
        <v>34198.524515304656</v>
      </c>
      <c r="F220" s="239">
        <f t="shared" si="35"/>
        <v>604228.10792279441</v>
      </c>
      <c r="G220" s="239">
        <f t="shared" si="35"/>
        <v>8598827.6741832234</v>
      </c>
      <c r="H220" s="239">
        <f t="shared" si="35"/>
        <v>84597900.095934883</v>
      </c>
      <c r="I220" s="239">
        <f t="shared" si="35"/>
        <v>46753740.940000005</v>
      </c>
      <c r="J220" s="239">
        <f t="shared" si="35"/>
        <v>754.10825158583168</v>
      </c>
      <c r="K220" s="239">
        <f t="shared" si="35"/>
        <v>4018.6794702854008</v>
      </c>
      <c r="L220" s="239">
        <f t="shared" ref="L220" si="45">L79</f>
        <v>25633242.453565735</v>
      </c>
    </row>
    <row r="221" spans="1:12" x14ac:dyDescent="0.2">
      <c r="A221" s="375">
        <f t="shared" si="33"/>
        <v>2012</v>
      </c>
      <c r="B221" s="375"/>
      <c r="C221" s="294"/>
      <c r="D221" s="239">
        <f t="shared" si="35"/>
        <v>8633.477980961592</v>
      </c>
      <c r="E221" s="239">
        <f t="shared" si="35"/>
        <v>34025.967469642819</v>
      </c>
      <c r="F221" s="239">
        <f t="shared" si="35"/>
        <v>593891.75762258796</v>
      </c>
      <c r="G221" s="239">
        <f t="shared" si="35"/>
        <v>8378886.6359366057</v>
      </c>
      <c r="H221" s="239">
        <f t="shared" si="35"/>
        <v>100594752.60625</v>
      </c>
      <c r="I221" s="239">
        <f t="shared" si="35"/>
        <v>45452655.189999998</v>
      </c>
      <c r="J221" s="239">
        <f t="shared" si="35"/>
        <v>758.14896959779435</v>
      </c>
      <c r="K221" s="239">
        <f t="shared" si="35"/>
        <v>4108.8472920388394</v>
      </c>
      <c r="L221" s="239">
        <f t="shared" ref="L221" si="46">L80</f>
        <v>22395380.176944394</v>
      </c>
    </row>
    <row r="223" spans="1:12" ht="15" x14ac:dyDescent="0.2">
      <c r="A223" s="376" t="s">
        <v>263</v>
      </c>
      <c r="B223" s="376"/>
      <c r="C223" s="376"/>
      <c r="D223" s="376"/>
      <c r="E223" s="376"/>
      <c r="F223" s="376"/>
      <c r="G223" s="376"/>
      <c r="H223" s="376"/>
      <c r="I223" s="376"/>
      <c r="J223" s="376"/>
      <c r="K223" s="376"/>
      <c r="L223" s="376"/>
    </row>
    <row r="224" spans="1:12" ht="60" x14ac:dyDescent="0.2">
      <c r="A224" s="405" t="s">
        <v>89</v>
      </c>
      <c r="B224" s="405"/>
      <c r="C224" s="325"/>
      <c r="D224" s="267" t="str">
        <f>D208</f>
        <v xml:space="preserve">Residential </v>
      </c>
      <c r="E224" s="267" t="str">
        <f t="shared" ref="E224:L224" si="47">E208</f>
        <v>General Service &lt; 50 kW</v>
      </c>
      <c r="F224" s="267" t="str">
        <f t="shared" si="47"/>
        <v>General Service &gt; 50 to 999 kW</v>
      </c>
      <c r="G224" s="267" t="str">
        <f t="shared" si="47"/>
        <v>General Service &gt; 1000 to 4999 kW</v>
      </c>
      <c r="H224" s="267" t="str">
        <f t="shared" si="47"/>
        <v>Large User</v>
      </c>
      <c r="I224" s="267" t="str">
        <f t="shared" si="47"/>
        <v>Direct Market Participant</v>
      </c>
      <c r="J224" s="267" t="str">
        <f t="shared" si="47"/>
        <v>Street Lights</v>
      </c>
      <c r="K224" s="267" t="str">
        <f t="shared" si="47"/>
        <v xml:space="preserve">Unmetered Loads </v>
      </c>
      <c r="L224" s="267" t="str">
        <f t="shared" si="47"/>
        <v>Embedded Distributor</v>
      </c>
    </row>
    <row r="225" spans="1:23" ht="15" x14ac:dyDescent="0.2">
      <c r="A225" s="383" t="s">
        <v>190</v>
      </c>
      <c r="B225" s="383"/>
      <c r="C225" s="383"/>
      <c r="D225" s="383"/>
      <c r="E225" s="383"/>
      <c r="F225" s="383"/>
      <c r="G225" s="383"/>
      <c r="H225" s="383"/>
      <c r="I225" s="383"/>
      <c r="J225" s="383"/>
      <c r="K225" s="383"/>
      <c r="L225" s="383"/>
    </row>
    <row r="226" spans="1:23" ht="15" x14ac:dyDescent="0.2">
      <c r="A226" s="375">
        <f t="shared" ref="A226:A237" si="48">A210</f>
        <v>2001</v>
      </c>
      <c r="B226" s="375"/>
      <c r="C226" s="292"/>
      <c r="D226" s="240"/>
      <c r="E226" s="292"/>
      <c r="F226" s="292"/>
      <c r="G226" s="292"/>
      <c r="H226" s="246"/>
      <c r="I226" s="246"/>
      <c r="J226" s="209"/>
      <c r="K226" s="210"/>
      <c r="L226" s="210"/>
    </row>
    <row r="227" spans="1:23" ht="15" x14ac:dyDescent="0.2">
      <c r="A227" s="375">
        <f t="shared" si="48"/>
        <v>2002</v>
      </c>
      <c r="B227" s="375"/>
      <c r="C227" s="292"/>
      <c r="D227" s="240">
        <f t="shared" ref="D227:H228" si="49">D211/D210-1</f>
        <v>-6.2000874973389464E-2</v>
      </c>
      <c r="E227" s="240">
        <f t="shared" si="49"/>
        <v>2.5649757089268865E-2</v>
      </c>
      <c r="F227" s="240">
        <f t="shared" si="49"/>
        <v>1.4609999971088916E-2</v>
      </c>
      <c r="G227" s="240">
        <f t="shared" si="49"/>
        <v>6.9591175027300389E-2</v>
      </c>
      <c r="H227" s="240">
        <f t="shared" si="49"/>
        <v>-1.7684322456411383E-2</v>
      </c>
      <c r="I227" s="240"/>
      <c r="J227" s="240"/>
      <c r="K227" s="240"/>
      <c r="L227" s="240"/>
      <c r="N227" s="240">
        <f>'Rate Class Energy Model'!H52-1</f>
        <v>-6.2000874973389242E-2</v>
      </c>
      <c r="O227" s="240">
        <f>'Rate Class Energy Model'!I52-1</f>
        <v>2.5649757089268865E-2</v>
      </c>
      <c r="P227" s="240">
        <f>'Rate Class Energy Model'!J52-1</f>
        <v>1.460999997108936E-2</v>
      </c>
      <c r="Q227" s="240">
        <f>'Rate Class Energy Model'!K52-1</f>
        <v>6.9591175027300611E-2</v>
      </c>
      <c r="R227" s="240">
        <f>'Rate Class Energy Model'!L52-1</f>
        <v>-1.7684322456411383E-2</v>
      </c>
      <c r="S227" s="240"/>
      <c r="T227" s="240"/>
      <c r="U227" s="240"/>
      <c r="V227" s="240"/>
    </row>
    <row r="228" spans="1:23" x14ac:dyDescent="0.2">
      <c r="A228" s="375">
        <f t="shared" si="48"/>
        <v>2003</v>
      </c>
      <c r="B228" s="375"/>
      <c r="C228" s="294"/>
      <c r="D228" s="240">
        <f t="shared" si="49"/>
        <v>5.8120271039174165E-2</v>
      </c>
      <c r="E228" s="240">
        <f t="shared" si="49"/>
        <v>3.7852410026718353E-2</v>
      </c>
      <c r="F228" s="240">
        <f t="shared" si="49"/>
        <v>-1.7417822008012118E-2</v>
      </c>
      <c r="G228" s="240">
        <f t="shared" si="49"/>
        <v>1.5439922542093143E-3</v>
      </c>
      <c r="H228" s="240">
        <f t="shared" si="49"/>
        <v>-1.6334762029863281E-2</v>
      </c>
      <c r="I228" s="240"/>
      <c r="J228" s="240"/>
      <c r="K228" s="240"/>
      <c r="L228" s="240"/>
      <c r="N228" s="240">
        <f>'Rate Class Energy Model'!H53-1</f>
        <v>5.8120271039174387E-2</v>
      </c>
      <c r="O228" s="240">
        <f>'Rate Class Energy Model'!I53-1</f>
        <v>3.7852410026718131E-2</v>
      </c>
      <c r="P228" s="240">
        <f>'Rate Class Energy Model'!J53-1</f>
        <v>-1.741782200801234E-2</v>
      </c>
      <c r="Q228" s="240">
        <f>'Rate Class Energy Model'!K53-1</f>
        <v>1.5439922542088702E-3</v>
      </c>
      <c r="R228" s="240">
        <f>'Rate Class Energy Model'!L53-1</f>
        <v>-1.6334762029863281E-2</v>
      </c>
      <c r="S228" s="240"/>
      <c r="T228" s="240"/>
      <c r="U228" s="240"/>
      <c r="V228" s="240"/>
    </row>
    <row r="229" spans="1:23" x14ac:dyDescent="0.2">
      <c r="A229" s="375">
        <f t="shared" si="48"/>
        <v>2004</v>
      </c>
      <c r="B229" s="375"/>
      <c r="C229" s="294"/>
      <c r="D229" s="240">
        <f t="shared" ref="D229:D237" si="50">D213/D212-1</f>
        <v>-2.8259205306578106E-2</v>
      </c>
      <c r="E229" s="240">
        <f t="shared" ref="E229:J229" si="51">E213/E212-1</f>
        <v>3.4414383669840731E-3</v>
      </c>
      <c r="F229" s="240">
        <f t="shared" si="51"/>
        <v>3.0323446876356908E-2</v>
      </c>
      <c r="G229" s="240">
        <f t="shared" si="51"/>
        <v>-1.2937135890906837E-2</v>
      </c>
      <c r="H229" s="240">
        <f t="shared" si="51"/>
        <v>4.475008298734573E-2</v>
      </c>
      <c r="I229" s="240"/>
      <c r="J229" s="240">
        <f t="shared" si="51"/>
        <v>-3.9988607882002203E-3</v>
      </c>
      <c r="K229" s="240"/>
      <c r="L229" s="240"/>
      <c r="N229" s="240">
        <f>'Rate Class Energy Model'!H54-1</f>
        <v>-2.8259205306578328E-2</v>
      </c>
      <c r="O229" s="240">
        <f>'Rate Class Energy Model'!I54-1</f>
        <v>3.4414383669840731E-3</v>
      </c>
      <c r="P229" s="240">
        <f>'Rate Class Energy Model'!J54-1</f>
        <v>3.0323446876356908E-2</v>
      </c>
      <c r="Q229" s="240">
        <f>'Rate Class Energy Model'!K54-1</f>
        <v>-1.2937135890906504E-2</v>
      </c>
      <c r="R229" s="240">
        <f>'Rate Class Energy Model'!L54-1</f>
        <v>4.475008298734573E-2</v>
      </c>
      <c r="S229" s="240"/>
      <c r="T229" s="240">
        <f>'Rate Class Energy Model'!N54-1</f>
        <v>-3.9988607882001093E-3</v>
      </c>
      <c r="U229" s="240"/>
      <c r="V229" s="240"/>
    </row>
    <row r="230" spans="1:23" x14ac:dyDescent="0.2">
      <c r="A230" s="375">
        <f t="shared" si="48"/>
        <v>2005</v>
      </c>
      <c r="B230" s="375"/>
      <c r="C230" s="294"/>
      <c r="D230" s="240">
        <f t="shared" si="50"/>
        <v>5.528132811402986E-2</v>
      </c>
      <c r="E230" s="240">
        <f t="shared" ref="E230:J230" si="52">E214/E213-1</f>
        <v>1.9877544243827705E-2</v>
      </c>
      <c r="F230" s="240">
        <f t="shared" si="52"/>
        <v>6.7607447365236606E-3</v>
      </c>
      <c r="G230" s="240">
        <f t="shared" si="52"/>
        <v>1.3853284363143592E-2</v>
      </c>
      <c r="H230" s="240">
        <f t="shared" si="52"/>
        <v>4.5553609110471571E-2</v>
      </c>
      <c r="I230" s="240"/>
      <c r="J230" s="240">
        <f t="shared" si="52"/>
        <v>-1.124039330453741E-2</v>
      </c>
      <c r="K230" s="240"/>
      <c r="L230" s="240"/>
      <c r="N230" s="240">
        <f>'Rate Class Energy Model'!H55-1</f>
        <v>5.528132811402986E-2</v>
      </c>
      <c r="O230" s="240">
        <f>'Rate Class Energy Model'!I55-1</f>
        <v>1.9877544243827705E-2</v>
      </c>
      <c r="P230" s="240">
        <f>'Rate Class Energy Model'!J55-1</f>
        <v>6.7607447365236606E-3</v>
      </c>
      <c r="Q230" s="240">
        <f>'Rate Class Energy Model'!K55-1</f>
        <v>1.385328436314337E-2</v>
      </c>
      <c r="R230" s="240">
        <f>'Rate Class Energy Model'!L55-1</f>
        <v>4.5553609110471571E-2</v>
      </c>
      <c r="S230" s="240"/>
      <c r="T230" s="240">
        <f>'Rate Class Energy Model'!N55-1</f>
        <v>-1.1240393304537522E-2</v>
      </c>
      <c r="U230" s="240"/>
      <c r="V230" s="240"/>
    </row>
    <row r="231" spans="1:23" x14ac:dyDescent="0.2">
      <c r="A231" s="375">
        <f t="shared" si="48"/>
        <v>2006</v>
      </c>
      <c r="B231" s="375"/>
      <c r="C231" s="294"/>
      <c r="D231" s="240">
        <f t="shared" si="50"/>
        <v>-4.862681491365739E-2</v>
      </c>
      <c r="E231" s="240">
        <f t="shared" ref="E231:J231" si="53">E215/E214-1</f>
        <v>-4.8597210727109208E-2</v>
      </c>
      <c r="F231" s="240">
        <f t="shared" si="53"/>
        <v>-6.2129628853453078E-2</v>
      </c>
      <c r="G231" s="240">
        <f t="shared" si="53"/>
        <v>-0.1696913019869869</v>
      </c>
      <c r="H231" s="240">
        <f t="shared" si="53"/>
        <v>0.18015345565092145</v>
      </c>
      <c r="I231" s="240"/>
      <c r="J231" s="240">
        <f t="shared" si="53"/>
        <v>-3.8038242574955361E-2</v>
      </c>
      <c r="K231" s="240"/>
      <c r="L231" s="240"/>
      <c r="N231" s="240">
        <f>'Rate Class Energy Model'!H56-1</f>
        <v>-4.8626814913657612E-2</v>
      </c>
      <c r="O231" s="240">
        <f>'Rate Class Energy Model'!I56-1</f>
        <v>-4.8597210727108986E-2</v>
      </c>
      <c r="P231" s="240">
        <f>'Rate Class Energy Model'!J56-1</f>
        <v>-6.2129628853452967E-2</v>
      </c>
      <c r="Q231" s="240">
        <f>'Rate Class Energy Model'!K56-1</f>
        <v>-0.1696913019869869</v>
      </c>
      <c r="R231" s="240">
        <f>'Rate Class Energy Model'!L56-1</f>
        <v>0.18015345565092145</v>
      </c>
      <c r="S231" s="240"/>
      <c r="T231" s="240">
        <f>'Rate Class Energy Model'!N56-1</f>
        <v>-3.803824257495525E-2</v>
      </c>
      <c r="U231" s="240"/>
      <c r="V231" s="240"/>
    </row>
    <row r="232" spans="1:23" x14ac:dyDescent="0.2">
      <c r="A232" s="375">
        <f t="shared" si="48"/>
        <v>2007</v>
      </c>
      <c r="B232" s="375"/>
      <c r="C232" s="294"/>
      <c r="D232" s="240">
        <f t="shared" si="50"/>
        <v>8.4308986855001766E-3</v>
      </c>
      <c r="E232" s="240">
        <f t="shared" ref="E232:K232" si="54">E216/E215-1</f>
        <v>1.0720582491225761E-2</v>
      </c>
      <c r="F232" s="240">
        <f t="shared" si="54"/>
        <v>-8.0342977045412267E-3</v>
      </c>
      <c r="G232" s="240">
        <f t="shared" si="54"/>
        <v>-5.4188821703982093E-2</v>
      </c>
      <c r="H232" s="240">
        <f t="shared" si="54"/>
        <v>0.24995306742411971</v>
      </c>
      <c r="I232" s="240">
        <f t="shared" si="54"/>
        <v>2.7709428409128378E-4</v>
      </c>
      <c r="J232" s="240">
        <f t="shared" si="54"/>
        <v>-5.1671255536844818E-5</v>
      </c>
      <c r="K232" s="240">
        <f t="shared" si="54"/>
        <v>-0.22034087156548077</v>
      </c>
      <c r="L232" s="240"/>
      <c r="N232" s="240">
        <f>'Rate Class Energy Model'!H57-1</f>
        <v>8.4308986855003987E-3</v>
      </c>
      <c r="O232" s="240">
        <f>'Rate Class Energy Model'!I57-1</f>
        <v>1.0720582491225761E-2</v>
      </c>
      <c r="P232" s="240">
        <f>'Rate Class Energy Model'!J57-1</f>
        <v>-8.0342977045412267E-3</v>
      </c>
      <c r="Q232" s="240">
        <f>'Rate Class Energy Model'!K57-1</f>
        <v>-5.4188821703981982E-2</v>
      </c>
      <c r="R232" s="240">
        <f>'Rate Class Energy Model'!L57-1</f>
        <v>0.24995306742411971</v>
      </c>
      <c r="S232" s="240">
        <f>'Rate Class Energy Model'!M57-1</f>
        <v>2.7709428409128378E-4</v>
      </c>
      <c r="T232" s="240">
        <f>'Rate Class Energy Model'!N57-1</f>
        <v>-5.1671255536844818E-5</v>
      </c>
      <c r="U232" s="240">
        <f>'Rate Class Energy Model'!O57-1</f>
        <v>-0.22034087156548077</v>
      </c>
      <c r="V232" s="240"/>
    </row>
    <row r="233" spans="1:23" x14ac:dyDescent="0.2">
      <c r="A233" s="375">
        <f t="shared" si="48"/>
        <v>2008</v>
      </c>
      <c r="B233" s="375"/>
      <c r="C233" s="294"/>
      <c r="D233" s="240">
        <f t="shared" si="50"/>
        <v>-2.5706024955202023E-2</v>
      </c>
      <c r="E233" s="240">
        <f t="shared" ref="E233:K233" si="55">E217/E216-1</f>
        <v>-1.2596190308294508E-2</v>
      </c>
      <c r="F233" s="240">
        <f t="shared" si="55"/>
        <v>-4.2588883295078039E-2</v>
      </c>
      <c r="G233" s="240">
        <f t="shared" si="55"/>
        <v>-1.1917976234219418E-2</v>
      </c>
      <c r="H233" s="240">
        <f t="shared" si="55"/>
        <v>-8.6454799209119138E-2</v>
      </c>
      <c r="I233" s="240">
        <f t="shared" si="55"/>
        <v>3.8574505824857663E-3</v>
      </c>
      <c r="J233" s="240">
        <f t="shared" si="55"/>
        <v>-9.7366979784571095E-3</v>
      </c>
      <c r="K233" s="240">
        <f t="shared" si="55"/>
        <v>2.0563226273787594E-2</v>
      </c>
      <c r="L233" s="240"/>
      <c r="N233" s="240">
        <f>'Rate Class Energy Model'!H58-1</f>
        <v>-2.5706024955202023E-2</v>
      </c>
      <c r="O233" s="240">
        <f>'Rate Class Energy Model'!I58-1</f>
        <v>-1.259619030829473E-2</v>
      </c>
      <c r="P233" s="240">
        <f>'Rate Class Energy Model'!J58-1</f>
        <v>-4.2588883295077928E-2</v>
      </c>
      <c r="Q233" s="240">
        <f>'Rate Class Energy Model'!K58-1</f>
        <v>-1.1917976234219529E-2</v>
      </c>
      <c r="R233" s="240">
        <f>'Rate Class Energy Model'!L58-1</f>
        <v>-8.6454799209119138E-2</v>
      </c>
      <c r="S233" s="240">
        <f>'Rate Class Energy Model'!M58-1</f>
        <v>3.8574505824857663E-3</v>
      </c>
      <c r="T233" s="240">
        <f>'Rate Class Energy Model'!N58-1</f>
        <v>-9.7366979784573315E-3</v>
      </c>
      <c r="U233" s="240">
        <f>'Rate Class Energy Model'!O58-1</f>
        <v>2.0563226273787594E-2</v>
      </c>
      <c r="V233" s="240"/>
    </row>
    <row r="234" spans="1:23" x14ac:dyDescent="0.2">
      <c r="A234" s="375">
        <f t="shared" si="48"/>
        <v>2009</v>
      </c>
      <c r="B234" s="375"/>
      <c r="C234" s="294"/>
      <c r="D234" s="240">
        <f t="shared" si="50"/>
        <v>-3.1238699344739329E-2</v>
      </c>
      <c r="E234" s="240">
        <f t="shared" ref="E234:K234" si="56">E218/E217-1</f>
        <v>-7.7489664801184244E-2</v>
      </c>
      <c r="F234" s="240">
        <f t="shared" si="56"/>
        <v>-7.0192112580358068E-2</v>
      </c>
      <c r="G234" s="240">
        <f t="shared" si="56"/>
        <v>-7.3913054193746941E-2</v>
      </c>
      <c r="H234" s="240">
        <f t="shared" si="56"/>
        <v>-0.21545445063632829</v>
      </c>
      <c r="I234" s="240">
        <f t="shared" si="56"/>
        <v>6.2870130508734245E-3</v>
      </c>
      <c r="J234" s="240">
        <f t="shared" si="56"/>
        <v>-5.2714863440224136E-3</v>
      </c>
      <c r="K234" s="240">
        <f t="shared" si="56"/>
        <v>-7.2152328143077815E-2</v>
      </c>
      <c r="L234" s="240"/>
      <c r="N234" s="240">
        <f>'Rate Class Energy Model'!H59-1</f>
        <v>-3.1238699344739329E-2</v>
      </c>
      <c r="O234" s="240">
        <f>'Rate Class Energy Model'!I59-1</f>
        <v>-7.7489664801184133E-2</v>
      </c>
      <c r="P234" s="240">
        <f>'Rate Class Energy Model'!J59-1</f>
        <v>-7.0192112580358179E-2</v>
      </c>
      <c r="Q234" s="240">
        <f>'Rate Class Energy Model'!K59-1</f>
        <v>-7.3913054193747052E-2</v>
      </c>
      <c r="R234" s="240">
        <f>'Rate Class Energy Model'!L59-1</f>
        <v>-0.21545445063632829</v>
      </c>
      <c r="S234" s="240">
        <f>'Rate Class Energy Model'!M59-1</f>
        <v>6.2870130508734245E-3</v>
      </c>
      <c r="T234" s="240">
        <f>'Rate Class Energy Model'!N59-1</f>
        <v>-5.2714863440224136E-3</v>
      </c>
      <c r="U234" s="240">
        <f>'Rate Class Energy Model'!O59-1</f>
        <v>-7.2152328143077815E-2</v>
      </c>
      <c r="V234" s="240"/>
    </row>
    <row r="235" spans="1:23" ht="15" x14ac:dyDescent="0.2">
      <c r="A235" s="375">
        <f t="shared" si="48"/>
        <v>2010</v>
      </c>
      <c r="B235" s="375"/>
      <c r="C235" s="294"/>
      <c r="D235" s="240">
        <f t="shared" si="50"/>
        <v>2.1085658548905428E-2</v>
      </c>
      <c r="E235" s="240">
        <f t="shared" ref="E235:K235" si="57">E219/E218-1</f>
        <v>5.7693343737565961E-3</v>
      </c>
      <c r="F235" s="240">
        <f t="shared" si="57"/>
        <v>-3.4649335125798597E-2</v>
      </c>
      <c r="G235" s="240">
        <f t="shared" si="57"/>
        <v>0.16664742138055244</v>
      </c>
      <c r="H235" s="240">
        <f t="shared" si="57"/>
        <v>8.788068839053742E-2</v>
      </c>
      <c r="I235" s="240">
        <f t="shared" si="57"/>
        <v>1.3654546436074888E-2</v>
      </c>
      <c r="J235" s="240">
        <f t="shared" si="57"/>
        <v>-2.7839156192329684E-3</v>
      </c>
      <c r="K235" s="240">
        <f t="shared" si="57"/>
        <v>-7.583757431869742E-2</v>
      </c>
      <c r="L235" s="240">
        <f t="shared" ref="L235" si="58">L219/L218-1</f>
        <v>-8.2209298678125431E-2</v>
      </c>
      <c r="M235" s="247"/>
      <c r="N235" s="240">
        <f>'Rate Class Energy Model'!H60-1</f>
        <v>2.1085658548905428E-2</v>
      </c>
      <c r="O235" s="240">
        <f>'Rate Class Energy Model'!I60-1</f>
        <v>5.7693343737565961E-3</v>
      </c>
      <c r="P235" s="240">
        <f>'Rate Class Energy Model'!J60-1</f>
        <v>-3.4649335125798597E-2</v>
      </c>
      <c r="Q235" s="240">
        <f>'Rate Class Energy Model'!K60-1</f>
        <v>0.16664742138055288</v>
      </c>
      <c r="R235" s="240">
        <f>'Rate Class Energy Model'!L60-1</f>
        <v>8.788068839053742E-2</v>
      </c>
      <c r="S235" s="240">
        <f>'Rate Class Energy Model'!M60-1</f>
        <v>1.3654546436074888E-2</v>
      </c>
      <c r="T235" s="240">
        <f>'Rate Class Energy Model'!N60-1</f>
        <v>-2.7839156192327463E-3</v>
      </c>
      <c r="U235" s="240">
        <f>'Rate Class Energy Model'!O60-1</f>
        <v>-7.583757431869742E-2</v>
      </c>
      <c r="V235" s="240">
        <f>'Rate Class Energy Model'!P60</f>
        <v>0.99931891366796577</v>
      </c>
      <c r="W235" s="240">
        <f>L235+1</f>
        <v>0.91779070132187457</v>
      </c>
    </row>
    <row r="236" spans="1:23" ht="15" x14ac:dyDescent="0.2">
      <c r="A236" s="375">
        <f t="shared" si="48"/>
        <v>2011</v>
      </c>
      <c r="B236" s="375"/>
      <c r="C236" s="294"/>
      <c r="D236" s="240">
        <f t="shared" si="50"/>
        <v>-1.8067493041289739E-2</v>
      </c>
      <c r="E236" s="240">
        <f t="shared" ref="E236:K237" si="59">E220/E219-1</f>
        <v>-3.6884572446322039E-2</v>
      </c>
      <c r="F236" s="240">
        <f t="shared" si="59"/>
        <v>3.0004773106802052E-3</v>
      </c>
      <c r="G236" s="240">
        <f t="shared" si="59"/>
        <v>1.2003798015078893E-2</v>
      </c>
      <c r="H236" s="240">
        <f t="shared" si="59"/>
        <v>-0.13920359675384697</v>
      </c>
      <c r="I236" s="240">
        <f t="shared" si="59"/>
        <v>6.7516304482240441E-2</v>
      </c>
      <c r="J236" s="240">
        <f t="shared" si="59"/>
        <v>-5.1199065763459783E-3</v>
      </c>
      <c r="K236" s="240">
        <f t="shared" si="59"/>
        <v>1.3988225761387474E-2</v>
      </c>
      <c r="L236" s="240">
        <f t="shared" ref="L236" si="60">L220/L219-1</f>
        <v>2.9223694498106356E-2</v>
      </c>
      <c r="M236" s="247"/>
      <c r="N236" s="240">
        <f>'Rate Class Energy Model'!H61-1</f>
        <v>-1.8067493041289739E-2</v>
      </c>
      <c r="O236" s="240">
        <f>'Rate Class Energy Model'!I61-1</f>
        <v>-3.6884572446322039E-2</v>
      </c>
      <c r="P236" s="240">
        <f>'Rate Class Energy Model'!J61-1</f>
        <v>3.0004773106802052E-3</v>
      </c>
      <c r="Q236" s="240">
        <f>'Rate Class Energy Model'!K61-1</f>
        <v>1.2003798015078671E-2</v>
      </c>
      <c r="R236" s="240">
        <f>'Rate Class Energy Model'!L61-1</f>
        <v>-0.13920359675384697</v>
      </c>
      <c r="S236" s="240">
        <f>'Rate Class Energy Model'!M61-1</f>
        <v>6.7516304482240441E-2</v>
      </c>
      <c r="T236" s="240">
        <f>'Rate Class Energy Model'!N61-1</f>
        <v>-5.1199065763459783E-3</v>
      </c>
      <c r="U236" s="240">
        <f>'Rate Class Energy Model'!O61-1</f>
        <v>1.3988225761387252E-2</v>
      </c>
      <c r="V236" s="240">
        <f>'Rate Class Energy Model'!P61</f>
        <v>0.98998226045825433</v>
      </c>
      <c r="W236" s="240">
        <f t="shared" ref="W236:W237" si="61">L236+1</f>
        <v>1.0292236944981064</v>
      </c>
    </row>
    <row r="237" spans="1:23" ht="15" x14ac:dyDescent="0.2">
      <c r="A237" s="375">
        <f t="shared" si="48"/>
        <v>2012</v>
      </c>
      <c r="B237" s="375"/>
      <c r="C237" s="294"/>
      <c r="D237" s="240">
        <f t="shared" si="50"/>
        <v>-3.3079294653737268E-3</v>
      </c>
      <c r="E237" s="240">
        <f t="shared" si="59"/>
        <v>-5.0457453386508755E-3</v>
      </c>
      <c r="F237" s="240">
        <f t="shared" si="59"/>
        <v>-1.7106702195203383E-2</v>
      </c>
      <c r="G237" s="240">
        <f t="shared" si="59"/>
        <v>-2.5578026049639324E-2</v>
      </c>
      <c r="H237" s="240">
        <f t="shared" si="59"/>
        <v>0.18909278471657709</v>
      </c>
      <c r="I237" s="240">
        <f t="shared" si="59"/>
        <v>-2.7828484391649311E-2</v>
      </c>
      <c r="J237" s="240">
        <f t="shared" si="59"/>
        <v>5.3582731702848108E-3</v>
      </c>
      <c r="K237" s="240">
        <f t="shared" si="59"/>
        <v>2.2437176794056546E-2</v>
      </c>
      <c r="L237" s="240">
        <f t="shared" ref="L237" si="62">L221/L220-1</f>
        <v>-0.12631497097905908</v>
      </c>
      <c r="M237" s="247"/>
      <c r="N237" s="240">
        <f>'Rate Class Energy Model'!H62-1</f>
        <v>-3.3079294653737268E-3</v>
      </c>
      <c r="O237" s="240">
        <f>'Rate Class Energy Model'!I62-1</f>
        <v>-5.0457453386506534E-3</v>
      </c>
      <c r="P237" s="240">
        <f>'Rate Class Energy Model'!J62-1</f>
        <v>-1.7106702195203383E-2</v>
      </c>
      <c r="Q237" s="240">
        <f>'Rate Class Energy Model'!K62-1</f>
        <v>-2.5578026049639324E-2</v>
      </c>
      <c r="R237" s="240">
        <f>'Rate Class Energy Model'!L62-1</f>
        <v>0.18909278471657709</v>
      </c>
      <c r="S237" s="240">
        <f>'Rate Class Energy Model'!M62-1</f>
        <v>-2.7828484391649311E-2</v>
      </c>
      <c r="T237" s="240">
        <f>'Rate Class Energy Model'!N62-1</f>
        <v>5.3582731702848108E-3</v>
      </c>
      <c r="U237" s="240">
        <f>'Rate Class Energy Model'!O62-1</f>
        <v>2.2437176794056768E-2</v>
      </c>
      <c r="V237" s="240">
        <f>'Rate Class Energy Model'!P62</f>
        <v>0.96512507933696601</v>
      </c>
      <c r="W237" s="240">
        <f t="shared" si="61"/>
        <v>0.87368502902094092</v>
      </c>
    </row>
    <row r="238" spans="1:23" ht="15" x14ac:dyDescent="0.2">
      <c r="A238" s="383" t="str">
        <f>A199</f>
        <v>Geometric Mean</v>
      </c>
      <c r="B238" s="383"/>
      <c r="C238" s="292"/>
      <c r="D238" s="241">
        <f>'Rate Class Energy Model'!H66-1</f>
        <v>-7.4523908585429899E-3</v>
      </c>
      <c r="E238" s="241">
        <f>'Rate Class Energy Model'!I66-1</f>
        <v>-7.5871532530679131E-3</v>
      </c>
      <c r="F238" s="241">
        <f>'Rate Class Energy Model'!J66-1</f>
        <v>-1.841816206235658E-2</v>
      </c>
      <c r="G238" s="241">
        <f>'Rate Class Energy Model'!K66-1</f>
        <v>-1.091590635053663E-2</v>
      </c>
      <c r="H238" s="241">
        <f>'Rate Class Energy Model'!L66-1</f>
        <v>1.9943010264759975E-2</v>
      </c>
      <c r="I238" s="241">
        <f>'Rate Class Energy Model'!M66-1</f>
        <v>1.0230020302712139E-2</v>
      </c>
      <c r="J238" s="241">
        <f>'Rate Class Energy Model'!N66-1</f>
        <v>-7.944926801137786E-3</v>
      </c>
      <c r="K238" s="241">
        <f>'Rate Class Energy Model'!O66-1</f>
        <v>-5.6069824973777327E-2</v>
      </c>
      <c r="L238" s="241">
        <f>W238</f>
        <v>-6.2000138259807325E-2</v>
      </c>
      <c r="V238" s="327">
        <f>GEOMEAN(V235:V237)-1</f>
        <v>-1.529750052755674E-2</v>
      </c>
      <c r="W238" s="327">
        <f>GEOMEAN(W235:W237)-1</f>
        <v>-6.2000138259807325E-2</v>
      </c>
    </row>
    <row r="239" spans="1:23" ht="15" x14ac:dyDescent="0.2">
      <c r="J239" s="248"/>
    </row>
    <row r="240" spans="1:23" ht="15" customHeight="1" x14ac:dyDescent="0.2">
      <c r="A240" s="376" t="s">
        <v>264</v>
      </c>
      <c r="B240" s="376"/>
      <c r="C240" s="376"/>
      <c r="D240" s="376"/>
      <c r="E240" s="376"/>
      <c r="F240" s="376"/>
      <c r="G240" s="376"/>
      <c r="H240" s="376"/>
      <c r="I240" s="376"/>
      <c r="J240" s="376"/>
      <c r="K240" s="376"/>
      <c r="L240" s="376"/>
    </row>
    <row r="241" spans="1:14" ht="60" x14ac:dyDescent="0.2">
      <c r="A241" s="403" t="s">
        <v>89</v>
      </c>
      <c r="B241" s="412"/>
      <c r="C241" s="325"/>
      <c r="D241" s="267" t="str">
        <f>D224</f>
        <v xml:space="preserve">Residential </v>
      </c>
      <c r="E241" s="267" t="str">
        <f t="shared" ref="E241:L241" si="63">E224</f>
        <v>General Service &lt; 50 kW</v>
      </c>
      <c r="F241" s="267" t="str">
        <f t="shared" si="63"/>
        <v>General Service &gt; 50 to 999 kW</v>
      </c>
      <c r="G241" s="267" t="str">
        <f t="shared" si="63"/>
        <v>General Service &gt; 1000 to 4999 kW</v>
      </c>
      <c r="H241" s="267" t="str">
        <f t="shared" si="63"/>
        <v>Large User</v>
      </c>
      <c r="I241" s="267" t="str">
        <f t="shared" si="63"/>
        <v>Direct Market Participant</v>
      </c>
      <c r="J241" s="267" t="str">
        <f t="shared" si="63"/>
        <v>Street Lights</v>
      </c>
      <c r="K241" s="267" t="str">
        <f t="shared" si="63"/>
        <v xml:space="preserve">Unmetered Loads </v>
      </c>
      <c r="L241" s="267" t="str">
        <f t="shared" si="63"/>
        <v>Embedded Distributor</v>
      </c>
    </row>
    <row r="242" spans="1:14" ht="15" customHeight="1" x14ac:dyDescent="0.2">
      <c r="A242" s="383" t="s">
        <v>191</v>
      </c>
      <c r="B242" s="383"/>
      <c r="C242" s="383"/>
      <c r="D242" s="383"/>
      <c r="E242" s="383"/>
      <c r="F242" s="383"/>
      <c r="G242" s="383"/>
      <c r="H242" s="383"/>
      <c r="I242" s="383"/>
      <c r="J242" s="383"/>
      <c r="K242" s="383"/>
      <c r="L242" s="383"/>
    </row>
    <row r="243" spans="1:14" ht="15" customHeight="1" x14ac:dyDescent="0.2">
      <c r="A243" s="413">
        <v>2013</v>
      </c>
      <c r="B243" s="414"/>
      <c r="C243" s="242"/>
      <c r="D243" s="243">
        <f>D221*(1+D238)</f>
        <v>8569.1379285788425</v>
      </c>
      <c r="E243" s="243">
        <f t="shared" ref="E243:K243" si="64">E221*(1+E238)</f>
        <v>33767.807239866735</v>
      </c>
      <c r="F243" s="243">
        <f t="shared" si="64"/>
        <v>582953.36298319732</v>
      </c>
      <c r="G243" s="243">
        <f t="shared" si="64"/>
        <v>8287423.494096959</v>
      </c>
      <c r="H243" s="243">
        <f t="shared" si="64"/>
        <v>102600914.79005744</v>
      </c>
      <c r="I243" s="243">
        <f t="shared" si="64"/>
        <v>45917636.775405869</v>
      </c>
      <c r="J243" s="243">
        <f t="shared" si="64"/>
        <v>752.1255315299818</v>
      </c>
      <c r="K243" s="243">
        <f t="shared" si="64"/>
        <v>3878.4649435302426</v>
      </c>
      <c r="L243" s="243">
        <f>L221*(1+V238)</f>
        <v>22052786.836872753</v>
      </c>
      <c r="M243" s="215"/>
    </row>
    <row r="244" spans="1:14" ht="15" customHeight="1" x14ac:dyDescent="0.2">
      <c r="A244" s="413">
        <v>2014</v>
      </c>
      <c r="B244" s="414"/>
      <c r="C244" s="189"/>
      <c r="D244" s="243">
        <f>D243*(1+D238)</f>
        <v>8505.2773634143068</v>
      </c>
      <c r="E244" s="243">
        <f t="shared" ref="E244:K244" si="65">E243*(1+E238)</f>
        <v>33511.60571131781</v>
      </c>
      <c r="F244" s="243">
        <f t="shared" si="65"/>
        <v>572216.43346897699</v>
      </c>
      <c r="G244" s="243">
        <f t="shared" si="65"/>
        <v>8196958.7553481599</v>
      </c>
      <c r="H244" s="243">
        <f t="shared" si="65"/>
        <v>104647085.88688931</v>
      </c>
      <c r="I244" s="243">
        <f t="shared" si="65"/>
        <v>46387375.131870836</v>
      </c>
      <c r="J244" s="243">
        <f t="shared" si="65"/>
        <v>746.14994923670929</v>
      </c>
      <c r="K244" s="243">
        <f t="shared" si="65"/>
        <v>3661.0000929795706</v>
      </c>
      <c r="L244" s="243">
        <f>L243*(1+V238)</f>
        <v>21715434.318601597</v>
      </c>
      <c r="M244" s="215"/>
      <c r="N244" s="215"/>
    </row>
    <row r="245" spans="1:14" x14ac:dyDescent="0.2">
      <c r="H245" s="190"/>
      <c r="I245" s="190"/>
    </row>
    <row r="246" spans="1:14" ht="15" x14ac:dyDescent="0.2">
      <c r="A246" s="376" t="s">
        <v>265</v>
      </c>
      <c r="B246" s="376"/>
      <c r="C246" s="376"/>
      <c r="D246" s="376"/>
      <c r="E246" s="376"/>
      <c r="F246" s="376"/>
      <c r="G246" s="376"/>
      <c r="H246" s="376"/>
      <c r="I246" s="376"/>
      <c r="J246" s="376"/>
      <c r="K246" s="376"/>
      <c r="L246" s="376"/>
      <c r="M246" s="376"/>
    </row>
    <row r="247" spans="1:14" ht="60" x14ac:dyDescent="0.2">
      <c r="A247" s="405" t="s">
        <v>89</v>
      </c>
      <c r="B247" s="405"/>
      <c r="C247" s="325"/>
      <c r="D247" s="267" t="str">
        <f>D241</f>
        <v xml:space="preserve">Residential </v>
      </c>
      <c r="E247" s="267" t="str">
        <f t="shared" ref="E247:L247" si="66">E241</f>
        <v>General Service &lt; 50 kW</v>
      </c>
      <c r="F247" s="267" t="str">
        <f t="shared" si="66"/>
        <v>General Service &gt; 50 to 999 kW</v>
      </c>
      <c r="G247" s="267" t="str">
        <f t="shared" si="66"/>
        <v>General Service &gt; 1000 to 4999 kW</v>
      </c>
      <c r="H247" s="267" t="str">
        <f t="shared" si="66"/>
        <v>Large User</v>
      </c>
      <c r="I247" s="267" t="str">
        <f t="shared" si="66"/>
        <v>Direct Market Participant</v>
      </c>
      <c r="J247" s="267" t="str">
        <f t="shared" si="66"/>
        <v>Street Lights</v>
      </c>
      <c r="K247" s="267" t="str">
        <f t="shared" si="66"/>
        <v xml:space="preserve">Unmetered Loads </v>
      </c>
      <c r="L247" s="267" t="str">
        <f t="shared" si="66"/>
        <v>Embedded Distributor</v>
      </c>
      <c r="M247" s="274" t="str">
        <f>M202</f>
        <v>Total</v>
      </c>
    </row>
    <row r="248" spans="1:14" ht="15" x14ac:dyDescent="0.2">
      <c r="A248" s="394" t="s">
        <v>192</v>
      </c>
      <c r="B248" s="395"/>
      <c r="C248" s="395"/>
      <c r="D248" s="395"/>
      <c r="E248" s="395"/>
      <c r="F248" s="395"/>
      <c r="G248" s="395"/>
      <c r="H248" s="395"/>
      <c r="I248" s="395"/>
      <c r="J248" s="395"/>
      <c r="K248" s="395"/>
      <c r="L248" s="395"/>
      <c r="M248" s="395"/>
    </row>
    <row r="249" spans="1:14" ht="15" x14ac:dyDescent="0.2">
      <c r="A249" s="189" t="s">
        <v>193</v>
      </c>
      <c r="B249" s="189"/>
      <c r="C249" s="189"/>
      <c r="D249" s="250">
        <f>D243*D204/1000000</f>
        <v>404.27874257322395</v>
      </c>
      <c r="E249" s="250">
        <f t="shared" ref="E249:L249" si="67">E243*E204/1000000</f>
        <v>158.72831396442976</v>
      </c>
      <c r="F249" s="250">
        <f t="shared" si="67"/>
        <v>439.72904986487174</v>
      </c>
      <c r="G249" s="250">
        <f t="shared" si="67"/>
        <v>225.33145426451676</v>
      </c>
      <c r="H249" s="250">
        <f t="shared" si="67"/>
        <v>205.20182958011486</v>
      </c>
      <c r="I249" s="250">
        <f t="shared" si="67"/>
        <v>45.917636775405867</v>
      </c>
      <c r="J249" s="250">
        <f t="shared" si="67"/>
        <v>9.6712427817682833</v>
      </c>
      <c r="K249" s="250">
        <f t="shared" si="67"/>
        <v>1.8863854314845321</v>
      </c>
      <c r="L249" s="250">
        <f t="shared" si="67"/>
        <v>44.105573673745504</v>
      </c>
      <c r="M249" s="250">
        <f>SUM(D249:L249)</f>
        <v>1534.8502289095616</v>
      </c>
    </row>
    <row r="250" spans="1:14" ht="15" x14ac:dyDescent="0.2">
      <c r="A250" s="189" t="s">
        <v>266</v>
      </c>
      <c r="B250" s="189"/>
      <c r="C250" s="189"/>
      <c r="D250" s="250">
        <f>D244*D205/1000000</f>
        <v>409.02498135881217</v>
      </c>
      <c r="E250" s="250">
        <f t="shared" ref="E250:L250" si="68">E244*E205/1000000</f>
        <v>158.86170555792916</v>
      </c>
      <c r="F250" s="250">
        <f t="shared" si="68"/>
        <v>442.06920821298075</v>
      </c>
      <c r="G250" s="250">
        <f t="shared" si="68"/>
        <v>224.4365377419966</v>
      </c>
      <c r="H250" s="250">
        <f t="shared" si="68"/>
        <v>209.29417177377863</v>
      </c>
      <c r="I250" s="250">
        <f t="shared" si="68"/>
        <v>46.387375131870833</v>
      </c>
      <c r="J250" s="250">
        <f t="shared" si="68"/>
        <v>9.6973848456954013</v>
      </c>
      <c r="K250" s="250">
        <f t="shared" si="68"/>
        <v>1.7656387637725968</v>
      </c>
      <c r="L250" s="250">
        <f t="shared" si="68"/>
        <v>43.430868637203197</v>
      </c>
      <c r="M250" s="250">
        <f>SUM(D250:L250)</f>
        <v>1544.9678720240393</v>
      </c>
    </row>
    <row r="252" spans="1:14" ht="15" x14ac:dyDescent="0.2">
      <c r="D252" s="376" t="s">
        <v>267</v>
      </c>
      <c r="E252" s="376"/>
      <c r="F252" s="376"/>
      <c r="G252" s="376"/>
      <c r="H252" s="376"/>
      <c r="I252" s="376"/>
      <c r="J252" s="376"/>
      <c r="K252" s="376"/>
      <c r="L252" s="376"/>
    </row>
    <row r="253" spans="1:14" ht="60" x14ac:dyDescent="0.2">
      <c r="D253" s="267" t="str">
        <f>D247</f>
        <v xml:space="preserve">Residential </v>
      </c>
      <c r="E253" s="267" t="str">
        <f t="shared" ref="E253:L253" si="69">E247</f>
        <v>General Service &lt; 50 kW</v>
      </c>
      <c r="F253" s="267" t="str">
        <f t="shared" si="69"/>
        <v>General Service &gt; 50 to 999 kW</v>
      </c>
      <c r="G253" s="267" t="str">
        <f t="shared" si="69"/>
        <v>General Service &gt; 1000 to 4999 kW</v>
      </c>
      <c r="H253" s="267" t="str">
        <f t="shared" si="69"/>
        <v>Large User</v>
      </c>
      <c r="I253" s="267" t="str">
        <f t="shared" si="69"/>
        <v>Direct Market Participant</v>
      </c>
      <c r="J253" s="267" t="str">
        <f t="shared" si="69"/>
        <v>Street Lights</v>
      </c>
      <c r="K253" s="267" t="str">
        <f t="shared" si="69"/>
        <v xml:space="preserve">Unmetered Loads </v>
      </c>
      <c r="L253" s="267" t="str">
        <f t="shared" si="69"/>
        <v>Embedded Distributor</v>
      </c>
    </row>
    <row r="254" spans="1:14" ht="15" x14ac:dyDescent="0.2">
      <c r="D254" s="383" t="s">
        <v>100</v>
      </c>
      <c r="E254" s="383"/>
      <c r="F254" s="383"/>
      <c r="G254" s="383"/>
      <c r="H254" s="383"/>
      <c r="I254" s="246"/>
      <c r="J254" s="210"/>
      <c r="K254" s="210"/>
      <c r="L254" s="210"/>
    </row>
    <row r="255" spans="1:14" x14ac:dyDescent="0.2">
      <c r="D255" s="251">
        <f>'Rate Class Energy Model'!H76</f>
        <v>0.73977685635363388</v>
      </c>
      <c r="E255" s="251">
        <f>'Rate Class Energy Model'!I76</f>
        <v>0.73977685635363388</v>
      </c>
      <c r="F255" s="251">
        <f>'Rate Class Energy Model'!J76</f>
        <v>0.47955371270726771</v>
      </c>
      <c r="G255" s="251">
        <f>'Rate Class Energy Model'!K76</f>
        <v>0.22849704086909819</v>
      </c>
      <c r="H255" s="251">
        <f>'Rate Class Energy Model'!L76</f>
        <v>0</v>
      </c>
      <c r="I255" s="251">
        <f>'Rate Class Energy Model'!M76</f>
        <v>0</v>
      </c>
      <c r="J255" s="251">
        <f>'Rate Class Energy Model'!N76</f>
        <v>0</v>
      </c>
      <c r="K255" s="251">
        <f>'Rate Class Energy Model'!O76</f>
        <v>0</v>
      </c>
      <c r="L255" s="251">
        <f>'Rate Class Energy Model'!P76</f>
        <v>0</v>
      </c>
    </row>
    <row r="256" spans="1:14" x14ac:dyDescent="0.2">
      <c r="D256" s="252"/>
      <c r="E256" s="252"/>
      <c r="F256" s="252"/>
      <c r="G256" s="252"/>
      <c r="H256" s="252"/>
      <c r="I256" s="190"/>
    </row>
    <row r="258" spans="2:13" ht="15" x14ac:dyDescent="0.25">
      <c r="B258" s="411" t="s">
        <v>268</v>
      </c>
      <c r="C258" s="411"/>
      <c r="D258" s="411"/>
      <c r="E258" s="411"/>
      <c r="F258" s="411"/>
      <c r="G258" s="411"/>
      <c r="H258" s="411"/>
    </row>
    <row r="259" spans="2:13" x14ac:dyDescent="0.2">
      <c r="B259" s="409" t="s">
        <v>194</v>
      </c>
      <c r="C259" s="409"/>
      <c r="D259" s="409"/>
      <c r="E259" s="409"/>
      <c r="F259" s="409"/>
      <c r="G259" s="409"/>
      <c r="H259" s="409"/>
    </row>
    <row r="260" spans="2:13" x14ac:dyDescent="0.2">
      <c r="B260" s="410">
        <f>'CDM Activity'!P2</f>
        <v>73660000</v>
      </c>
      <c r="C260" s="410"/>
      <c r="D260" s="410"/>
      <c r="E260" s="410"/>
      <c r="F260" s="410"/>
      <c r="G260" s="410"/>
      <c r="H260" s="410"/>
    </row>
    <row r="261" spans="2:13" x14ac:dyDescent="0.2">
      <c r="B261" s="210"/>
      <c r="C261" s="210"/>
      <c r="D261" s="226">
        <v>2011</v>
      </c>
      <c r="E261" s="226">
        <v>2012</v>
      </c>
      <c r="F261" s="226">
        <v>2013</v>
      </c>
      <c r="G261" s="226">
        <v>2014</v>
      </c>
      <c r="H261" s="226" t="s">
        <v>12</v>
      </c>
    </row>
    <row r="262" spans="2:13" x14ac:dyDescent="0.2">
      <c r="B262" s="253" t="s">
        <v>195</v>
      </c>
      <c r="C262" s="210"/>
      <c r="D262" s="227">
        <f>'CDM Activity'!P6</f>
        <v>0.18259571001900624</v>
      </c>
      <c r="E262" s="227">
        <f>'CDM Activity'!Q6</f>
        <v>0.17512897094759708</v>
      </c>
      <c r="F262" s="227">
        <f>'CDM Activity'!R6</f>
        <v>0.17512897094759708</v>
      </c>
      <c r="G262" s="227">
        <f>'CDM Activity'!S6</f>
        <v>0.17404289980993756</v>
      </c>
      <c r="H262" s="228">
        <f>SUM(D262:G262)</f>
        <v>0.70689655172413801</v>
      </c>
    </row>
    <row r="263" spans="2:13" x14ac:dyDescent="0.2">
      <c r="B263" s="253" t="s">
        <v>196</v>
      </c>
      <c r="C263" s="210"/>
      <c r="D263" s="228"/>
      <c r="E263" s="228">
        <f>(100%-H262)/6</f>
        <v>4.8850574712643667E-2</v>
      </c>
      <c r="F263" s="228">
        <f>E263</f>
        <v>4.8850574712643667E-2</v>
      </c>
      <c r="G263" s="228">
        <f>F263</f>
        <v>4.8850574712643667E-2</v>
      </c>
      <c r="H263" s="228">
        <f>SUM(D263:G263)</f>
        <v>0.14655172413793099</v>
      </c>
    </row>
    <row r="264" spans="2:13" x14ac:dyDescent="0.2">
      <c r="B264" s="253" t="s">
        <v>197</v>
      </c>
      <c r="C264" s="210"/>
      <c r="D264" s="254"/>
      <c r="E264" s="228"/>
      <c r="F264" s="228">
        <f>F263</f>
        <v>4.8850574712643667E-2</v>
      </c>
      <c r="G264" s="228">
        <f>G263</f>
        <v>4.8850574712643667E-2</v>
      </c>
      <c r="H264" s="228">
        <f>SUM(D264:G264)</f>
        <v>9.7701149425287334E-2</v>
      </c>
    </row>
    <row r="265" spans="2:13" x14ac:dyDescent="0.2">
      <c r="B265" s="253" t="s">
        <v>198</v>
      </c>
      <c r="C265" s="210"/>
      <c r="D265" s="254"/>
      <c r="E265" s="254"/>
      <c r="F265" s="228"/>
      <c r="G265" s="228">
        <f>G264</f>
        <v>4.8850574712643667E-2</v>
      </c>
      <c r="H265" s="228">
        <f>SUM(D265:G265)</f>
        <v>4.8850574712643667E-2</v>
      </c>
    </row>
    <row r="266" spans="2:13" x14ac:dyDescent="0.2">
      <c r="B266" s="253"/>
      <c r="C266" s="210"/>
      <c r="D266" s="228">
        <f>SUM(D262:D265)</f>
        <v>0.18259571001900624</v>
      </c>
      <c r="E266" s="228">
        <f>SUM(E262:E265)</f>
        <v>0.22397954566024075</v>
      </c>
      <c r="F266" s="228">
        <f>SUM(F262:F265)</f>
        <v>0.2728301203728844</v>
      </c>
      <c r="G266" s="228">
        <f>SUM(G262:G265)</f>
        <v>0.32059462394786853</v>
      </c>
      <c r="H266" s="228">
        <f>SUM(D266:G266)</f>
        <v>1</v>
      </c>
    </row>
    <row r="267" spans="2:13" x14ac:dyDescent="0.2">
      <c r="B267" s="409" t="s">
        <v>132</v>
      </c>
      <c r="C267" s="409"/>
      <c r="D267" s="409"/>
      <c r="E267" s="409"/>
      <c r="F267" s="409"/>
      <c r="G267" s="409"/>
      <c r="H267" s="409"/>
    </row>
    <row r="268" spans="2:13" x14ac:dyDescent="0.2">
      <c r="B268" s="253" t="s">
        <v>195</v>
      </c>
      <c r="C268" s="210"/>
      <c r="D268" s="229">
        <f>D262*$B$260</f>
        <v>13450000</v>
      </c>
      <c r="E268" s="229">
        <f>E262*$B$260</f>
        <v>12900000</v>
      </c>
      <c r="F268" s="229">
        <f>F262*$B$260</f>
        <v>12900000</v>
      </c>
      <c r="G268" s="229">
        <f>G262*$B$260</f>
        <v>12820000</v>
      </c>
      <c r="H268" s="229">
        <f>SUM(D268:G268)</f>
        <v>52070000</v>
      </c>
      <c r="J268" s="215">
        <f>'CDM Activity'!P12</f>
        <v>13450000</v>
      </c>
      <c r="K268" s="215">
        <f>'CDM Activity'!Q12</f>
        <v>12900000</v>
      </c>
      <c r="L268" s="215">
        <f>'CDM Activity'!R12</f>
        <v>12900000</v>
      </c>
      <c r="M268" s="215">
        <f>'CDM Activity'!S12</f>
        <v>12820000</v>
      </c>
    </row>
    <row r="269" spans="2:13" x14ac:dyDescent="0.2">
      <c r="B269" s="253" t="s">
        <v>196</v>
      </c>
      <c r="C269" s="210"/>
      <c r="D269" s="229"/>
      <c r="E269" s="229">
        <f>E263*$B$260</f>
        <v>3598333.3333333326</v>
      </c>
      <c r="F269" s="229">
        <f>F263*$B$260</f>
        <v>3598333.3333333326</v>
      </c>
      <c r="G269" s="229">
        <f>G263*$B$260</f>
        <v>3598333.3333333326</v>
      </c>
      <c r="H269" s="229">
        <f>SUM(D269:G269)</f>
        <v>10794999.999999998</v>
      </c>
      <c r="J269" s="215">
        <f>'CDM Activity'!P13</f>
        <v>0</v>
      </c>
      <c r="K269" s="215">
        <f>'CDM Activity'!Q13</f>
        <v>7910000</v>
      </c>
      <c r="L269" s="215">
        <f>'CDM Activity'!R13</f>
        <v>7850000</v>
      </c>
      <c r="M269" s="215">
        <f>'CDM Activity'!S13</f>
        <v>7810000</v>
      </c>
    </row>
    <row r="270" spans="2:13" x14ac:dyDescent="0.2">
      <c r="B270" s="253" t="s">
        <v>197</v>
      </c>
      <c r="C270" s="210"/>
      <c r="D270" s="229"/>
      <c r="E270" s="229"/>
      <c r="F270" s="229">
        <f>F264*$B$260</f>
        <v>3598333.3333333326</v>
      </c>
      <c r="G270" s="229">
        <f>G264*$B$260</f>
        <v>3598333.3333333326</v>
      </c>
      <c r="H270" s="229">
        <f>SUM(D270:G270)</f>
        <v>7196666.6666666651</v>
      </c>
      <c r="J270" s="215">
        <f>'CDM Activity'!P14</f>
        <v>0</v>
      </c>
      <c r="K270" s="215">
        <f>'CDM Activity'!Q14</f>
        <v>0</v>
      </c>
      <c r="L270" s="215">
        <f>'CDM Activity'!R14</f>
        <v>4708000</v>
      </c>
      <c r="M270" s="215">
        <f>'CDM Activity'!S14</f>
        <v>3920000</v>
      </c>
    </row>
    <row r="271" spans="2:13" x14ac:dyDescent="0.2">
      <c r="B271" s="253" t="s">
        <v>198</v>
      </c>
      <c r="C271" s="210"/>
      <c r="D271" s="229"/>
      <c r="E271" s="229"/>
      <c r="F271" s="229"/>
      <c r="G271" s="229">
        <f>G265*$B$260</f>
        <v>3598333.3333333326</v>
      </c>
      <c r="H271" s="229">
        <f>SUM(D271:G271)</f>
        <v>3598333.3333333326</v>
      </c>
      <c r="J271" s="215">
        <f>'CDM Activity'!P15</f>
        <v>0</v>
      </c>
      <c r="K271" s="215">
        <f>'CDM Activity'!Q15</f>
        <v>0</v>
      </c>
      <c r="L271" s="215">
        <f>'CDM Activity'!R15</f>
        <v>0</v>
      </c>
      <c r="M271" s="215">
        <f>'CDM Activity'!S15</f>
        <v>16230000</v>
      </c>
    </row>
    <row r="272" spans="2:13" x14ac:dyDescent="0.2">
      <c r="B272" s="210"/>
      <c r="C272" s="210"/>
      <c r="D272" s="229">
        <f>SUM(D268:D271)</f>
        <v>13450000</v>
      </c>
      <c r="E272" s="229">
        <f>SUM(E268:E271)</f>
        <v>16498333.333333332</v>
      </c>
      <c r="F272" s="229">
        <f>SUM(F268:F271)</f>
        <v>20096666.666666664</v>
      </c>
      <c r="G272" s="229">
        <f>SUM(G268:G271)</f>
        <v>23614999.999999996</v>
      </c>
      <c r="H272" s="229">
        <f>SUM(D272:G272)</f>
        <v>73660000</v>
      </c>
      <c r="J272" s="215">
        <f>'CDM Activity'!P16</f>
        <v>13450000</v>
      </c>
      <c r="K272" s="215">
        <f>'CDM Activity'!Q16</f>
        <v>20810000</v>
      </c>
      <c r="L272" s="215">
        <f>'CDM Activity'!R16</f>
        <v>25458000</v>
      </c>
      <c r="M272" s="215">
        <f>'CDM Activity'!S16</f>
        <v>40780000</v>
      </c>
    </row>
    <row r="274" spans="1:13" ht="15" x14ac:dyDescent="0.2">
      <c r="B274" s="376" t="s">
        <v>281</v>
      </c>
      <c r="C274" s="376"/>
      <c r="D274" s="376"/>
      <c r="E274" s="376"/>
      <c r="F274" s="376"/>
      <c r="G274" s="376"/>
      <c r="H274" s="376"/>
      <c r="I274" s="376"/>
      <c r="J274" s="376"/>
      <c r="K274" s="376"/>
      <c r="L274" s="376"/>
      <c r="M274" s="376"/>
    </row>
    <row r="275" spans="1:13" ht="60" x14ac:dyDescent="0.2">
      <c r="A275"/>
      <c r="B275" s="328"/>
      <c r="C275" s="325"/>
      <c r="D275" s="267" t="str">
        <f t="shared" ref="D275:M275" si="70">D280</f>
        <v xml:space="preserve">Residential </v>
      </c>
      <c r="E275" s="267" t="str">
        <f t="shared" si="70"/>
        <v>General Service &lt; 50 kW</v>
      </c>
      <c r="F275" s="267" t="str">
        <f t="shared" si="70"/>
        <v>General Service &gt; 50 to 999 kW</v>
      </c>
      <c r="G275" s="267" t="str">
        <f t="shared" si="70"/>
        <v>General Service &gt; 1000 to 4999 kW</v>
      </c>
      <c r="H275" s="267" t="str">
        <f t="shared" si="70"/>
        <v>Large User</v>
      </c>
      <c r="I275" s="267" t="str">
        <f t="shared" si="70"/>
        <v>Direct Market Participant</v>
      </c>
      <c r="J275" s="267" t="str">
        <f t="shared" si="70"/>
        <v>Street Lights</v>
      </c>
      <c r="K275" s="267" t="str">
        <f t="shared" si="70"/>
        <v xml:space="preserve">Unmetered Loads </v>
      </c>
      <c r="L275" s="267" t="str">
        <f t="shared" si="70"/>
        <v>Embedded Distributor</v>
      </c>
      <c r="M275" s="267" t="str">
        <f t="shared" si="70"/>
        <v>Total</v>
      </c>
    </row>
    <row r="276" spans="1:13" ht="15" x14ac:dyDescent="0.25">
      <c r="B276" s="292" t="s">
        <v>132</v>
      </c>
      <c r="C276" s="294"/>
      <c r="D276" s="244">
        <f>D250/($M$250-$L$250)*$G$272</f>
        <v>6432825.1072077639</v>
      </c>
      <c r="E276" s="244">
        <f t="shared" ref="E276:K276" si="71">E250/($M$250-$L$250)*$G$272</f>
        <v>2498452.697661561</v>
      </c>
      <c r="F276" s="244">
        <f t="shared" si="71"/>
        <v>6952518.8712649094</v>
      </c>
      <c r="G276" s="244">
        <f t="shared" si="71"/>
        <v>3529762.3880214226</v>
      </c>
      <c r="H276" s="244">
        <f t="shared" si="71"/>
        <v>3291615.0952588059</v>
      </c>
      <c r="I276" s="244">
        <f t="shared" si="71"/>
        <v>729544.36771673453</v>
      </c>
      <c r="J276" s="244">
        <f t="shared" si="71"/>
        <v>152512.88687162605</v>
      </c>
      <c r="K276" s="244">
        <f t="shared" si="71"/>
        <v>27768.585997176375</v>
      </c>
      <c r="L276" s="244">
        <v>0</v>
      </c>
      <c r="M276" s="244">
        <f>SUM(D276:L276)</f>
        <v>23614999.999999993</v>
      </c>
    </row>
    <row r="277" spans="1:13" ht="15" x14ac:dyDescent="0.25">
      <c r="B277" s="292" t="s">
        <v>199</v>
      </c>
      <c r="C277" s="294"/>
      <c r="D277" s="250"/>
      <c r="E277" s="250"/>
      <c r="F277" s="244">
        <f>F276*'Rate Class Load Model'!B35</f>
        <v>19757.437366161546</v>
      </c>
      <c r="G277" s="244">
        <f>G276*'Rate Class Load Model'!C35</f>
        <v>8396.2630586264841</v>
      </c>
      <c r="H277" s="244">
        <f>H276*'Rate Class Load Model'!D35</f>
        <v>6820.2779551054036</v>
      </c>
      <c r="I277" s="244">
        <f>I276*'Rate Class Load Model'!E35</f>
        <v>1259.1401496339656</v>
      </c>
      <c r="J277" s="244">
        <f>J276*'Rate Class Load Model'!F35</f>
        <v>409.33304330347141</v>
      </c>
      <c r="K277" s="250"/>
      <c r="L277" s="244">
        <v>0</v>
      </c>
      <c r="M277" s="244">
        <f>SUM(D277:L277)</f>
        <v>36642.451572830876</v>
      </c>
    </row>
    <row r="279" spans="1:13" ht="15" x14ac:dyDescent="0.2">
      <c r="A279" s="376" t="s">
        <v>273</v>
      </c>
      <c r="B279" s="376"/>
      <c r="C279" s="376"/>
      <c r="D279" s="376"/>
      <c r="E279" s="376"/>
      <c r="F279" s="376"/>
      <c r="G279" s="376"/>
      <c r="H279" s="376"/>
      <c r="I279" s="376"/>
      <c r="J279" s="376"/>
      <c r="K279" s="376"/>
      <c r="L279" s="376"/>
      <c r="M279" s="376"/>
    </row>
    <row r="280" spans="1:13" ht="60" x14ac:dyDescent="0.2">
      <c r="A280" s="405" t="s">
        <v>89</v>
      </c>
      <c r="B280" s="405"/>
      <c r="C280" s="325"/>
      <c r="D280" s="267" t="str">
        <f>D253</f>
        <v xml:space="preserve">Residential </v>
      </c>
      <c r="E280" s="267" t="str">
        <f t="shared" ref="E280:L280" si="72">E253</f>
        <v>General Service &lt; 50 kW</v>
      </c>
      <c r="F280" s="267" t="str">
        <f t="shared" si="72"/>
        <v>General Service &gt; 50 to 999 kW</v>
      </c>
      <c r="G280" s="267" t="str">
        <f t="shared" si="72"/>
        <v>General Service &gt; 1000 to 4999 kW</v>
      </c>
      <c r="H280" s="267" t="str">
        <f t="shared" si="72"/>
        <v>Large User</v>
      </c>
      <c r="I280" s="267" t="str">
        <f t="shared" si="72"/>
        <v>Direct Market Participant</v>
      </c>
      <c r="J280" s="267" t="str">
        <f t="shared" si="72"/>
        <v>Street Lights</v>
      </c>
      <c r="K280" s="267" t="str">
        <f t="shared" si="72"/>
        <v xml:space="preserve">Unmetered Loads </v>
      </c>
      <c r="L280" s="267" t="str">
        <f t="shared" si="72"/>
        <v>Embedded Distributor</v>
      </c>
      <c r="M280" s="274" t="str">
        <f>M247</f>
        <v>Total</v>
      </c>
    </row>
    <row r="281" spans="1:13" ht="15" x14ac:dyDescent="0.2">
      <c r="A281" s="383" t="s">
        <v>200</v>
      </c>
      <c r="B281" s="383"/>
      <c r="C281" s="383"/>
      <c r="D281" s="383"/>
      <c r="E281" s="383"/>
      <c r="F281" s="383"/>
      <c r="G281" s="383"/>
      <c r="H281" s="383"/>
      <c r="I281" s="383"/>
      <c r="J281" s="383"/>
      <c r="K281" s="383"/>
      <c r="L281" s="383"/>
      <c r="M281" s="383"/>
    </row>
    <row r="282" spans="1:13" ht="15" x14ac:dyDescent="0.2">
      <c r="A282" s="292" t="s">
        <v>269</v>
      </c>
      <c r="B282" s="294"/>
      <c r="C282" s="294"/>
      <c r="D282" s="250">
        <f>D249</f>
        <v>404.27874257322395</v>
      </c>
      <c r="E282" s="250">
        <f t="shared" ref="E282:L282" si="73">E249</f>
        <v>158.72831396442976</v>
      </c>
      <c r="F282" s="250">
        <f t="shared" si="73"/>
        <v>439.72904986487174</v>
      </c>
      <c r="G282" s="250">
        <f t="shared" si="73"/>
        <v>225.33145426451676</v>
      </c>
      <c r="H282" s="250">
        <f t="shared" si="73"/>
        <v>205.20182958011486</v>
      </c>
      <c r="I282" s="250">
        <f t="shared" si="73"/>
        <v>45.917636775405867</v>
      </c>
      <c r="J282" s="250">
        <f t="shared" si="73"/>
        <v>9.6712427817682833</v>
      </c>
      <c r="K282" s="250">
        <f t="shared" si="73"/>
        <v>1.8863854314845321</v>
      </c>
      <c r="L282" s="250">
        <f t="shared" si="73"/>
        <v>44.105573673745504</v>
      </c>
      <c r="M282" s="250">
        <f>SUM(D282:L282)</f>
        <v>1534.8502289095616</v>
      </c>
    </row>
    <row r="283" spans="1:13" ht="15" x14ac:dyDescent="0.2">
      <c r="A283" s="292" t="s">
        <v>270</v>
      </c>
      <c r="B283" s="294"/>
      <c r="C283" s="294"/>
      <c r="D283" s="250">
        <f>D250</f>
        <v>409.02498135881217</v>
      </c>
      <c r="E283" s="250">
        <f t="shared" ref="E283:L283" si="74">E250</f>
        <v>158.86170555792916</v>
      </c>
      <c r="F283" s="250">
        <f t="shared" si="74"/>
        <v>442.06920821298075</v>
      </c>
      <c r="G283" s="250">
        <f t="shared" si="74"/>
        <v>224.4365377419966</v>
      </c>
      <c r="H283" s="250">
        <f t="shared" si="74"/>
        <v>209.29417177377863</v>
      </c>
      <c r="I283" s="250">
        <f t="shared" si="74"/>
        <v>46.387375131870833</v>
      </c>
      <c r="J283" s="250">
        <f t="shared" si="74"/>
        <v>9.6973848456954013</v>
      </c>
      <c r="K283" s="250">
        <f t="shared" si="74"/>
        <v>1.7656387637725968</v>
      </c>
      <c r="L283" s="250">
        <f t="shared" si="74"/>
        <v>43.430868637203197</v>
      </c>
      <c r="M283" s="250">
        <f>SUM(D283:L283)</f>
        <v>1544.9678720240393</v>
      </c>
    </row>
    <row r="284" spans="1:13" ht="15" x14ac:dyDescent="0.2">
      <c r="A284" s="383" t="s">
        <v>201</v>
      </c>
      <c r="B284" s="383"/>
      <c r="C284" s="383"/>
      <c r="D284" s="383"/>
      <c r="E284" s="383"/>
      <c r="F284" s="383"/>
      <c r="G284" s="383"/>
      <c r="H284" s="383"/>
      <c r="I284" s="383"/>
      <c r="J284" s="383"/>
      <c r="K284" s="383"/>
      <c r="L284" s="383"/>
      <c r="M284" s="383"/>
    </row>
    <row r="285" spans="1:13" ht="15" x14ac:dyDescent="0.2">
      <c r="A285" s="408">
        <f>A243</f>
        <v>2013</v>
      </c>
      <c r="B285" s="408"/>
      <c r="C285" s="290"/>
      <c r="D285" s="255">
        <f>'Rate Class Energy Model'!H81/1000000</f>
        <v>-10.809632511605821</v>
      </c>
      <c r="E285" s="255">
        <f>'Rate Class Energy Model'!I81/1000000</f>
        <v>-4.2440884529849043</v>
      </c>
      <c r="F285" s="255">
        <f>'Rate Class Energy Model'!J81/1000000</f>
        <v>-7.6216973280369267</v>
      </c>
      <c r="G285" s="255">
        <f>'Rate Class Energy Model'!K81/1000000</f>
        <v>-1.8609370514353902</v>
      </c>
      <c r="H285" s="255">
        <f>'Rate Class Energy Model'!L81/1000000</f>
        <v>0</v>
      </c>
      <c r="I285" s="255">
        <f>'Rate Class Energy Model'!M81/1000000</f>
        <v>0</v>
      </c>
      <c r="J285" s="255">
        <f>'Rate Class Energy Model'!N81/1000000</f>
        <v>0</v>
      </c>
      <c r="K285" s="255">
        <f>'Rate Class Energy Model'!O81/1000000</f>
        <v>0</v>
      </c>
      <c r="L285" s="255">
        <f>'Rate Class Energy Model'!P81/1000000</f>
        <v>0</v>
      </c>
      <c r="M285" s="255">
        <f>SUM(D285:L285)</f>
        <v>-24.536355344063043</v>
      </c>
    </row>
    <row r="286" spans="1:13" ht="15" x14ac:dyDescent="0.2">
      <c r="A286" s="408">
        <f>A244</f>
        <v>2014</v>
      </c>
      <c r="B286" s="408"/>
      <c r="C286" s="294"/>
      <c r="D286" s="255">
        <f>'Rate Class Energy Model'!H82/1000000</f>
        <v>-16.008065733893012</v>
      </c>
      <c r="E286" s="255">
        <f>'Rate Class Energy Model'!I82/1000000</f>
        <v>-6.2173919468718495</v>
      </c>
      <c r="F286" s="255">
        <f>'Rate Class Energy Model'!J82/1000000</f>
        <v>-11.215426882001088</v>
      </c>
      <c r="G286" s="255">
        <f>'Rate Class Energy Model'!K82/1000000</f>
        <v>-2.7130789112561975</v>
      </c>
      <c r="H286" s="255">
        <f>'Rate Class Energy Model'!L82/1000000</f>
        <v>0</v>
      </c>
      <c r="I286" s="255">
        <f>'Rate Class Energy Model'!M82/1000000</f>
        <v>0</v>
      </c>
      <c r="J286" s="255">
        <f>'Rate Class Energy Model'!N82/1000000</f>
        <v>0</v>
      </c>
      <c r="K286" s="255">
        <f>'Rate Class Energy Model'!O82/1000000</f>
        <v>0</v>
      </c>
      <c r="L286" s="255">
        <f>'Rate Class Energy Model'!P82/1000000</f>
        <v>0</v>
      </c>
      <c r="M286" s="255">
        <f>SUM(D286:L286)</f>
        <v>-36.153963474022149</v>
      </c>
    </row>
    <row r="287" spans="1:13" ht="15" customHeight="1" x14ac:dyDescent="0.2">
      <c r="A287" s="383" t="s">
        <v>202</v>
      </c>
      <c r="B287" s="383"/>
      <c r="C287" s="383"/>
      <c r="D287" s="383"/>
      <c r="E287" s="383"/>
      <c r="F287" s="383"/>
      <c r="G287" s="383"/>
      <c r="H287" s="383"/>
      <c r="I287" s="383"/>
      <c r="J287" s="383"/>
      <c r="K287" s="383"/>
      <c r="L287" s="383"/>
      <c r="M287" s="383"/>
    </row>
    <row r="288" spans="1:13" ht="15" x14ac:dyDescent="0.2">
      <c r="A288" s="408">
        <f>A285</f>
        <v>2013</v>
      </c>
      <c r="B288" s="408"/>
      <c r="C288" s="294"/>
      <c r="D288" s="255">
        <f>-'Rate Class Energy Model'!H85/1000000</f>
        <v>-1.7028175923365774</v>
      </c>
      <c r="E288" s="255">
        <f>-'Rate Class Energy Model'!I85/1000000</f>
        <v>-0.66856190285988126</v>
      </c>
      <c r="F288" s="255">
        <f>-'Rate Class Energy Model'!J85/1000000</f>
        <v>-1.8521338945634302</v>
      </c>
      <c r="G288" s="255">
        <f>-'Rate Class Energy Model'!K85/1000000</f>
        <v>-0.94909359316340425</v>
      </c>
      <c r="H288" s="255">
        <f>-'Rate Class Energy Model'!L85/1000000</f>
        <v>-0.86430783662928767</v>
      </c>
      <c r="I288" s="255">
        <f>-'Rate Class Energy Model'!M85/1000000</f>
        <v>-0.19340457824225141</v>
      </c>
      <c r="J288" s="255">
        <f>-'Rate Class Energy Model'!N85/1000000</f>
        <v>-4.0735167631452664E-2</v>
      </c>
      <c r="K288" s="255">
        <f>-'Rate Class Energy Model'!O85/1000000</f>
        <v>-7.9454345737149205E-3</v>
      </c>
      <c r="L288" s="255">
        <f>-'Rate Class Energy Model'!P85/1000000</f>
        <v>0</v>
      </c>
      <c r="M288" s="255">
        <f>SUM(D288:L288)</f>
        <v>-6.2789999999999999</v>
      </c>
    </row>
    <row r="289" spans="1:13" ht="15" x14ac:dyDescent="0.2">
      <c r="A289" s="408">
        <f>A286</f>
        <v>2014</v>
      </c>
      <c r="B289" s="408"/>
      <c r="C289" s="294"/>
      <c r="D289" s="255">
        <f>-'Rate Class Energy Model'!H86/1000000</f>
        <v>-4.3421228968406425</v>
      </c>
      <c r="E289" s="255">
        <f>-'Rate Class Energy Model'!I86/1000000</f>
        <v>-1.68644234599726</v>
      </c>
      <c r="F289" s="255">
        <f>-'Rate Class Energy Model'!J86/1000000</f>
        <v>-4.6929134367123719</v>
      </c>
      <c r="G289" s="255">
        <f>-'Rate Class Energy Model'!K86/1000000</f>
        <v>-2.3825709280144607</v>
      </c>
      <c r="H289" s="255">
        <f>-'Rate Class Energy Model'!L86/1000000</f>
        <v>-2.2218227659718552</v>
      </c>
      <c r="I289" s="255">
        <f>-'Rate Class Energy Model'!M86/1000000</f>
        <v>-0.49243858655112221</v>
      </c>
      <c r="J289" s="255">
        <f>-'Rate Class Energy Model'!N86/1000000</f>
        <v>-0.10294539135014689</v>
      </c>
      <c r="K289" s="255">
        <f>-'Rate Class Energy Model'!O86/1000000</f>
        <v>-1.8743648562142348E-2</v>
      </c>
      <c r="L289" s="255">
        <f>-'Rate Class Energy Model'!P86/1000000</f>
        <v>0</v>
      </c>
      <c r="M289" s="255">
        <f>SUM(D289:L289)</f>
        <v>-15.940000000000001</v>
      </c>
    </row>
    <row r="290" spans="1:13" ht="15" x14ac:dyDescent="0.2">
      <c r="A290" s="383" t="s">
        <v>203</v>
      </c>
      <c r="B290" s="383"/>
      <c r="C290" s="383"/>
      <c r="D290" s="383"/>
      <c r="E290" s="383"/>
      <c r="F290" s="383"/>
      <c r="G290" s="383"/>
      <c r="H290" s="383"/>
      <c r="I290" s="383"/>
      <c r="J290" s="383"/>
      <c r="K290" s="383"/>
      <c r="L290" s="383"/>
      <c r="M290" s="383"/>
    </row>
    <row r="291" spans="1:13" ht="15" x14ac:dyDescent="0.2">
      <c r="A291" s="292" t="s">
        <v>271</v>
      </c>
      <c r="B291" s="290"/>
      <c r="C291" s="290"/>
      <c r="D291" s="256">
        <f>D282+D285+D288</f>
        <v>391.76629246928155</v>
      </c>
      <c r="E291" s="256">
        <f t="shared" ref="E291:L291" si="75">E282+E285+E288</f>
        <v>153.81566360858497</v>
      </c>
      <c r="F291" s="256">
        <f t="shared" si="75"/>
        <v>430.25521864227136</v>
      </c>
      <c r="G291" s="256">
        <f t="shared" si="75"/>
        <v>222.52142361991795</v>
      </c>
      <c r="H291" s="256">
        <f t="shared" si="75"/>
        <v>204.33752174348558</v>
      </c>
      <c r="I291" s="256">
        <f t="shared" si="75"/>
        <v>45.724232197163616</v>
      </c>
      <c r="J291" s="256">
        <f t="shared" si="75"/>
        <v>9.63050761413683</v>
      </c>
      <c r="K291" s="256">
        <f t="shared" si="75"/>
        <v>1.8784399969108172</v>
      </c>
      <c r="L291" s="256">
        <f t="shared" si="75"/>
        <v>44.105573673745504</v>
      </c>
      <c r="M291" s="250">
        <f>SUM(D291:L291)</f>
        <v>1504.0348735654982</v>
      </c>
    </row>
    <row r="292" spans="1:13" ht="15" x14ac:dyDescent="0.2">
      <c r="A292" s="292" t="s">
        <v>272</v>
      </c>
      <c r="B292" s="294"/>
      <c r="C292" s="294"/>
      <c r="D292" s="256">
        <f>D283+D286+D289</f>
        <v>388.6747927280785</v>
      </c>
      <c r="E292" s="256">
        <f t="shared" ref="E292:L292" si="76">E283+E286+E289</f>
        <v>150.95787126506005</v>
      </c>
      <c r="F292" s="256">
        <f t="shared" si="76"/>
        <v>426.16086789426726</v>
      </c>
      <c r="G292" s="256">
        <f t="shared" si="76"/>
        <v>219.34088790272594</v>
      </c>
      <c r="H292" s="256">
        <f t="shared" si="76"/>
        <v>207.07234900780676</v>
      </c>
      <c r="I292" s="256">
        <f t="shared" si="76"/>
        <v>45.894936545319709</v>
      </c>
      <c r="J292" s="256">
        <f t="shared" si="76"/>
        <v>9.5944394543452542</v>
      </c>
      <c r="K292" s="256">
        <f t="shared" si="76"/>
        <v>1.7468951152104544</v>
      </c>
      <c r="L292" s="256">
        <f t="shared" si="76"/>
        <v>43.430868637203197</v>
      </c>
      <c r="M292" s="250">
        <f>SUM(D292:L292)</f>
        <v>1492.8739085500172</v>
      </c>
    </row>
    <row r="294" spans="1:13" ht="15" x14ac:dyDescent="0.2">
      <c r="A294" s="376" t="s">
        <v>274</v>
      </c>
      <c r="B294" s="376"/>
      <c r="C294" s="376"/>
      <c r="D294" s="376"/>
      <c r="E294" s="376"/>
      <c r="F294" s="376"/>
      <c r="G294" s="376"/>
      <c r="H294" s="376"/>
      <c r="I294" s="376"/>
      <c r="J294" s="376"/>
    </row>
    <row r="295" spans="1:13" ht="60" x14ac:dyDescent="0.2">
      <c r="A295" s="405" t="s">
        <v>89</v>
      </c>
      <c r="B295" s="405"/>
      <c r="C295" s="325"/>
      <c r="D295" s="267" t="str">
        <f>F280</f>
        <v>General Service &gt; 50 to 999 kW</v>
      </c>
      <c r="E295" s="267" t="str">
        <f t="shared" ref="E295:H295" si="77">G280</f>
        <v>General Service &gt; 1000 to 4999 kW</v>
      </c>
      <c r="F295" s="267" t="str">
        <f t="shared" si="77"/>
        <v>Large User</v>
      </c>
      <c r="G295" s="267" t="str">
        <f t="shared" si="77"/>
        <v>Direct Market Participant</v>
      </c>
      <c r="H295" s="267" t="str">
        <f t="shared" si="77"/>
        <v>Street Lights</v>
      </c>
      <c r="I295" s="267" t="str">
        <f>L280</f>
        <v>Embedded Distributor</v>
      </c>
      <c r="J295" s="267" t="s">
        <v>12</v>
      </c>
    </row>
    <row r="296" spans="1:13" ht="15" x14ac:dyDescent="0.2">
      <c r="A296" s="383" t="s">
        <v>204</v>
      </c>
      <c r="B296" s="383"/>
      <c r="C296" s="383"/>
      <c r="D296" s="383"/>
      <c r="E296" s="383"/>
      <c r="F296" s="383"/>
      <c r="G296" s="383"/>
      <c r="H296" s="383"/>
      <c r="I296" s="383"/>
      <c r="J296" s="383"/>
    </row>
    <row r="297" spans="1:13" ht="15" x14ac:dyDescent="0.2">
      <c r="A297" s="371">
        <f t="shared" ref="A297:A306" si="78">A228</f>
        <v>2003</v>
      </c>
      <c r="B297" s="402"/>
      <c r="C297" s="329"/>
      <c r="D297" s="258">
        <f>'Rate Class Load Model'!B6</f>
        <v>1177153</v>
      </c>
      <c r="E297" s="258">
        <f>'Rate Class Load Model'!C6</f>
        <v>533526</v>
      </c>
      <c r="F297" s="258">
        <f>'Rate Class Load Model'!D6</f>
        <v>429237</v>
      </c>
      <c r="G297" s="258">
        <f>'Rate Class Load Model'!E6</f>
        <v>0</v>
      </c>
      <c r="H297" s="258">
        <f>'Rate Class Load Model'!F6</f>
        <v>26537</v>
      </c>
      <c r="I297" s="258">
        <f>'Rate Class Load Model'!G6</f>
        <v>0</v>
      </c>
      <c r="J297" s="258">
        <f>SUM(D297:I297)</f>
        <v>2166453</v>
      </c>
      <c r="L297" s="215">
        <f>'Rate Class Load Model'!H6</f>
        <v>2166453</v>
      </c>
    </row>
    <row r="298" spans="1:13" x14ac:dyDescent="0.2">
      <c r="A298" s="371">
        <f t="shared" si="78"/>
        <v>2004</v>
      </c>
      <c r="B298" s="402"/>
      <c r="C298" s="257"/>
      <c r="D298" s="258">
        <f>'Rate Class Load Model'!B7</f>
        <v>1242905</v>
      </c>
      <c r="E298" s="258">
        <f>'Rate Class Load Model'!C7</f>
        <v>543249</v>
      </c>
      <c r="F298" s="258">
        <f>'Rate Class Load Model'!D7</f>
        <v>468620</v>
      </c>
      <c r="G298" s="258">
        <f>'Rate Class Load Model'!E7</f>
        <v>0</v>
      </c>
      <c r="H298" s="258">
        <f>'Rate Class Load Model'!F7</f>
        <v>24497</v>
      </c>
      <c r="I298" s="258">
        <f>'Rate Class Load Model'!G7</f>
        <v>0</v>
      </c>
      <c r="J298" s="258">
        <f t="shared" ref="J298:J305" si="79">SUM(D298:I298)</f>
        <v>2279271</v>
      </c>
      <c r="L298" s="215">
        <f>'Rate Class Load Model'!H7</f>
        <v>2279271</v>
      </c>
    </row>
    <row r="299" spans="1:13" x14ac:dyDescent="0.2">
      <c r="A299" s="371">
        <f t="shared" si="78"/>
        <v>2005</v>
      </c>
      <c r="B299" s="402"/>
      <c r="C299" s="257"/>
      <c r="D299" s="258">
        <f>'Rate Class Load Model'!B8</f>
        <v>1274085</v>
      </c>
      <c r="E299" s="258">
        <f>'Rate Class Load Model'!C8</f>
        <v>619353</v>
      </c>
      <c r="F299" s="258">
        <f>'Rate Class Load Model'!D8</f>
        <v>480781</v>
      </c>
      <c r="G299" s="258">
        <f>'Rate Class Load Model'!E8</f>
        <v>0</v>
      </c>
      <c r="H299" s="258">
        <f>'Rate Class Load Model'!F8</f>
        <v>24664</v>
      </c>
      <c r="I299" s="258">
        <f>'Rate Class Load Model'!G8</f>
        <v>0</v>
      </c>
      <c r="J299" s="258">
        <f t="shared" si="79"/>
        <v>2398883</v>
      </c>
      <c r="L299" s="215">
        <f>'Rate Class Load Model'!H8</f>
        <v>2398883</v>
      </c>
    </row>
    <row r="300" spans="1:13" x14ac:dyDescent="0.2">
      <c r="A300" s="371">
        <f t="shared" si="78"/>
        <v>2006</v>
      </c>
      <c r="B300" s="402"/>
      <c r="C300" s="257"/>
      <c r="D300" s="258">
        <f>'Rate Class Load Model'!B9</f>
        <v>1279604</v>
      </c>
      <c r="E300" s="258">
        <f>'Rate Class Load Model'!C9</f>
        <v>618222</v>
      </c>
      <c r="F300" s="258">
        <f>'Rate Class Load Model'!D9</f>
        <v>472853</v>
      </c>
      <c r="G300" s="258">
        <f>'Rate Class Load Model'!E9</f>
        <v>73441.350000000006</v>
      </c>
      <c r="H300" s="258">
        <f>'Rate Class Load Model'!F9</f>
        <v>24008</v>
      </c>
      <c r="I300" s="258">
        <f>'Rate Class Load Model'!G9</f>
        <v>0</v>
      </c>
      <c r="J300" s="258">
        <f t="shared" si="79"/>
        <v>2468128.35</v>
      </c>
      <c r="L300" s="215">
        <f>'Rate Class Load Model'!H9</f>
        <v>2468128.35</v>
      </c>
    </row>
    <row r="301" spans="1:13" x14ac:dyDescent="0.2">
      <c r="A301" s="371">
        <f t="shared" si="78"/>
        <v>2007</v>
      </c>
      <c r="B301" s="402"/>
      <c r="C301" s="257"/>
      <c r="D301" s="258">
        <f>'Rate Class Load Model'!B10</f>
        <v>1274858</v>
      </c>
      <c r="E301" s="258">
        <f>'Rate Class Load Model'!C10</f>
        <v>571091</v>
      </c>
      <c r="F301" s="258">
        <f>'Rate Class Load Model'!D10</f>
        <v>481509</v>
      </c>
      <c r="G301" s="258">
        <f>'Rate Class Load Model'!E10</f>
        <v>72913.429999999993</v>
      </c>
      <c r="H301" s="258">
        <f>'Rate Class Load Model'!F10</f>
        <v>24182</v>
      </c>
      <c r="I301" s="258">
        <f>'Rate Class Load Model'!G10</f>
        <v>0</v>
      </c>
      <c r="J301" s="258">
        <f t="shared" si="79"/>
        <v>2424553.4300000002</v>
      </c>
      <c r="L301" s="215">
        <f>'Rate Class Load Model'!H10</f>
        <v>2424553.4300000002</v>
      </c>
    </row>
    <row r="302" spans="1:13" x14ac:dyDescent="0.2">
      <c r="A302" s="371">
        <f t="shared" si="78"/>
        <v>2008</v>
      </c>
      <c r="B302" s="402"/>
      <c r="C302" s="192"/>
      <c r="D302" s="258">
        <f>'Rate Class Load Model'!B11</f>
        <v>1244174</v>
      </c>
      <c r="E302" s="258">
        <f>'Rate Class Load Model'!C11</f>
        <v>554036</v>
      </c>
      <c r="F302" s="258">
        <f>'Rate Class Load Model'!D11</f>
        <v>446448</v>
      </c>
      <c r="G302" s="258">
        <f>'Rate Class Load Model'!E11</f>
        <v>72484.789999999994</v>
      </c>
      <c r="H302" s="258">
        <f>'Rate Class Load Model'!F11</f>
        <v>24090</v>
      </c>
      <c r="I302" s="258">
        <f>'Rate Class Load Model'!G11</f>
        <v>0</v>
      </c>
      <c r="J302" s="258">
        <f t="shared" si="79"/>
        <v>2341232.79</v>
      </c>
      <c r="L302" s="215">
        <f>'Rate Class Load Model'!H11</f>
        <v>2341232.79</v>
      </c>
    </row>
    <row r="303" spans="1:13" x14ac:dyDescent="0.2">
      <c r="A303" s="371">
        <f t="shared" si="78"/>
        <v>2009</v>
      </c>
      <c r="B303" s="402"/>
      <c r="C303" s="192"/>
      <c r="D303" s="258">
        <f>'Rate Class Load Model'!B12</f>
        <v>1337289.374367215</v>
      </c>
      <c r="E303" s="258">
        <f>'Rate Class Load Model'!C12</f>
        <v>530195.33860000013</v>
      </c>
      <c r="F303" s="258">
        <f>'Rate Class Load Model'!D12</f>
        <v>411895.9939</v>
      </c>
      <c r="G303" s="258">
        <f>'Rate Class Load Model'!E12</f>
        <v>73037.789999999994</v>
      </c>
      <c r="H303" s="258">
        <f>'Rate Class Load Model'!F12</f>
        <v>26450.66</v>
      </c>
      <c r="I303" s="258">
        <f>'Rate Class Load Model'!G12</f>
        <v>107590.9891359524</v>
      </c>
      <c r="J303" s="258">
        <f t="shared" si="79"/>
        <v>2486460.1460031676</v>
      </c>
      <c r="L303" s="215">
        <f>'Rate Class Load Model'!H12</f>
        <v>2486460.1460031676</v>
      </c>
    </row>
    <row r="304" spans="1:13" x14ac:dyDescent="0.2">
      <c r="A304" s="371">
        <f t="shared" si="78"/>
        <v>2010</v>
      </c>
      <c r="B304" s="402"/>
      <c r="C304" s="259"/>
      <c r="D304" s="258">
        <f>'Rate Class Load Model'!B13</f>
        <v>1294863.0522035467</v>
      </c>
      <c r="E304" s="258">
        <f>'Rate Class Load Model'!C13</f>
        <v>570059.7252000001</v>
      </c>
      <c r="F304" s="258">
        <f>'Rate Class Load Model'!D13</f>
        <v>421436.3223</v>
      </c>
      <c r="G304" s="258">
        <f>'Rate Class Load Model'!E13</f>
        <v>75928.2</v>
      </c>
      <c r="H304" s="258">
        <f>'Rate Class Load Model'!F13</f>
        <v>26613.739999999998</v>
      </c>
      <c r="I304" s="258">
        <f>'Rate Class Load Model'!G13</f>
        <v>101371.27183867896</v>
      </c>
      <c r="J304" s="258">
        <f t="shared" si="79"/>
        <v>2490272.3115422265</v>
      </c>
      <c r="L304" s="215">
        <f>'Rate Class Load Model'!H13</f>
        <v>2490272.3115422265</v>
      </c>
    </row>
    <row r="305" spans="1:12" x14ac:dyDescent="0.2">
      <c r="A305" s="371">
        <f t="shared" si="78"/>
        <v>2011</v>
      </c>
      <c r="B305" s="402"/>
      <c r="C305" s="259"/>
      <c r="D305" s="258">
        <f>'Rate Class Load Model'!B14</f>
        <v>1331831.0365679159</v>
      </c>
      <c r="E305" s="258">
        <f>'Rate Class Load Model'!C14</f>
        <v>582382.60674197262</v>
      </c>
      <c r="F305" s="258">
        <f>'Rate Class Load Model'!D14</f>
        <v>431698.85844270035</v>
      </c>
      <c r="G305" s="258">
        <f>'Rate Class Load Model'!E14</f>
        <v>81847.960000000006</v>
      </c>
      <c r="H305" s="258">
        <f>'Rate Class Load Model'!F14</f>
        <v>26604.027249875653</v>
      </c>
      <c r="I305" s="258">
        <f>'Rate Class Load Model'!G14</f>
        <v>107151.21353000897</v>
      </c>
      <c r="J305" s="258">
        <f t="shared" si="79"/>
        <v>2561515.7025324735</v>
      </c>
      <c r="L305" s="215">
        <f>'Rate Class Load Model'!H14</f>
        <v>2561515.7025324735</v>
      </c>
    </row>
    <row r="306" spans="1:12" x14ac:dyDescent="0.2">
      <c r="A306" s="371">
        <f t="shared" si="78"/>
        <v>2012</v>
      </c>
      <c r="B306" s="402"/>
      <c r="C306" s="259"/>
      <c r="D306" s="258">
        <f>'Rate Class Load Model'!B15</f>
        <v>1350651.4097994231</v>
      </c>
      <c r="E306" s="258">
        <f>'Rate Class Load Model'!C15</f>
        <v>527946.7194752692</v>
      </c>
      <c r="F306" s="258">
        <f>'Rate Class Load Model'!D15</f>
        <v>483777.43670654291</v>
      </c>
      <c r="G306" s="258">
        <f>'Rate Class Load Model'!E15</f>
        <v>81650.759999999995</v>
      </c>
      <c r="H306" s="258">
        <f>'Rate Class Load Model'!F15</f>
        <v>26876.159901697181</v>
      </c>
      <c r="I306" s="258">
        <f>'Rate Class Load Model'!G15</f>
        <v>100035.04633331299</v>
      </c>
      <c r="J306" s="258">
        <f t="shared" ref="J306" si="80">SUM(D306:I306)</f>
        <v>2570937.5322162453</v>
      </c>
      <c r="L306" s="215">
        <f>'Rate Class Load Model'!H15</f>
        <v>2570937.5322162453</v>
      </c>
    </row>
    <row r="308" spans="1:12" ht="15" x14ac:dyDescent="0.2">
      <c r="A308" s="406" t="s">
        <v>276</v>
      </c>
      <c r="B308" s="407"/>
      <c r="C308" s="407"/>
      <c r="D308" s="407"/>
      <c r="E308" s="407"/>
      <c r="F308" s="407"/>
      <c r="G308" s="407"/>
      <c r="H308" s="407"/>
      <c r="I308" s="407"/>
      <c r="J308" s="330"/>
    </row>
    <row r="309" spans="1:12" ht="60" x14ac:dyDescent="0.2">
      <c r="A309" s="403" t="s">
        <v>89</v>
      </c>
      <c r="B309" s="404"/>
      <c r="C309" s="269"/>
      <c r="D309" s="267" t="str">
        <f>D295</f>
        <v>General Service &gt; 50 to 999 kW</v>
      </c>
      <c r="E309" s="267" t="str">
        <f t="shared" ref="E309:I309" si="81">E295</f>
        <v>General Service &gt; 1000 to 4999 kW</v>
      </c>
      <c r="F309" s="267" t="str">
        <f t="shared" si="81"/>
        <v>Large User</v>
      </c>
      <c r="G309" s="267" t="str">
        <f t="shared" si="81"/>
        <v>Direct Market Participant</v>
      </c>
      <c r="H309" s="267" t="str">
        <f t="shared" si="81"/>
        <v>Street Lights</v>
      </c>
      <c r="I309" s="267" t="str">
        <f t="shared" si="81"/>
        <v>Embedded Distributor</v>
      </c>
    </row>
    <row r="310" spans="1:12" ht="15" x14ac:dyDescent="0.2">
      <c r="A310" s="249" t="s">
        <v>205</v>
      </c>
      <c r="B310" s="249"/>
      <c r="C310" s="249"/>
      <c r="D310" s="249"/>
      <c r="E310" s="249"/>
      <c r="F310" s="246"/>
      <c r="G310" s="210"/>
      <c r="H310" s="210"/>
      <c r="I310" s="210"/>
    </row>
    <row r="311" spans="1:12" ht="15" x14ac:dyDescent="0.2">
      <c r="A311" s="375">
        <f t="shared" ref="A311:A320" si="82">A297</f>
        <v>2003</v>
      </c>
      <c r="B311" s="375"/>
      <c r="C311" s="249"/>
      <c r="D311" s="331">
        <f>'Rate Class Load Model'!B24</f>
        <v>2.6168765453389838E-3</v>
      </c>
      <c r="E311" s="331">
        <f>'Rate Class Load Model'!C24</f>
        <v>2.0261587936549882E-3</v>
      </c>
      <c r="F311" s="331">
        <f>'Rate Class Load Model'!D24</f>
        <v>1.8290986807808411E-3</v>
      </c>
      <c r="G311" s="331"/>
      <c r="H311" s="331">
        <f>'Rate Class Load Model'!F24</f>
        <v>2.8189864799764001E-3</v>
      </c>
      <c r="I311" s="331"/>
    </row>
    <row r="312" spans="1:12" x14ac:dyDescent="0.2">
      <c r="A312" s="375">
        <f t="shared" si="82"/>
        <v>2004</v>
      </c>
      <c r="B312" s="375"/>
      <c r="C312" s="294"/>
      <c r="D312" s="331">
        <f>'Rate Class Load Model'!B25</f>
        <v>2.6359680305252189E-3</v>
      </c>
      <c r="E312" s="331">
        <f>'Rate Class Load Model'!C25</f>
        <v>2.0127118184873455E-3</v>
      </c>
      <c r="F312" s="331">
        <f>'Rate Class Load Model'!D25</f>
        <v>1.9113859575333133E-3</v>
      </c>
      <c r="G312" s="331"/>
      <c r="H312" s="331">
        <f>'Rate Class Load Model'!F25</f>
        <v>2.5737538794872931E-3</v>
      </c>
      <c r="I312" s="331"/>
    </row>
    <row r="313" spans="1:12" x14ac:dyDescent="0.2">
      <c r="A313" s="375">
        <f t="shared" si="82"/>
        <v>2005</v>
      </c>
      <c r="B313" s="375"/>
      <c r="C313" s="294"/>
      <c r="D313" s="331">
        <f>'Rate Class Load Model'!B26</f>
        <v>2.6691210062984149E-3</v>
      </c>
      <c r="E313" s="331">
        <f>'Rate Class Load Model'!C26</f>
        <v>2.1441970714009646E-3</v>
      </c>
      <c r="F313" s="331">
        <f>'Rate Class Load Model'!D26</f>
        <v>1.8755496366105252E-3</v>
      </c>
      <c r="G313" s="331"/>
      <c r="H313" s="331">
        <f>'Rate Class Load Model'!F26</f>
        <v>2.5848435489247592E-3</v>
      </c>
      <c r="I313" s="331"/>
    </row>
    <row r="314" spans="1:12" x14ac:dyDescent="0.2">
      <c r="A314" s="375">
        <f t="shared" si="82"/>
        <v>2006</v>
      </c>
      <c r="B314" s="375"/>
      <c r="C314" s="294"/>
      <c r="D314" s="331">
        <f>'Rate Class Load Model'!B27</f>
        <v>2.7986266930352484E-3</v>
      </c>
      <c r="E314" s="331">
        <f>'Rate Class Load Model'!C27</f>
        <v>2.4903143165170842E-3</v>
      </c>
      <c r="F314" s="331">
        <f>'Rate Class Load Model'!D27</f>
        <v>1.8756429898945824E-3</v>
      </c>
      <c r="G314" s="331">
        <f>'Rate Class Load Model'!E27</f>
        <v>1.7175247858142429E-3</v>
      </c>
      <c r="H314" s="331">
        <f>'Rate Class Load Model'!F27</f>
        <v>2.581350540366205E-3</v>
      </c>
      <c r="I314" s="331"/>
    </row>
    <row r="315" spans="1:12" x14ac:dyDescent="0.2">
      <c r="A315" s="375">
        <f t="shared" si="82"/>
        <v>2007</v>
      </c>
      <c r="B315" s="375"/>
      <c r="C315" s="294"/>
      <c r="D315" s="331">
        <f>'Rate Class Load Model'!B28</f>
        <v>2.7062601827898521E-3</v>
      </c>
      <c r="E315" s="331">
        <f>'Rate Class Load Model'!C28</f>
        <v>2.5176058497532483E-3</v>
      </c>
      <c r="F315" s="331">
        <f>'Rate Class Load Model'!D28</f>
        <v>1.9100500388182851E-3</v>
      </c>
      <c r="G315" s="331">
        <f>'Rate Class Load Model'!E28</f>
        <v>1.7047063019203341E-3</v>
      </c>
      <c r="H315" s="331">
        <f>'Rate Class Load Model'!F28</f>
        <v>2.5608843096378443E-3</v>
      </c>
      <c r="I315" s="331"/>
    </row>
    <row r="316" spans="1:12" x14ac:dyDescent="0.2">
      <c r="A316" s="375">
        <f t="shared" si="82"/>
        <v>2008</v>
      </c>
      <c r="B316" s="375"/>
      <c r="C316" s="294"/>
      <c r="D316" s="331">
        <f>'Rate Class Load Model'!B29</f>
        <v>2.7281622913876355E-3</v>
      </c>
      <c r="E316" s="331">
        <f>'Rate Class Load Model'!C29</f>
        <v>2.5160208661421271E-3</v>
      </c>
      <c r="F316" s="331">
        <f>'Rate Class Load Model'!D29</f>
        <v>1.9385686143000424E-3</v>
      </c>
      <c r="G316" s="331">
        <f>'Rate Class Load Model'!E29</f>
        <v>1.6881727128795095E-3</v>
      </c>
      <c r="H316" s="331">
        <f>'Rate Class Load Model'!F29</f>
        <v>2.549505823065918E-3</v>
      </c>
      <c r="I316" s="331"/>
    </row>
    <row r="317" spans="1:12" x14ac:dyDescent="0.2">
      <c r="A317" s="375">
        <f t="shared" si="82"/>
        <v>2009</v>
      </c>
      <c r="B317" s="375"/>
      <c r="C317" s="294"/>
      <c r="D317" s="331">
        <f>'Rate Class Load Model'!B30</f>
        <v>3.0922704816441059E-3</v>
      </c>
      <c r="E317" s="331">
        <f>'Rate Class Load Model'!C30</f>
        <v>2.7470878847799265E-3</v>
      </c>
      <c r="F317" s="331">
        <f>'Rate Class Load Model'!D30</f>
        <v>2.2797105045900515E-3</v>
      </c>
      <c r="G317" s="331">
        <f>'Rate Class Load Model'!E30</f>
        <v>1.6904243776613866E-3</v>
      </c>
      <c r="H317" s="331">
        <f>'Rate Class Load Model'!F30</f>
        <v>2.7929439591232647E-3</v>
      </c>
      <c r="I317" s="331">
        <f>'Rate Class Load Model'!G30</f>
        <v>1.982420537900864E-3</v>
      </c>
    </row>
    <row r="318" spans="1:12" x14ac:dyDescent="0.2">
      <c r="A318" s="375">
        <f t="shared" si="82"/>
        <v>2010</v>
      </c>
      <c r="B318" s="375"/>
      <c r="C318" s="294"/>
      <c r="D318" s="331">
        <f>'Rate Class Load Model'!B31</f>
        <v>3.0359233091886658E-3</v>
      </c>
      <c r="E318" s="331">
        <f>'Rate Class Load Model'!C31</f>
        <v>2.580417081066409E-3</v>
      </c>
      <c r="F318" s="331">
        <f>'Rate Class Load Model'!D31</f>
        <v>2.1440890969027641E-3</v>
      </c>
      <c r="G318" s="331">
        <f>'Rate Class Load Model'!E31</f>
        <v>1.7336493260294912E-3</v>
      </c>
      <c r="H318" s="331">
        <f>'Rate Class Load Model'!F31</f>
        <v>2.7957941257440964E-3</v>
      </c>
      <c r="I318" s="331">
        <f>'Rate Class Load Model'!G31</f>
        <v>2.0351251915705962E-3</v>
      </c>
    </row>
    <row r="319" spans="1:12" x14ac:dyDescent="0.2">
      <c r="A319" s="375">
        <f t="shared" si="82"/>
        <v>2011</v>
      </c>
      <c r="B319" s="375"/>
      <c r="C319" s="294"/>
      <c r="D319" s="331">
        <f>'Rate Class Load Model'!B32</f>
        <v>3.0465595507390272E-3</v>
      </c>
      <c r="E319" s="331">
        <f>'Rate Class Load Model'!C32</f>
        <v>2.4188621519489837E-3</v>
      </c>
      <c r="F319" s="331">
        <f>'Rate Class Load Model'!D32</f>
        <v>2.5514750245168583E-3</v>
      </c>
      <c r="G319" s="331">
        <f>'Rate Class Load Model'!E32</f>
        <v>1.7506184180007564E-3</v>
      </c>
      <c r="H319" s="331">
        <f>'Rate Class Load Model'!F32</f>
        <v>2.7946917100768647E-3</v>
      </c>
      <c r="I319" s="331">
        <f>'Rate Class Load Model'!G32</f>
        <v>2.0900830966685529E-3</v>
      </c>
    </row>
    <row r="320" spans="1:12" x14ac:dyDescent="0.2">
      <c r="A320" s="375">
        <f t="shared" si="82"/>
        <v>2012</v>
      </c>
      <c r="B320" s="375"/>
      <c r="C320" s="294"/>
      <c r="D320" s="331">
        <f>'Rate Class Load Model'!B33</f>
        <v>3.0878999974056518E-3</v>
      </c>
      <c r="E320" s="331">
        <f>'Rate Class Load Model'!C33</f>
        <v>2.3336730824025545E-3</v>
      </c>
      <c r="F320" s="331">
        <f>'Rate Class Load Model'!D33</f>
        <v>2.4045858465408937E-3</v>
      </c>
      <c r="G320" s="331">
        <f>'Rate Class Load Model'!E33</f>
        <v>1.796391424410425E-3</v>
      </c>
      <c r="H320" s="331">
        <f>'Rate Class Load Model'!F33</f>
        <v>2.786488634453041E-3</v>
      </c>
      <c r="I320" s="331">
        <f>'Rate Class Load Model'!G33</f>
        <v>2.2333857595393069E-3</v>
      </c>
    </row>
    <row r="321" spans="1:12" ht="15" x14ac:dyDescent="0.2">
      <c r="A321" s="383" t="s">
        <v>275</v>
      </c>
      <c r="B321" s="383"/>
      <c r="C321" s="292"/>
      <c r="D321" s="260">
        <f>'Rate Class Load Model'!B35</f>
        <v>2.8417668088352803E-3</v>
      </c>
      <c r="E321" s="260">
        <f>'Rate Class Load Model'!C35</f>
        <v>2.3787048916153633E-3</v>
      </c>
      <c r="F321" s="260">
        <f>'Rate Class Load Model'!D35</f>
        <v>2.072015639048816E-3</v>
      </c>
      <c r="G321" s="260">
        <f>'Rate Class Load Model'!E35</f>
        <v>1.7259267638165922E-3</v>
      </c>
      <c r="H321" s="260">
        <f>'Rate Class Load Model'!F35</f>
        <v>2.6839243010855691E-3</v>
      </c>
      <c r="I321" s="260">
        <f>'Rate Class Load Model'!G35</f>
        <v>2.08525364641983E-3</v>
      </c>
    </row>
    <row r="323" spans="1:12" ht="15" x14ac:dyDescent="0.2">
      <c r="A323" s="376" t="s">
        <v>277</v>
      </c>
      <c r="B323" s="376"/>
      <c r="C323" s="376"/>
      <c r="D323" s="376"/>
      <c r="E323" s="376"/>
      <c r="F323" s="376"/>
      <c r="G323" s="376"/>
      <c r="H323" s="376"/>
      <c r="I323" s="376"/>
      <c r="J323" s="376"/>
    </row>
    <row r="324" spans="1:12" ht="60" x14ac:dyDescent="0.2">
      <c r="A324" s="384" t="s">
        <v>89</v>
      </c>
      <c r="B324" s="384"/>
      <c r="C324" s="325"/>
      <c r="D324" s="267" t="str">
        <f>D295</f>
        <v>General Service &gt; 50 to 999 kW</v>
      </c>
      <c r="E324" s="267" t="str">
        <f t="shared" ref="E324:J324" si="83">E295</f>
        <v>General Service &gt; 1000 to 4999 kW</v>
      </c>
      <c r="F324" s="267" t="str">
        <f t="shared" si="83"/>
        <v>Large User</v>
      </c>
      <c r="G324" s="267" t="str">
        <f t="shared" si="83"/>
        <v>Direct Market Participant</v>
      </c>
      <c r="H324" s="267" t="str">
        <f t="shared" si="83"/>
        <v>Street Lights</v>
      </c>
      <c r="I324" s="267" t="str">
        <f t="shared" si="83"/>
        <v>Embedded Distributor</v>
      </c>
      <c r="J324" s="267" t="str">
        <f t="shared" si="83"/>
        <v>Total</v>
      </c>
    </row>
    <row r="325" spans="1:12" ht="15" x14ac:dyDescent="0.2">
      <c r="A325" s="292" t="s">
        <v>206</v>
      </c>
      <c r="B325" s="292"/>
      <c r="C325" s="292"/>
      <c r="D325" s="292"/>
      <c r="E325" s="292"/>
      <c r="F325" s="210"/>
      <c r="G325" s="210"/>
      <c r="H325" s="210"/>
      <c r="I325" s="210"/>
      <c r="J325" s="210"/>
    </row>
    <row r="326" spans="1:12" ht="15" x14ac:dyDescent="0.2">
      <c r="A326" s="292" t="s">
        <v>271</v>
      </c>
      <c r="B326" s="294"/>
      <c r="C326" s="294"/>
      <c r="D326" s="243">
        <f>D321*F291*1000000</f>
        <v>1222684.9996657735</v>
      </c>
      <c r="E326" s="243">
        <f t="shared" ref="E326:H326" si="84">E321*G291*1000000</f>
        <v>529312.79885391321</v>
      </c>
      <c r="F326" s="243">
        <f t="shared" si="84"/>
        <v>423390.54069697962</v>
      </c>
      <c r="G326" s="243">
        <f t="shared" si="84"/>
        <v>78916.676104049024</v>
      </c>
      <c r="H326" s="243">
        <f t="shared" si="84"/>
        <v>25847.55341737144</v>
      </c>
      <c r="I326" s="243">
        <f>I321*L291*1000000</f>
        <v>91971.308330616273</v>
      </c>
      <c r="J326" s="243">
        <f>SUM(D326:I326)</f>
        <v>2372123.8770687035</v>
      </c>
      <c r="L326" s="215">
        <f>'Rate Class Load Model'!H16</f>
        <v>2372123.8770687035</v>
      </c>
    </row>
    <row r="327" spans="1:12" ht="15" x14ac:dyDescent="0.2">
      <c r="A327" s="292" t="s">
        <v>272</v>
      </c>
      <c r="B327" s="294"/>
      <c r="C327" s="294"/>
      <c r="D327" s="243">
        <f>D321*F292*1000000</f>
        <v>1211049.8096063654</v>
      </c>
      <c r="E327" s="243">
        <f t="shared" ref="E327:H327" si="85">E321*G292*1000000</f>
        <v>521747.24298547127</v>
      </c>
      <c r="F327" s="243">
        <f t="shared" si="85"/>
        <v>429057.1455587502</v>
      </c>
      <c r="G327" s="243">
        <f t="shared" si="85"/>
        <v>79211.2993072315</v>
      </c>
      <c r="H327" s="243">
        <f t="shared" si="85"/>
        <v>25750.749206811393</v>
      </c>
      <c r="I327" s="243">
        <f>I321*L292*1000000</f>
        <v>90564.377192908592</v>
      </c>
      <c r="J327" s="243">
        <f>SUM(D327:I327)</f>
        <v>2357380.6238575378</v>
      </c>
      <c r="L327" s="215">
        <f>'Rate Class Load Model'!H17</f>
        <v>2357380.6238575378</v>
      </c>
    </row>
    <row r="328" spans="1:12" ht="15" x14ac:dyDescent="0.2">
      <c r="A328" s="207"/>
      <c r="B328" s="259"/>
      <c r="C328" s="259"/>
      <c r="D328" s="262"/>
      <c r="E328" s="262"/>
      <c r="F328" s="262"/>
      <c r="G328" s="262"/>
    </row>
    <row r="329" spans="1:12" ht="15" x14ac:dyDescent="0.2">
      <c r="A329" s="397" t="s">
        <v>278</v>
      </c>
      <c r="B329" s="398"/>
      <c r="C329" s="398"/>
      <c r="D329" s="398"/>
      <c r="E329" s="398"/>
      <c r="F329" s="398"/>
      <c r="G329" s="398"/>
      <c r="H329" s="398"/>
      <c r="I329" s="399"/>
    </row>
    <row r="330" spans="1:12" ht="60" x14ac:dyDescent="0.2">
      <c r="A330" s="400"/>
      <c r="B330" s="401"/>
      <c r="C330" s="325"/>
      <c r="D330" s="332" t="s">
        <v>212</v>
      </c>
      <c r="E330" s="332" t="s">
        <v>107</v>
      </c>
      <c r="F330" s="332" t="s">
        <v>103</v>
      </c>
      <c r="G330" s="332" t="s">
        <v>102</v>
      </c>
      <c r="H330" s="274" t="s">
        <v>279</v>
      </c>
      <c r="I330" s="274" t="s">
        <v>280</v>
      </c>
    </row>
    <row r="331" spans="1:12" x14ac:dyDescent="0.2">
      <c r="A331" s="373"/>
      <c r="B331" s="374"/>
      <c r="C331" s="238"/>
      <c r="D331" s="214"/>
      <c r="E331" s="214"/>
      <c r="F331" s="214"/>
      <c r="G331" s="214"/>
      <c r="H331" s="214"/>
      <c r="I331" s="210"/>
    </row>
    <row r="332" spans="1:12" ht="15" x14ac:dyDescent="0.2">
      <c r="A332" s="394" t="s">
        <v>207</v>
      </c>
      <c r="B332" s="395"/>
      <c r="C332" s="395"/>
      <c r="D332" s="395"/>
      <c r="E332" s="395"/>
      <c r="F332" s="395"/>
      <c r="G332" s="395"/>
      <c r="H332" s="395"/>
      <c r="I332" s="396"/>
    </row>
    <row r="333" spans="1:12" x14ac:dyDescent="0.2">
      <c r="A333" s="238" t="s">
        <v>71</v>
      </c>
      <c r="B333" s="238"/>
      <c r="C333" s="238"/>
      <c r="D333" s="214"/>
      <c r="E333" s="214">
        <f>Summary!K4</f>
        <v>1513165630</v>
      </c>
      <c r="F333" s="214">
        <f>Summary!L4</f>
        <v>1519439267.71</v>
      </c>
      <c r="G333" s="214">
        <f>Summary!M4</f>
        <v>1526591336.2900002</v>
      </c>
      <c r="H333" s="214"/>
      <c r="I333" s="214"/>
    </row>
    <row r="334" spans="1:12" x14ac:dyDescent="0.2">
      <c r="A334" s="238" t="s">
        <v>72</v>
      </c>
      <c r="B334" s="238"/>
      <c r="C334" s="238"/>
      <c r="D334" s="214"/>
      <c r="E334" s="214">
        <f>Summary!K5</f>
        <v>1492411339.98773</v>
      </c>
      <c r="F334" s="214">
        <f>Summary!L5</f>
        <v>1537757751.8746831</v>
      </c>
      <c r="G334" s="214">
        <f>Summary!M5</f>
        <v>1511521114.71822</v>
      </c>
      <c r="H334" s="214">
        <f>Summary!N5</f>
        <v>1525605713.5900066</v>
      </c>
      <c r="I334" s="214">
        <f>Summary!O5</f>
        <v>1524552332.3854196</v>
      </c>
    </row>
    <row r="335" spans="1:12" ht="15" customHeight="1" x14ac:dyDescent="0.2">
      <c r="A335" s="377" t="s">
        <v>208</v>
      </c>
      <c r="B335" s="378"/>
      <c r="C335" s="378"/>
      <c r="D335" s="379"/>
      <c r="E335" s="263">
        <f>E334/E333-1</f>
        <v>-1.3715808501591487E-2</v>
      </c>
      <c r="F335" s="263">
        <f>F334/F333-1</f>
        <v>1.2056081841488542E-2</v>
      </c>
      <c r="G335" s="263">
        <f>G334/G333-1</f>
        <v>-9.871811278848619E-3</v>
      </c>
      <c r="H335" s="261"/>
      <c r="I335" s="210"/>
    </row>
    <row r="336" spans="1:12" x14ac:dyDescent="0.2">
      <c r="A336" s="380" t="s">
        <v>215</v>
      </c>
      <c r="B336" s="381"/>
      <c r="C336" s="381"/>
      <c r="D336" s="382"/>
      <c r="E336" s="263"/>
      <c r="F336" s="263"/>
      <c r="G336" s="263"/>
      <c r="H336" s="333">
        <f>Summary!N7</f>
        <v>-6476783.4953219099</v>
      </c>
      <c r="I336" s="333">
        <f>Summary!O7</f>
        <v>-16442097.295020105</v>
      </c>
    </row>
    <row r="337" spans="1:11" x14ac:dyDescent="0.2">
      <c r="A337" s="380" t="s">
        <v>216</v>
      </c>
      <c r="B337" s="381"/>
      <c r="C337" s="381"/>
      <c r="D337" s="382"/>
      <c r="E337" s="263"/>
      <c r="F337" s="263"/>
      <c r="G337" s="263"/>
      <c r="H337" s="265">
        <f>SUM(H334:H336)</f>
        <v>1519128930.0946846</v>
      </c>
      <c r="I337" s="265">
        <f>SUM(I334:I336)</f>
        <v>1508110235.0903995</v>
      </c>
    </row>
    <row r="338" spans="1:11" ht="12.75" customHeight="1" x14ac:dyDescent="0.2">
      <c r="A338" s="373"/>
      <c r="B338" s="374"/>
      <c r="C338" s="238"/>
      <c r="D338" s="230"/>
      <c r="E338" s="263"/>
      <c r="F338" s="261"/>
      <c r="G338" s="261"/>
      <c r="H338" s="261"/>
      <c r="I338" s="210"/>
    </row>
    <row r="339" spans="1:11" ht="15" x14ac:dyDescent="0.2">
      <c r="A339" s="394" t="s">
        <v>209</v>
      </c>
      <c r="B339" s="395"/>
      <c r="C339" s="395"/>
      <c r="D339" s="395"/>
      <c r="E339" s="395"/>
      <c r="F339" s="395"/>
      <c r="G339" s="395"/>
      <c r="H339" s="395"/>
      <c r="I339" s="396"/>
    </row>
    <row r="340" spans="1:11" x14ac:dyDescent="0.2">
      <c r="A340" s="264" t="s">
        <v>210</v>
      </c>
      <c r="B340" s="238"/>
      <c r="C340" s="238"/>
      <c r="D340" s="214"/>
      <c r="E340" s="214"/>
      <c r="F340" s="265"/>
      <c r="G340" s="265"/>
      <c r="H340" s="265"/>
      <c r="I340" s="210"/>
    </row>
    <row r="341" spans="1:11" x14ac:dyDescent="0.2">
      <c r="A341" s="238" t="s">
        <v>58</v>
      </c>
      <c r="B341" s="238"/>
      <c r="C341" s="238"/>
      <c r="D341" s="214">
        <f>D46</f>
        <v>45217</v>
      </c>
      <c r="E341" s="214">
        <f>Summary!K16</f>
        <v>44920.5</v>
      </c>
      <c r="F341" s="214">
        <f>Summary!L16</f>
        <v>45780.5</v>
      </c>
      <c r="G341" s="214">
        <f>Summary!M16</f>
        <v>46283.5</v>
      </c>
      <c r="H341" s="214">
        <f>Summary!N16</f>
        <v>47178.461350810816</v>
      </c>
      <c r="I341" s="214">
        <f>Summary!O16</f>
        <v>48090.728130542193</v>
      </c>
    </row>
    <row r="342" spans="1:11" x14ac:dyDescent="0.2">
      <c r="A342" s="371" t="s">
        <v>59</v>
      </c>
      <c r="B342" s="372"/>
      <c r="C342" s="238"/>
      <c r="D342" s="214">
        <f>D27*1000000</f>
        <v>389793819</v>
      </c>
      <c r="E342" s="214">
        <f>Summary!K17</f>
        <v>396266835.39498085</v>
      </c>
      <c r="F342" s="214">
        <f>Summary!L17</f>
        <v>396556720.36740744</v>
      </c>
      <c r="G342" s="214">
        <f>Summary!M17</f>
        <v>399587578.13183582</v>
      </c>
      <c r="H342" s="214">
        <f>Summary!N17</f>
        <v>391766292.46928155</v>
      </c>
      <c r="I342" s="214">
        <f>Summary!O17</f>
        <v>388674792.72807848</v>
      </c>
    </row>
    <row r="343" spans="1:11" x14ac:dyDescent="0.2">
      <c r="A343" s="373"/>
      <c r="B343" s="374"/>
      <c r="C343" s="238"/>
      <c r="D343" s="214"/>
      <c r="E343" s="214"/>
      <c r="F343" s="265"/>
      <c r="G343" s="265"/>
      <c r="H343" s="265"/>
      <c r="I343" s="210"/>
    </row>
    <row r="344" spans="1:11" x14ac:dyDescent="0.2">
      <c r="A344" s="369" t="str">
        <f>E280</f>
        <v>General Service &lt; 50 kW</v>
      </c>
      <c r="B344" s="370"/>
      <c r="C344" s="238"/>
      <c r="D344" s="214"/>
      <c r="E344" s="214"/>
      <c r="F344" s="265"/>
      <c r="G344" s="265"/>
      <c r="H344" s="265"/>
      <c r="I344" s="210"/>
    </row>
    <row r="345" spans="1:11" x14ac:dyDescent="0.2">
      <c r="A345" s="238" t="s">
        <v>58</v>
      </c>
      <c r="B345" s="238"/>
      <c r="C345" s="238"/>
      <c r="D345" s="214">
        <f>E46</f>
        <v>4582</v>
      </c>
      <c r="E345" s="214">
        <f>Summary!K20</f>
        <v>4604</v>
      </c>
      <c r="F345" s="214">
        <f>Summary!L20</f>
        <v>4629.5</v>
      </c>
      <c r="G345" s="214">
        <f>Summary!M20</f>
        <v>4661</v>
      </c>
      <c r="H345" s="214">
        <f>Summary!N20</f>
        <v>4700.5810249068509</v>
      </c>
      <c r="I345" s="214">
        <f>Summary!O20</f>
        <v>4740.4981702884234</v>
      </c>
      <c r="K345" s="186">
        <f>54978/12</f>
        <v>4581.5</v>
      </c>
    </row>
    <row r="346" spans="1:11" x14ac:dyDescent="0.2">
      <c r="A346" s="371" t="s">
        <v>59</v>
      </c>
      <c r="B346" s="372"/>
      <c r="C346" s="238"/>
      <c r="D346" s="214">
        <f>E27*1000000</f>
        <v>168223630</v>
      </c>
      <c r="E346" s="214">
        <f>Summary!K21</f>
        <v>163479892.81864908</v>
      </c>
      <c r="F346" s="214">
        <f>Summary!L21</f>
        <v>158322069.2436029</v>
      </c>
      <c r="G346" s="214">
        <f>Summary!M21</f>
        <v>158595034.3760052</v>
      </c>
      <c r="H346" s="214">
        <f>Summary!N21</f>
        <v>153815663.60858503</v>
      </c>
      <c r="I346" s="214">
        <f>Summary!O21</f>
        <v>150957871.26506007</v>
      </c>
    </row>
    <row r="347" spans="1:11" x14ac:dyDescent="0.2">
      <c r="A347" s="373"/>
      <c r="B347" s="374"/>
      <c r="C347" s="238"/>
      <c r="D347" s="214"/>
      <c r="E347" s="214"/>
      <c r="F347" s="265"/>
      <c r="G347" s="265"/>
      <c r="H347" s="265"/>
      <c r="I347" s="210"/>
    </row>
    <row r="348" spans="1:11" x14ac:dyDescent="0.2">
      <c r="A348" s="369" t="str">
        <f>Summary!A23</f>
        <v>General Service &gt; 50 to 999 kW</v>
      </c>
      <c r="B348" s="370"/>
      <c r="C348" s="238"/>
      <c r="D348" s="214"/>
      <c r="E348" s="214"/>
      <c r="F348" s="265"/>
      <c r="G348" s="265"/>
      <c r="H348" s="265"/>
      <c r="I348" s="210"/>
    </row>
    <row r="349" spans="1:11" x14ac:dyDescent="0.2">
      <c r="A349" s="238" t="s">
        <v>58</v>
      </c>
      <c r="B349" s="238"/>
      <c r="C349" s="238"/>
      <c r="D349" s="214">
        <f>F46</f>
        <v>724</v>
      </c>
      <c r="E349" s="214">
        <f>Summary!K24</f>
        <v>708</v>
      </c>
      <c r="F349" s="214">
        <f>Summary!L24</f>
        <v>723.5</v>
      </c>
      <c r="G349" s="214">
        <f>Summary!M24</f>
        <v>736.5</v>
      </c>
      <c r="H349" s="214">
        <f>Summary!N24</f>
        <v>754.3125707597062</v>
      </c>
      <c r="I349" s="214">
        <f>Summary!O24</f>
        <v>772.55594624048445</v>
      </c>
    </row>
    <row r="350" spans="1:11" x14ac:dyDescent="0.2">
      <c r="A350" s="371" t="s">
        <v>59</v>
      </c>
      <c r="B350" s="372"/>
      <c r="C350" s="238"/>
      <c r="D350" s="214">
        <f>F27*1000000</f>
        <v>494496789</v>
      </c>
      <c r="E350" s="214">
        <f>Summary!K25</f>
        <v>426513755.5630784</v>
      </c>
      <c r="F350" s="214">
        <f>Summary!L25</f>
        <v>437159036.08214176</v>
      </c>
      <c r="G350" s="214">
        <f>Summary!M25</f>
        <v>437401279.48903602</v>
      </c>
      <c r="H350" s="214">
        <f>Summary!N25</f>
        <v>430255218.6422714</v>
      </c>
      <c r="I350" s="214">
        <f>Summary!O25</f>
        <v>426160867.89426726</v>
      </c>
    </row>
    <row r="351" spans="1:11" x14ac:dyDescent="0.2">
      <c r="A351" s="371" t="s">
        <v>60</v>
      </c>
      <c r="B351" s="372"/>
      <c r="C351" s="238"/>
      <c r="D351" s="214">
        <v>1312686</v>
      </c>
      <c r="E351" s="214">
        <f>Summary!K26</f>
        <v>1294863.0522035467</v>
      </c>
      <c r="F351" s="214">
        <f>Summary!L26</f>
        <v>1331831.0365679159</v>
      </c>
      <c r="G351" s="214">
        <f>Summary!M26</f>
        <v>1350651.4097994231</v>
      </c>
      <c r="H351" s="214">
        <f>Summary!N26</f>
        <v>1222684.9996657735</v>
      </c>
      <c r="I351" s="214">
        <f>Summary!O26</f>
        <v>1211049.8096063654</v>
      </c>
    </row>
    <row r="352" spans="1:11" x14ac:dyDescent="0.2">
      <c r="A352" s="373"/>
      <c r="B352" s="374"/>
      <c r="C352" s="238"/>
      <c r="D352" s="214"/>
      <c r="E352" s="214"/>
      <c r="F352" s="214"/>
      <c r="G352" s="214"/>
      <c r="H352" s="214"/>
      <c r="I352" s="210"/>
    </row>
    <row r="353" spans="1:9" x14ac:dyDescent="0.2">
      <c r="A353" s="369" t="str">
        <f>Summary!A28</f>
        <v>General Service &gt; 1000 to 4999 kW</v>
      </c>
      <c r="B353" s="370"/>
      <c r="C353" s="238"/>
      <c r="D353" s="214"/>
      <c r="E353" s="214"/>
      <c r="F353" s="214"/>
      <c r="G353" s="214"/>
      <c r="H353" s="214"/>
      <c r="I353" s="210"/>
    </row>
    <row r="354" spans="1:9" x14ac:dyDescent="0.2">
      <c r="A354" s="238" t="str">
        <f>A349</f>
        <v xml:space="preserve">  Customers</v>
      </c>
      <c r="B354" s="238"/>
      <c r="C354" s="238"/>
      <c r="D354" s="214">
        <f>G46</f>
        <v>25</v>
      </c>
      <c r="E354" s="214">
        <f>Summary!K29</f>
        <v>26</v>
      </c>
      <c r="F354" s="214">
        <f>Summary!L29</f>
        <v>28</v>
      </c>
      <c r="G354" s="214">
        <f>Summary!M29</f>
        <v>27</v>
      </c>
      <c r="H354" s="214">
        <f>Summary!N29</f>
        <v>27.189566748340773</v>
      </c>
      <c r="I354" s="214">
        <f>Summary!O29</f>
        <v>27.380464443054752</v>
      </c>
    </row>
    <row r="355" spans="1:9" x14ac:dyDescent="0.2">
      <c r="A355" s="371" t="s">
        <v>59</v>
      </c>
      <c r="B355" s="372"/>
      <c r="C355" s="238"/>
      <c r="D355" s="214">
        <f>G27*1000000</f>
        <v>215965446</v>
      </c>
      <c r="E355" s="214">
        <f>Summary!K30</f>
        <v>220917668.45862433</v>
      </c>
      <c r="F355" s="214">
        <f>Summary!L30</f>
        <v>240767174.87713027</v>
      </c>
      <c r="G355" s="214">
        <f>Summary!M30</f>
        <v>226229939.17028835</v>
      </c>
      <c r="H355" s="214">
        <f>Summary!N30</f>
        <v>222521423.61991799</v>
      </c>
      <c r="I355" s="214">
        <f>Summary!O30</f>
        <v>219340887.90272596</v>
      </c>
    </row>
    <row r="356" spans="1:9" x14ac:dyDescent="0.2">
      <c r="A356" s="371" t="s">
        <v>60</v>
      </c>
      <c r="B356" s="372"/>
      <c r="C356" s="238"/>
      <c r="D356" s="214">
        <v>478860</v>
      </c>
      <c r="E356" s="214">
        <f>Summary!K31</f>
        <v>570059.7252000001</v>
      </c>
      <c r="F356" s="214">
        <f>Summary!L31</f>
        <v>582382.60674197262</v>
      </c>
      <c r="G356" s="214">
        <f>Summary!M31</f>
        <v>527946.7194752692</v>
      </c>
      <c r="H356" s="214">
        <f>Summary!N31</f>
        <v>529312.79885391332</v>
      </c>
      <c r="I356" s="214">
        <f>Summary!O31</f>
        <v>521747.24298547133</v>
      </c>
    </row>
    <row r="357" spans="1:9" x14ac:dyDescent="0.2">
      <c r="A357" s="373"/>
      <c r="B357" s="374"/>
      <c r="C357" s="238"/>
      <c r="D357" s="214"/>
      <c r="E357" s="214"/>
      <c r="F357" s="214"/>
      <c r="G357" s="214"/>
      <c r="H357" s="214"/>
      <c r="I357" s="210"/>
    </row>
    <row r="358" spans="1:9" x14ac:dyDescent="0.2">
      <c r="A358" s="369" t="str">
        <f>Summary!A33</f>
        <v>Large User</v>
      </c>
      <c r="B358" s="370"/>
      <c r="C358" s="294"/>
      <c r="D358" s="214"/>
      <c r="E358" s="214"/>
      <c r="F358" s="214"/>
      <c r="G358" s="214"/>
      <c r="H358" s="214"/>
      <c r="I358" s="210"/>
    </row>
    <row r="359" spans="1:9" x14ac:dyDescent="0.2">
      <c r="A359" s="294" t="str">
        <f>A354</f>
        <v xml:space="preserve">  Customers</v>
      </c>
      <c r="B359" s="294"/>
      <c r="C359" s="294"/>
      <c r="D359" s="214">
        <f>H46</f>
        <v>2</v>
      </c>
      <c r="E359" s="214">
        <f>Summary!K34</f>
        <v>2</v>
      </c>
      <c r="F359" s="214">
        <f>Summary!L34</f>
        <v>2</v>
      </c>
      <c r="G359" s="214">
        <f>Summary!M34</f>
        <v>2</v>
      </c>
      <c r="H359" s="214">
        <f>Summary!N34</f>
        <v>2</v>
      </c>
      <c r="I359" s="214">
        <f>Summary!O34</f>
        <v>2</v>
      </c>
    </row>
    <row r="360" spans="1:9" x14ac:dyDescent="0.2">
      <c r="A360" s="371" t="s">
        <v>59</v>
      </c>
      <c r="B360" s="372"/>
      <c r="C360" s="294"/>
      <c r="D360" s="214">
        <f>H27*1000000</f>
        <v>159305102</v>
      </c>
      <c r="E360" s="214">
        <f>Summary!K35</f>
        <v>196557280.62270561</v>
      </c>
      <c r="F360" s="214">
        <f>Summary!L35</f>
        <v>169195800.19186977</v>
      </c>
      <c r="G360" s="214">
        <f>Summary!M35</f>
        <v>201189505.21250001</v>
      </c>
      <c r="H360" s="214">
        <f>Summary!N35</f>
        <v>204337521.74348557</v>
      </c>
      <c r="I360" s="214">
        <f>Summary!O35</f>
        <v>207072349.00780675</v>
      </c>
    </row>
    <row r="361" spans="1:9" x14ac:dyDescent="0.2">
      <c r="A361" s="371" t="s">
        <v>60</v>
      </c>
      <c r="B361" s="372"/>
      <c r="C361" s="294"/>
      <c r="D361" s="214">
        <v>308824</v>
      </c>
      <c r="E361" s="214">
        <f>Summary!K36</f>
        <v>421436.3223</v>
      </c>
      <c r="F361" s="214">
        <f>Summary!L36</f>
        <v>431698.85844270035</v>
      </c>
      <c r="G361" s="214">
        <f>Summary!M36</f>
        <v>483777.43670654291</v>
      </c>
      <c r="H361" s="214">
        <f>Summary!N36</f>
        <v>423390.54069697962</v>
      </c>
      <c r="I361" s="214">
        <f>Summary!O36</f>
        <v>429057.14555875014</v>
      </c>
    </row>
    <row r="362" spans="1:9" x14ac:dyDescent="0.2">
      <c r="A362" s="373"/>
      <c r="B362" s="374"/>
      <c r="C362" s="294"/>
      <c r="D362" s="214"/>
      <c r="E362" s="214"/>
      <c r="F362" s="214"/>
      <c r="G362" s="214"/>
      <c r="H362" s="214"/>
      <c r="I362" s="210"/>
    </row>
    <row r="363" spans="1:9" x14ac:dyDescent="0.2">
      <c r="A363" s="369" t="str">
        <f>Summary!A38</f>
        <v>Direct Market Participant</v>
      </c>
      <c r="B363" s="370"/>
      <c r="C363" s="294"/>
      <c r="D363" s="214"/>
      <c r="E363" s="214">
        <f>Summary!K39</f>
        <v>1</v>
      </c>
      <c r="F363" s="214">
        <f>Summary!L39</f>
        <v>1</v>
      </c>
      <c r="G363" s="214">
        <f>Summary!M39</f>
        <v>1</v>
      </c>
      <c r="H363" s="214">
        <f>Summary!N39</f>
        <v>1</v>
      </c>
      <c r="I363" s="214">
        <f>Summary!O39</f>
        <v>1</v>
      </c>
    </row>
    <row r="364" spans="1:9" x14ac:dyDescent="0.2">
      <c r="A364" s="294" t="str">
        <f>A359</f>
        <v xml:space="preserve">  Customers</v>
      </c>
      <c r="B364" s="294"/>
      <c r="C364" s="294"/>
      <c r="D364" s="214"/>
      <c r="E364" s="214">
        <f>Summary!K40</f>
        <v>43796746.469999999</v>
      </c>
      <c r="F364" s="214">
        <f>Summary!L40</f>
        <v>46753740.940000005</v>
      </c>
      <c r="G364" s="214">
        <f>Summary!M40</f>
        <v>45452655.189999998</v>
      </c>
      <c r="H364" s="214">
        <f>Summary!N40</f>
        <v>45724232.197163619</v>
      </c>
      <c r="I364" s="214">
        <f>Summary!O40</f>
        <v>45894936.545319714</v>
      </c>
    </row>
    <row r="365" spans="1:9" x14ac:dyDescent="0.2">
      <c r="A365" s="371" t="s">
        <v>59</v>
      </c>
      <c r="B365" s="372"/>
      <c r="C365" s="294"/>
      <c r="D365" s="214"/>
      <c r="E365" s="214">
        <f>Summary!K41</f>
        <v>75928.2</v>
      </c>
      <c r="F365" s="214">
        <f>Summary!L41</f>
        <v>81847.960000000006</v>
      </c>
      <c r="G365" s="214">
        <f>Summary!M41</f>
        <v>81650.759999999995</v>
      </c>
      <c r="H365" s="214">
        <f>Summary!N41</f>
        <v>78916.676104049038</v>
      </c>
      <c r="I365" s="214">
        <f>Summary!O41</f>
        <v>79211.2993072315</v>
      </c>
    </row>
    <row r="366" spans="1:9" x14ac:dyDescent="0.2">
      <c r="A366" s="371" t="s">
        <v>60</v>
      </c>
      <c r="B366" s="372"/>
      <c r="C366" s="294"/>
      <c r="D366" s="214"/>
      <c r="E366" s="214"/>
      <c r="F366" s="214"/>
      <c r="G366" s="214"/>
      <c r="H366" s="214"/>
      <c r="I366" s="210"/>
    </row>
    <row r="367" spans="1:9" x14ac:dyDescent="0.2">
      <c r="A367" s="373"/>
      <c r="B367" s="374"/>
      <c r="C367" s="294"/>
      <c r="D367" s="214"/>
      <c r="E367" s="214"/>
      <c r="F367" s="214"/>
      <c r="G367" s="214"/>
      <c r="H367" s="214"/>
      <c r="I367" s="210"/>
    </row>
    <row r="368" spans="1:9" x14ac:dyDescent="0.2">
      <c r="A368" s="264" t="str">
        <f>Summary!A43</f>
        <v>Street Lights</v>
      </c>
      <c r="B368" s="238"/>
      <c r="C368" s="238"/>
      <c r="D368" s="214"/>
      <c r="E368" s="214"/>
      <c r="F368" s="265"/>
      <c r="G368" s="265"/>
      <c r="H368" s="265"/>
      <c r="I368" s="210"/>
    </row>
    <row r="369" spans="1:9" x14ac:dyDescent="0.2">
      <c r="A369" s="238" t="str">
        <f>Summary!A44</f>
        <v xml:space="preserve">  Connections</v>
      </c>
      <c r="B369" s="238"/>
      <c r="C369" s="238"/>
      <c r="D369" s="214">
        <f>J46</f>
        <v>12717</v>
      </c>
      <c r="E369" s="214">
        <f>Summary!K44</f>
        <v>12558.5</v>
      </c>
      <c r="F369" s="214">
        <f>Summary!L44</f>
        <v>12623.5</v>
      </c>
      <c r="G369" s="214">
        <f>Summary!M44</f>
        <v>12722</v>
      </c>
      <c r="H369" s="214">
        <f>Summary!N44</f>
        <v>12858.548708079272</v>
      </c>
      <c r="I369" s="214">
        <f>Summary!O44</f>
        <v>12996.563030816467</v>
      </c>
    </row>
    <row r="370" spans="1:9" x14ac:dyDescent="0.2">
      <c r="A370" s="371" t="s">
        <v>59</v>
      </c>
      <c r="B370" s="372"/>
      <c r="C370" s="238"/>
      <c r="D370" s="214">
        <f>J27*1000000</f>
        <v>9470257</v>
      </c>
      <c r="E370" s="214">
        <f>Summary!K45</f>
        <v>9519205.9225450978</v>
      </c>
      <c r="F370" s="214">
        <f>Summary!L45</f>
        <v>9519485.5138937458</v>
      </c>
      <c r="G370" s="214">
        <f>Summary!M45</f>
        <v>9645171.1912231408</v>
      </c>
      <c r="H370" s="214">
        <f>Summary!N45</f>
        <v>9630507.6141368318</v>
      </c>
      <c r="I370" s="214">
        <f>Summary!O45</f>
        <v>9594439.4543452542</v>
      </c>
    </row>
    <row r="371" spans="1:9" x14ac:dyDescent="0.2">
      <c r="A371" s="371" t="s">
        <v>60</v>
      </c>
      <c r="B371" s="372"/>
      <c r="C371" s="238"/>
      <c r="D371" s="214">
        <v>24144</v>
      </c>
      <c r="E371" s="214">
        <f>Summary!K46</f>
        <v>26613.739999999998</v>
      </c>
      <c r="F371" s="214">
        <f>Summary!L46</f>
        <v>26604.027249875653</v>
      </c>
      <c r="G371" s="214">
        <f>Summary!M46</f>
        <v>26876.159901697181</v>
      </c>
      <c r="H371" s="214">
        <f>Summary!N46</f>
        <v>25847.553417371448</v>
      </c>
      <c r="I371" s="214">
        <f>Summary!O46</f>
        <v>25750.749206811397</v>
      </c>
    </row>
    <row r="372" spans="1:9" x14ac:dyDescent="0.2">
      <c r="A372" s="373"/>
      <c r="B372" s="374"/>
      <c r="C372" s="238"/>
      <c r="D372" s="214"/>
      <c r="E372" s="214"/>
      <c r="F372" s="214"/>
      <c r="G372" s="214"/>
      <c r="H372" s="214"/>
      <c r="I372" s="210"/>
    </row>
    <row r="373" spans="1:9" x14ac:dyDescent="0.2">
      <c r="A373" s="369" t="str">
        <f>Summary!A48</f>
        <v xml:space="preserve">Unmetered Loads </v>
      </c>
      <c r="B373" s="370"/>
      <c r="C373" s="238"/>
      <c r="D373" s="214"/>
      <c r="E373" s="214"/>
      <c r="F373" s="214"/>
      <c r="G373" s="214"/>
      <c r="H373" s="214"/>
      <c r="I373" s="210"/>
    </row>
    <row r="374" spans="1:9" x14ac:dyDescent="0.2">
      <c r="A374" s="238" t="str">
        <f>A369</f>
        <v xml:space="preserve">  Connections</v>
      </c>
      <c r="B374" s="238"/>
      <c r="C374" s="238"/>
      <c r="D374" s="214">
        <f>K46</f>
        <v>507</v>
      </c>
      <c r="E374" s="214">
        <f>Summary!K49</f>
        <v>537.5</v>
      </c>
      <c r="F374" s="214">
        <f>Summary!L49</f>
        <v>514.5</v>
      </c>
      <c r="G374" s="214">
        <f>Summary!M49</f>
        <v>490.5</v>
      </c>
      <c r="H374" s="214">
        <f>Summary!N49</f>
        <v>486.37423799105244</v>
      </c>
      <c r="I374" s="214">
        <f>Summary!O49</f>
        <v>482.28317916692544</v>
      </c>
    </row>
    <row r="375" spans="1:9" x14ac:dyDescent="0.2">
      <c r="A375" s="371" t="s">
        <v>59</v>
      </c>
      <c r="B375" s="372"/>
      <c r="C375" s="238"/>
      <c r="D375" s="214">
        <f>K27*1000000</f>
        <v>1855931</v>
      </c>
      <c r="E375" s="214">
        <f>Summary!K50</f>
        <v>2130241.9105078499</v>
      </c>
      <c r="F375" s="214">
        <f>Summary!L50</f>
        <v>2067610.5874618385</v>
      </c>
      <c r="G375" s="214">
        <f>Summary!M50</f>
        <v>2015389.596745051</v>
      </c>
      <c r="H375" s="214">
        <f>Summary!N50</f>
        <v>1878439.9969108177</v>
      </c>
      <c r="I375" s="214">
        <f>Summary!O50</f>
        <v>1746895.1152104549</v>
      </c>
    </row>
    <row r="376" spans="1:9" x14ac:dyDescent="0.2">
      <c r="A376" s="373"/>
      <c r="B376" s="374"/>
      <c r="C376" s="238"/>
      <c r="D376" s="214"/>
      <c r="E376" s="214"/>
      <c r="F376" s="214"/>
      <c r="G376" s="214"/>
      <c r="H376" s="214"/>
      <c r="I376" s="210"/>
    </row>
    <row r="377" spans="1:9" x14ac:dyDescent="0.2">
      <c r="A377" s="369" t="str">
        <f>Summary!A52</f>
        <v>Embedded Distributor</v>
      </c>
      <c r="B377" s="370"/>
      <c r="C377" s="294"/>
      <c r="D377" s="214"/>
      <c r="E377" s="214"/>
      <c r="F377" s="214"/>
      <c r="G377" s="214"/>
      <c r="H377" s="214"/>
      <c r="I377" s="210"/>
    </row>
    <row r="378" spans="1:9" x14ac:dyDescent="0.2">
      <c r="A378" s="294" t="str">
        <f>Summary!A53</f>
        <v xml:space="preserve">  Customers</v>
      </c>
      <c r="B378" s="294"/>
      <c r="C378" s="294"/>
      <c r="D378" s="214">
        <f>L46</f>
        <v>2</v>
      </c>
      <c r="E378" s="214">
        <f>Summary!K53</f>
        <v>2</v>
      </c>
      <c r="F378" s="214">
        <f>Summary!L53</f>
        <v>2</v>
      </c>
      <c r="G378" s="214">
        <f>Summary!M53</f>
        <v>2</v>
      </c>
      <c r="H378" s="214">
        <f>Summary!N53</f>
        <v>2</v>
      </c>
      <c r="I378" s="214">
        <f>Summary!O53</f>
        <v>2</v>
      </c>
    </row>
    <row r="379" spans="1:9" x14ac:dyDescent="0.2">
      <c r="A379" s="371" t="str">
        <f>Summary!A54</f>
        <v xml:space="preserve">  kWh</v>
      </c>
      <c r="B379" s="372"/>
      <c r="C379" s="294"/>
      <c r="D379" s="214">
        <f>L27*1000000</f>
        <v>53269200</v>
      </c>
      <c r="E379" s="214">
        <f>Summary!K54</f>
        <v>49810828.473134995</v>
      </c>
      <c r="F379" s="214">
        <f>Summary!L54</f>
        <v>51266484.907131471</v>
      </c>
      <c r="G379" s="214">
        <f>Summary!M54</f>
        <v>44790760.353888787</v>
      </c>
      <c r="H379" s="214">
        <f>Summary!N54</f>
        <v>44105573.673745506</v>
      </c>
      <c r="I379" s="214">
        <f>Summary!O54</f>
        <v>43430868.637203194</v>
      </c>
    </row>
    <row r="380" spans="1:9" x14ac:dyDescent="0.2">
      <c r="A380" s="371" t="str">
        <f>Summary!A55</f>
        <v xml:space="preserve">  kW</v>
      </c>
      <c r="B380" s="372"/>
      <c r="C380" s="294"/>
      <c r="D380" s="214">
        <v>103266</v>
      </c>
      <c r="E380" s="214">
        <f>Summary!K55</f>
        <v>101371.27183867896</v>
      </c>
      <c r="F380" s="214">
        <f>Summary!L55</f>
        <v>107151.21353000897</v>
      </c>
      <c r="G380" s="214">
        <f>Summary!M55</f>
        <v>100035.04633331299</v>
      </c>
      <c r="H380" s="214">
        <f>Summary!N55</f>
        <v>91971.308330616273</v>
      </c>
      <c r="I380" s="214">
        <f>Summary!O55</f>
        <v>90564.377192908592</v>
      </c>
    </row>
    <row r="381" spans="1:9" x14ac:dyDescent="0.2">
      <c r="A381" s="373"/>
      <c r="B381" s="374"/>
      <c r="C381" s="294"/>
      <c r="D381" s="214"/>
      <c r="E381" s="214"/>
      <c r="F381" s="214"/>
      <c r="G381" s="214"/>
      <c r="H381" s="214"/>
      <c r="I381" s="210"/>
    </row>
    <row r="382" spans="1:9" x14ac:dyDescent="0.2">
      <c r="A382" s="390" t="s">
        <v>25</v>
      </c>
      <c r="B382" s="391"/>
      <c r="C382" s="238"/>
      <c r="D382" s="214"/>
      <c r="E382" s="214"/>
      <c r="F382" s="214"/>
      <c r="G382" s="214"/>
      <c r="H382" s="214"/>
      <c r="I382" s="210"/>
    </row>
    <row r="383" spans="1:9" x14ac:dyDescent="0.2">
      <c r="A383" s="210" t="s">
        <v>70</v>
      </c>
      <c r="B383" s="238"/>
      <c r="C383" s="238"/>
      <c r="D383" s="266">
        <f>D341+D345+D349+D354+D359+D363+D369+D374+D378</f>
        <v>63776</v>
      </c>
      <c r="E383" s="266">
        <f t="shared" ref="E383:I383" si="86">E341+E345+E349+E354+E359+E363+E369+E374+E378</f>
        <v>63359.5</v>
      </c>
      <c r="F383" s="266">
        <f t="shared" si="86"/>
        <v>64304.5</v>
      </c>
      <c r="G383" s="266">
        <f t="shared" si="86"/>
        <v>64925.5</v>
      </c>
      <c r="H383" s="266">
        <f t="shared" si="86"/>
        <v>66010.467459296036</v>
      </c>
      <c r="I383" s="266">
        <f t="shared" si="86"/>
        <v>67115.00892149756</v>
      </c>
    </row>
    <row r="384" spans="1:9" x14ac:dyDescent="0.2">
      <c r="A384" s="380" t="s">
        <v>59</v>
      </c>
      <c r="B384" s="382"/>
      <c r="C384" s="238"/>
      <c r="D384" s="266">
        <f t="shared" ref="D384:I385" si="87">D342+D346+D350+D355+D360+D364+D370+D375+D379</f>
        <v>1492380174</v>
      </c>
      <c r="E384" s="266">
        <f t="shared" si="87"/>
        <v>1508992455.6342266</v>
      </c>
      <c r="F384" s="266">
        <f t="shared" si="87"/>
        <v>1511608122.7106395</v>
      </c>
      <c r="G384" s="266">
        <f t="shared" si="87"/>
        <v>1524907312.7115223</v>
      </c>
      <c r="H384" s="266">
        <f t="shared" si="87"/>
        <v>1504034873.5654981</v>
      </c>
      <c r="I384" s="266">
        <f t="shared" si="87"/>
        <v>1492873908.5500174</v>
      </c>
    </row>
    <row r="385" spans="1:9" x14ac:dyDescent="0.2">
      <c r="A385" s="380" t="s">
        <v>69</v>
      </c>
      <c r="B385" s="382"/>
      <c r="C385" s="238"/>
      <c r="D385" s="266">
        <f t="shared" si="87"/>
        <v>2227780</v>
      </c>
      <c r="E385" s="266">
        <f t="shared" si="87"/>
        <v>2490272.3115422265</v>
      </c>
      <c r="F385" s="266">
        <f t="shared" si="87"/>
        <v>2561515.7025324735</v>
      </c>
      <c r="G385" s="266">
        <f t="shared" si="87"/>
        <v>2570937.5322162453</v>
      </c>
      <c r="H385" s="266">
        <f t="shared" si="87"/>
        <v>2372123.8770687035</v>
      </c>
      <c r="I385" s="266">
        <f t="shared" si="87"/>
        <v>2357380.6238575378</v>
      </c>
    </row>
    <row r="386" spans="1:9" s="190" customFormat="1" ht="12.75" x14ac:dyDescent="0.2">
      <c r="E386" s="245"/>
      <c r="F386" s="245"/>
      <c r="G386" s="245"/>
      <c r="H386" s="245"/>
      <c r="I386" s="245"/>
    </row>
    <row r="387" spans="1:9" s="190" customFormat="1" x14ac:dyDescent="0.2">
      <c r="D387" s="266">
        <v>63776</v>
      </c>
      <c r="E387" s="266">
        <f>Summary!K62</f>
        <v>63359.5</v>
      </c>
      <c r="F387" s="266">
        <f>Summary!L62</f>
        <v>64304.5</v>
      </c>
      <c r="G387" s="266">
        <f>Summary!M62</f>
        <v>64925.5</v>
      </c>
      <c r="H387" s="266">
        <f>Summary!N62</f>
        <v>66010.467459296036</v>
      </c>
      <c r="I387" s="266">
        <f>Summary!O62</f>
        <v>67115.00892149756</v>
      </c>
    </row>
    <row r="388" spans="1:9" s="190" customFormat="1" x14ac:dyDescent="0.2">
      <c r="D388" s="266">
        <v>1492380174</v>
      </c>
      <c r="E388" s="266">
        <f>Summary!K63</f>
        <v>1508992455.6342266</v>
      </c>
      <c r="F388" s="266">
        <f>Summary!L63</f>
        <v>1511608122.7106395</v>
      </c>
      <c r="G388" s="266">
        <f>Summary!M63</f>
        <v>1524907312.7115223</v>
      </c>
      <c r="H388" s="266">
        <f>Summary!N63</f>
        <v>1504034873.5654981</v>
      </c>
      <c r="I388" s="266">
        <f>Summary!O63</f>
        <v>1492873908.5500174</v>
      </c>
    </row>
    <row r="389" spans="1:9" s="190" customFormat="1" x14ac:dyDescent="0.2">
      <c r="D389" s="266">
        <v>2227780</v>
      </c>
      <c r="E389" s="266">
        <f>Summary!K64</f>
        <v>2490272.3115422265</v>
      </c>
      <c r="F389" s="266">
        <f>Summary!L64</f>
        <v>2561515.7025324735</v>
      </c>
      <c r="G389" s="266">
        <f>Summary!M64</f>
        <v>2570937.5322162453</v>
      </c>
      <c r="H389" s="266">
        <f>Summary!N64</f>
        <v>2372123.8770687035</v>
      </c>
      <c r="I389" s="266">
        <f>Summary!O64</f>
        <v>2357380.6238575378</v>
      </c>
    </row>
    <row r="390" spans="1:9" s="190" customFormat="1" ht="12.75" x14ac:dyDescent="0.2">
      <c r="E390" s="245"/>
      <c r="F390" s="245"/>
      <c r="G390" s="245"/>
      <c r="H390" s="245"/>
      <c r="I390" s="245"/>
    </row>
    <row r="391" spans="1:9" s="190" customFormat="1" x14ac:dyDescent="0.2">
      <c r="D391" s="266">
        <f>D383-D387</f>
        <v>0</v>
      </c>
      <c r="E391" s="266">
        <f>E383-E387</f>
        <v>0</v>
      </c>
      <c r="F391" s="266">
        <f t="shared" ref="F391:I391" si="88">F383-F387</f>
        <v>0</v>
      </c>
      <c r="G391" s="266">
        <f t="shared" si="88"/>
        <v>0</v>
      </c>
      <c r="H391" s="266">
        <f t="shared" si="88"/>
        <v>0</v>
      </c>
      <c r="I391" s="266">
        <f t="shared" si="88"/>
        <v>0</v>
      </c>
    </row>
    <row r="392" spans="1:9" s="190" customFormat="1" x14ac:dyDescent="0.2">
      <c r="D392" s="266">
        <f t="shared" ref="D392" si="89">D384-D388</f>
        <v>0</v>
      </c>
      <c r="E392" s="266">
        <f t="shared" ref="E392:I393" si="90">E384-E388</f>
        <v>0</v>
      </c>
      <c r="F392" s="266">
        <f t="shared" si="90"/>
        <v>0</v>
      </c>
      <c r="G392" s="266">
        <f t="shared" si="90"/>
        <v>0</v>
      </c>
      <c r="H392" s="266">
        <f t="shared" si="90"/>
        <v>0</v>
      </c>
      <c r="I392" s="266">
        <f t="shared" si="90"/>
        <v>0</v>
      </c>
    </row>
    <row r="393" spans="1:9" s="190" customFormat="1" x14ac:dyDescent="0.2">
      <c r="D393" s="266">
        <f t="shared" ref="D393" si="91">D385-D389</f>
        <v>0</v>
      </c>
      <c r="E393" s="266">
        <f t="shared" si="90"/>
        <v>0</v>
      </c>
      <c r="F393" s="266">
        <f t="shared" si="90"/>
        <v>0</v>
      </c>
      <c r="G393" s="266">
        <f t="shared" si="90"/>
        <v>0</v>
      </c>
      <c r="H393" s="266">
        <f t="shared" si="90"/>
        <v>0</v>
      </c>
      <c r="I393" s="266">
        <f t="shared" si="90"/>
        <v>0</v>
      </c>
    </row>
    <row r="394" spans="1:9" s="190" customFormat="1" ht="12.75" x14ac:dyDescent="0.2"/>
    <row r="395" spans="1:9" s="190" customFormat="1" ht="12.75" x14ac:dyDescent="0.2"/>
    <row r="396" spans="1:9" s="190" customFormat="1" ht="12.75" x14ac:dyDescent="0.2"/>
    <row r="397" spans="1:9" s="190" customFormat="1" ht="12.75" x14ac:dyDescent="0.2"/>
    <row r="398" spans="1:9" s="190" customFormat="1" ht="12.75" x14ac:dyDescent="0.2"/>
    <row r="399" spans="1:9" s="190" customFormat="1" ht="12.75" x14ac:dyDescent="0.2"/>
    <row r="400" spans="1:9" s="190" customFormat="1" ht="12.75" x14ac:dyDescent="0.2"/>
    <row r="401" s="190" customFormat="1" ht="12.75" x14ac:dyDescent="0.2"/>
    <row r="402" s="190" customFormat="1" ht="12.75" x14ac:dyDescent="0.2"/>
    <row r="403" s="190" customFormat="1" ht="12.75" x14ac:dyDescent="0.2"/>
    <row r="404" s="190" customFormat="1" ht="12.75" x14ac:dyDescent="0.2"/>
    <row r="405" s="190" customFormat="1" ht="12.75" x14ac:dyDescent="0.2"/>
    <row r="406" s="190" customFormat="1" ht="12.75" x14ac:dyDescent="0.2"/>
    <row r="407" s="190" customFormat="1" ht="12.75" x14ac:dyDescent="0.2"/>
    <row r="408" s="190" customFormat="1" ht="12.75" x14ac:dyDescent="0.2"/>
    <row r="409" s="190" customFormat="1" ht="12.75" x14ac:dyDescent="0.2"/>
    <row r="410" s="190" customFormat="1" ht="12.75" x14ac:dyDescent="0.2"/>
    <row r="411" s="190" customFormat="1" ht="12.75" x14ac:dyDescent="0.2"/>
    <row r="412" s="190" customFormat="1" ht="12.75" x14ac:dyDescent="0.2"/>
    <row r="413" s="190" customFormat="1" ht="12.75" x14ac:dyDescent="0.2"/>
    <row r="414" s="190" customFormat="1" ht="12.75" x14ac:dyDescent="0.2"/>
    <row r="415" s="190" customFormat="1" ht="12.75" x14ac:dyDescent="0.2"/>
    <row r="416" s="190" customFormat="1" ht="12.75" x14ac:dyDescent="0.2"/>
    <row r="417" s="190" customFormat="1" ht="12.75" x14ac:dyDescent="0.2"/>
    <row r="418" s="190" customFormat="1" ht="12.75" x14ac:dyDescent="0.2"/>
    <row r="419" s="190" customFormat="1" ht="12.75" x14ac:dyDescent="0.2"/>
    <row r="420" s="190" customFormat="1" ht="12.75" x14ac:dyDescent="0.2"/>
    <row r="421" s="190" customFormat="1" ht="12.75" x14ac:dyDescent="0.2"/>
    <row r="422" s="190" customFormat="1" ht="12.75" x14ac:dyDescent="0.2"/>
    <row r="423" s="190" customFormat="1" ht="12.75" x14ac:dyDescent="0.2"/>
    <row r="424" s="190" customFormat="1" ht="12.75" x14ac:dyDescent="0.2"/>
    <row r="425" s="190" customFormat="1" ht="12.75" x14ac:dyDescent="0.2"/>
    <row r="426" s="190" customFormat="1" ht="12.75" x14ac:dyDescent="0.2"/>
    <row r="427" s="190" customFormat="1" ht="12.75" x14ac:dyDescent="0.2"/>
    <row r="428" s="190" customFormat="1" ht="12.75" x14ac:dyDescent="0.2"/>
    <row r="429" s="190" customFormat="1" ht="12.75" x14ac:dyDescent="0.2"/>
    <row r="430" s="190" customFormat="1" ht="12.75" x14ac:dyDescent="0.2"/>
    <row r="431" s="190" customFormat="1" ht="12.75" x14ac:dyDescent="0.2"/>
    <row r="432" s="190" customFormat="1" ht="12.75" x14ac:dyDescent="0.2"/>
    <row r="433" s="190" customFormat="1" ht="12.75" x14ac:dyDescent="0.2"/>
    <row r="434" s="190" customFormat="1" ht="12.75" x14ac:dyDescent="0.2"/>
    <row r="435" s="190" customFormat="1" ht="12.75" x14ac:dyDescent="0.2"/>
    <row r="436" s="190" customFormat="1" ht="12.75" x14ac:dyDescent="0.2"/>
    <row r="437" s="190" customFormat="1" ht="12.75" x14ac:dyDescent="0.2"/>
    <row r="438" s="190" customFormat="1" ht="12.75" x14ac:dyDescent="0.2"/>
    <row r="439" s="190" customFormat="1" ht="12.75" x14ac:dyDescent="0.2"/>
    <row r="440" s="190" customFormat="1" ht="12.75" x14ac:dyDescent="0.2"/>
    <row r="441" s="190" customFormat="1" ht="12.75" x14ac:dyDescent="0.2"/>
    <row r="442" s="190" customFormat="1" ht="12.75" x14ac:dyDescent="0.2"/>
    <row r="443" s="190" customFormat="1" ht="12.75" x14ac:dyDescent="0.2"/>
    <row r="444" s="190" customFormat="1" ht="12.75" x14ac:dyDescent="0.2"/>
    <row r="445" s="190" customFormat="1" ht="12.75" x14ac:dyDescent="0.2"/>
    <row r="446" s="190" customFormat="1" ht="12.75" x14ac:dyDescent="0.2"/>
    <row r="447" s="190" customFormat="1" ht="12.75" x14ac:dyDescent="0.2"/>
    <row r="448" s="190" customFormat="1" ht="12.75" x14ac:dyDescent="0.2"/>
    <row r="449" s="190" customFormat="1" ht="12.75" x14ac:dyDescent="0.2"/>
    <row r="450" s="190" customFormat="1" ht="12.75" x14ac:dyDescent="0.2"/>
    <row r="451" s="190" customFormat="1" ht="12.75" x14ac:dyDescent="0.2"/>
    <row r="452" s="190" customFormat="1" ht="12.75" x14ac:dyDescent="0.2"/>
    <row r="453" s="190" customFormat="1" ht="12.75" x14ac:dyDescent="0.2"/>
    <row r="454" s="190" customFormat="1" ht="12.75" x14ac:dyDescent="0.2"/>
    <row r="455" s="190" customFormat="1" ht="12.75" x14ac:dyDescent="0.2"/>
    <row r="456" s="190" customFormat="1" ht="12.75" x14ac:dyDescent="0.2"/>
    <row r="457" s="190" customFormat="1" ht="12.75" x14ac:dyDescent="0.2"/>
    <row r="458" s="190" customFormat="1" ht="12.75" x14ac:dyDescent="0.2"/>
    <row r="459" s="190" customFormat="1" ht="12.75" x14ac:dyDescent="0.2"/>
    <row r="460" s="190" customFormat="1" ht="12.75" x14ac:dyDescent="0.2"/>
    <row r="461" s="190" customFormat="1" ht="12.75" x14ac:dyDescent="0.2"/>
    <row r="462" s="190" customFormat="1" ht="12.75" x14ac:dyDescent="0.2"/>
    <row r="463" s="190" customFormat="1" ht="12.75" x14ac:dyDescent="0.2"/>
    <row r="464" s="190" customFormat="1" ht="12.75" x14ac:dyDescent="0.2"/>
    <row r="465" s="190" customFormat="1" ht="12.75" x14ac:dyDescent="0.2"/>
    <row r="466" s="190" customFormat="1" ht="12.75" x14ac:dyDescent="0.2"/>
    <row r="467" s="190" customFormat="1" ht="12.75" x14ac:dyDescent="0.2"/>
    <row r="468" s="190" customFormat="1" ht="12.75" x14ac:dyDescent="0.2"/>
    <row r="469" s="190" customFormat="1" ht="12.75" x14ac:dyDescent="0.2"/>
    <row r="470" s="190" customFormat="1" ht="12.75" x14ac:dyDescent="0.2"/>
    <row r="471" s="190" customFormat="1" ht="12.75" x14ac:dyDescent="0.2"/>
    <row r="472" s="190" customFormat="1" ht="12.75" x14ac:dyDescent="0.2"/>
    <row r="473" s="190" customFormat="1" ht="12.75" x14ac:dyDescent="0.2"/>
    <row r="474" s="190" customFormat="1" ht="12.75" x14ac:dyDescent="0.2"/>
    <row r="475" s="190" customFormat="1" ht="12.75" x14ac:dyDescent="0.2"/>
    <row r="476" s="190" customFormat="1" ht="12.75" x14ac:dyDescent="0.2"/>
    <row r="477" s="190" customFormat="1" ht="12.75" x14ac:dyDescent="0.2"/>
    <row r="478" s="190" customFormat="1" ht="12.75" x14ac:dyDescent="0.2"/>
    <row r="479" s="190" customFormat="1" ht="12.75" x14ac:dyDescent="0.2"/>
    <row r="480" s="190" customFormat="1" ht="12.75" x14ac:dyDescent="0.2"/>
    <row r="481" s="190" customFormat="1" ht="12.75" x14ac:dyDescent="0.2"/>
    <row r="482" s="190" customFormat="1" ht="12.75" x14ac:dyDescent="0.2"/>
    <row r="483" s="190" customFormat="1" ht="12.75" x14ac:dyDescent="0.2"/>
    <row r="484" s="190" customFormat="1" ht="12.75" x14ac:dyDescent="0.2"/>
    <row r="485" s="190" customFormat="1" ht="12.75" x14ac:dyDescent="0.2"/>
    <row r="486" s="190" customFormat="1" ht="12.75" x14ac:dyDescent="0.2"/>
    <row r="487" s="190" customFormat="1" ht="12.75" x14ac:dyDescent="0.2"/>
    <row r="488" s="190" customFormat="1" ht="12.75" x14ac:dyDescent="0.2"/>
    <row r="489" s="190" customFormat="1" ht="12.75" x14ac:dyDescent="0.2"/>
    <row r="490" s="190" customFormat="1" ht="12.75" x14ac:dyDescent="0.2"/>
    <row r="491" s="190" customFormat="1" ht="12.75" x14ac:dyDescent="0.2"/>
    <row r="492" s="190" customFormat="1" ht="12.75" x14ac:dyDescent="0.2"/>
    <row r="493" s="190" customFormat="1" ht="12.75" x14ac:dyDescent="0.2"/>
    <row r="494" s="190" customFormat="1" ht="12.75" x14ac:dyDescent="0.2"/>
    <row r="495" s="190" customFormat="1" ht="12.75" x14ac:dyDescent="0.2"/>
    <row r="496" s="190" customFormat="1" ht="12.75" x14ac:dyDescent="0.2"/>
    <row r="497" s="190" customFormat="1" ht="12.75" x14ac:dyDescent="0.2"/>
    <row r="498" s="190" customFormat="1" ht="12.75" x14ac:dyDescent="0.2"/>
    <row r="499" s="190" customFormat="1" ht="12.75" x14ac:dyDescent="0.2"/>
    <row r="500" s="190" customFormat="1" ht="12.75" x14ac:dyDescent="0.2"/>
    <row r="501" s="190" customFormat="1" ht="12.75" x14ac:dyDescent="0.2"/>
    <row r="502" s="190" customFormat="1" ht="12.75" x14ac:dyDescent="0.2"/>
    <row r="503" s="190" customFormat="1" ht="12.75" x14ac:dyDescent="0.2"/>
    <row r="504" s="190" customFormat="1" ht="12.75" x14ac:dyDescent="0.2"/>
    <row r="505" s="190" customFormat="1" ht="12.75" x14ac:dyDescent="0.2"/>
    <row r="506" s="190" customFormat="1" ht="12.75" x14ac:dyDescent="0.2"/>
    <row r="507" s="190" customFormat="1" ht="12.75" x14ac:dyDescent="0.2"/>
    <row r="508" s="190" customFormat="1" ht="12.75" x14ac:dyDescent="0.2"/>
    <row r="509" s="190" customFormat="1" ht="12.75" x14ac:dyDescent="0.2"/>
    <row r="510" s="190" customFormat="1" ht="12.75" x14ac:dyDescent="0.2"/>
    <row r="511" s="190" customFormat="1" ht="12.75" x14ac:dyDescent="0.2"/>
    <row r="512" s="190" customFormat="1" ht="12.75" x14ac:dyDescent="0.2"/>
    <row r="513" s="190" customFormat="1" ht="12.75" x14ac:dyDescent="0.2"/>
    <row r="514" s="190" customFormat="1" ht="12.75" x14ac:dyDescent="0.2"/>
    <row r="515" s="190" customFormat="1" ht="12.75" x14ac:dyDescent="0.2"/>
    <row r="516" s="190" customFormat="1" ht="12.75" x14ac:dyDescent="0.2"/>
    <row r="517" s="190" customFormat="1" ht="12.75" x14ac:dyDescent="0.2"/>
    <row r="518" s="190" customFormat="1" ht="12.75" x14ac:dyDescent="0.2"/>
    <row r="519" s="190" customFormat="1" ht="12.75" x14ac:dyDescent="0.2"/>
    <row r="520" s="190" customFormat="1" ht="12.75" x14ac:dyDescent="0.2"/>
    <row r="521" s="190" customFormat="1" ht="12.75" x14ac:dyDescent="0.2"/>
    <row r="522" s="190" customFormat="1" ht="12.75" x14ac:dyDescent="0.2"/>
    <row r="523" s="190" customFormat="1" ht="12.75" x14ac:dyDescent="0.2"/>
    <row r="524" s="190" customFormat="1" ht="12.75" x14ac:dyDescent="0.2"/>
    <row r="525" s="190" customFormat="1" ht="12.75" x14ac:dyDescent="0.2"/>
    <row r="526" s="190" customFormat="1" ht="12.75" x14ac:dyDescent="0.2"/>
    <row r="527" s="190" customFormat="1" ht="12.75" x14ac:dyDescent="0.2"/>
    <row r="528" s="190" customFormat="1" ht="12.75" x14ac:dyDescent="0.2"/>
    <row r="529" s="190" customFormat="1" ht="12.75" x14ac:dyDescent="0.2"/>
    <row r="530" s="190" customFormat="1" ht="12.75" x14ac:dyDescent="0.2"/>
    <row r="531" s="190" customFormat="1" ht="12.75" x14ac:dyDescent="0.2"/>
    <row r="532" s="190" customFormat="1" ht="12.75" x14ac:dyDescent="0.2"/>
    <row r="533" s="190" customFormat="1" ht="12.75" x14ac:dyDescent="0.2"/>
    <row r="534" s="190" customFormat="1" ht="12.75" x14ac:dyDescent="0.2"/>
    <row r="535" s="190" customFormat="1" ht="12.75" x14ac:dyDescent="0.2"/>
    <row r="536" s="190" customFormat="1" ht="12.75" x14ac:dyDescent="0.2"/>
    <row r="537" s="190" customFormat="1" ht="12.75" x14ac:dyDescent="0.2"/>
    <row r="538" s="190" customFormat="1" ht="12.75" x14ac:dyDescent="0.2"/>
    <row r="539" s="190" customFormat="1" ht="12.75" x14ac:dyDescent="0.2"/>
    <row r="540" s="190" customFormat="1" ht="12.75" x14ac:dyDescent="0.2"/>
    <row r="541" s="190" customFormat="1" ht="12.75" x14ac:dyDescent="0.2"/>
    <row r="542" s="190" customFormat="1" ht="12.75" x14ac:dyDescent="0.2"/>
    <row r="543" s="190" customFormat="1" ht="12.75" x14ac:dyDescent="0.2"/>
    <row r="544" s="190" customFormat="1" ht="12.75" x14ac:dyDescent="0.2"/>
    <row r="545" s="190" customFormat="1" ht="12.75" x14ac:dyDescent="0.2"/>
    <row r="546" s="190" customFormat="1" ht="12.75" x14ac:dyDescent="0.2"/>
    <row r="547" s="190" customFormat="1" ht="12.75" x14ac:dyDescent="0.2"/>
    <row r="548" s="190" customFormat="1" ht="12.75" x14ac:dyDescent="0.2"/>
    <row r="549" s="190" customFormat="1" ht="12.75" x14ac:dyDescent="0.2"/>
    <row r="550" s="190" customFormat="1" ht="12.75" x14ac:dyDescent="0.2"/>
    <row r="551" s="190" customFormat="1" ht="12.75" x14ac:dyDescent="0.2"/>
    <row r="552" s="190" customFormat="1" ht="12.75" x14ac:dyDescent="0.2"/>
    <row r="553" s="190" customFormat="1" ht="12.75" x14ac:dyDescent="0.2"/>
    <row r="554" s="190" customFormat="1" ht="12.75" x14ac:dyDescent="0.2"/>
    <row r="555" s="190" customFormat="1" ht="12.75" x14ac:dyDescent="0.2"/>
    <row r="556" s="190" customFormat="1" ht="12.75" x14ac:dyDescent="0.2"/>
    <row r="557" s="190" customFormat="1" ht="12.75" x14ac:dyDescent="0.2"/>
    <row r="558" s="190" customFormat="1" ht="12.75" x14ac:dyDescent="0.2"/>
    <row r="559" s="190" customFormat="1" ht="12.75" x14ac:dyDescent="0.2"/>
    <row r="560" s="190" customFormat="1" ht="12.75" x14ac:dyDescent="0.2"/>
    <row r="561" s="190" customFormat="1" ht="12.75" x14ac:dyDescent="0.2"/>
    <row r="562" s="190" customFormat="1" ht="12.75" x14ac:dyDescent="0.2"/>
    <row r="563" s="190" customFormat="1" ht="12.75" x14ac:dyDescent="0.2"/>
    <row r="564" s="190" customFormat="1" ht="12.75" x14ac:dyDescent="0.2"/>
    <row r="565" s="190" customFormat="1" ht="12.75" x14ac:dyDescent="0.2"/>
    <row r="566" s="190" customFormat="1" ht="12.75" x14ac:dyDescent="0.2"/>
    <row r="567" s="190" customFormat="1" ht="12.75" x14ac:dyDescent="0.2"/>
    <row r="568" s="190" customFormat="1" ht="12.75" x14ac:dyDescent="0.2"/>
    <row r="569" s="190" customFormat="1" ht="12.75" x14ac:dyDescent="0.2"/>
    <row r="570" s="190" customFormat="1" ht="12.75" x14ac:dyDescent="0.2"/>
    <row r="571" s="190" customFormat="1" ht="12.75" x14ac:dyDescent="0.2"/>
    <row r="572" s="190" customFormat="1" ht="12.75" x14ac:dyDescent="0.2"/>
    <row r="573" s="190" customFormat="1" ht="12.75" x14ac:dyDescent="0.2"/>
    <row r="574" s="190" customFormat="1" ht="12.75" x14ac:dyDescent="0.2"/>
    <row r="575" s="190" customFormat="1" ht="12.75" x14ac:dyDescent="0.2"/>
    <row r="576" s="190" customFormat="1" ht="12.75" x14ac:dyDescent="0.2"/>
    <row r="577" s="190" customFormat="1" ht="12.75" x14ac:dyDescent="0.2"/>
    <row r="578" s="190" customFormat="1" ht="12.75" x14ac:dyDescent="0.2"/>
    <row r="579" s="190" customFormat="1" ht="12.75" x14ac:dyDescent="0.2"/>
    <row r="580" s="190" customFormat="1" ht="12.75" x14ac:dyDescent="0.2"/>
    <row r="581" s="190" customFormat="1" ht="12.75" x14ac:dyDescent="0.2"/>
    <row r="582" s="190" customFormat="1" ht="12.75" x14ac:dyDescent="0.2"/>
    <row r="583" s="190" customFormat="1" ht="12.75" x14ac:dyDescent="0.2"/>
    <row r="584" s="190" customFormat="1" ht="12.75" x14ac:dyDescent="0.2"/>
    <row r="585" s="190" customFormat="1" ht="12.75" x14ac:dyDescent="0.2"/>
    <row r="586" s="190" customFormat="1" ht="12.75" x14ac:dyDescent="0.2"/>
    <row r="587" s="190" customFormat="1" ht="12.75" x14ac:dyDescent="0.2"/>
    <row r="588" s="190" customFormat="1" ht="12.75" x14ac:dyDescent="0.2"/>
    <row r="589" s="190" customFormat="1" ht="12.75" x14ac:dyDescent="0.2"/>
    <row r="590" s="190" customFormat="1" ht="12.75" x14ac:dyDescent="0.2"/>
    <row r="591" s="190" customFormat="1" ht="12.75" x14ac:dyDescent="0.2"/>
    <row r="592" s="190" customFormat="1" ht="12.75" x14ac:dyDescent="0.2"/>
    <row r="593" s="190" customFormat="1" ht="12.75" x14ac:dyDescent="0.2"/>
    <row r="594" s="190" customFormat="1" ht="12.75" x14ac:dyDescent="0.2"/>
    <row r="595" s="190" customFormat="1" ht="12.75" x14ac:dyDescent="0.2"/>
    <row r="596" s="190" customFormat="1" ht="12.75" x14ac:dyDescent="0.2"/>
    <row r="597" s="190" customFormat="1" ht="12.75" x14ac:dyDescent="0.2"/>
    <row r="598" s="190" customFormat="1" ht="12.75" x14ac:dyDescent="0.2"/>
    <row r="599" s="190" customFormat="1" ht="12.75" x14ac:dyDescent="0.2"/>
    <row r="600" s="190" customFormat="1" ht="12.75" x14ac:dyDescent="0.2"/>
    <row r="601" s="190" customFormat="1" ht="12.75" x14ac:dyDescent="0.2"/>
    <row r="602" s="190" customFormat="1" ht="12.75" x14ac:dyDescent="0.2"/>
    <row r="603" s="190" customFormat="1" ht="12.75" x14ac:dyDescent="0.2"/>
    <row r="604" s="190" customFormat="1" ht="12.75" x14ac:dyDescent="0.2"/>
    <row r="605" s="190" customFormat="1" ht="12.75" x14ac:dyDescent="0.2"/>
    <row r="606" s="190" customFormat="1" ht="12.75" x14ac:dyDescent="0.2"/>
    <row r="607" s="190" customFormat="1" ht="12.75" x14ac:dyDescent="0.2"/>
    <row r="608" s="190" customFormat="1" ht="12.75" x14ac:dyDescent="0.2"/>
    <row r="609" s="190" customFormat="1" ht="12.75" x14ac:dyDescent="0.2"/>
    <row r="610" s="190" customFormat="1" ht="12.75" x14ac:dyDescent="0.2"/>
    <row r="611" s="190" customFormat="1" ht="12.75" x14ac:dyDescent="0.2"/>
    <row r="612" s="190" customFormat="1" ht="12.75" x14ac:dyDescent="0.2"/>
    <row r="613" s="190" customFormat="1" ht="12.75" x14ac:dyDescent="0.2"/>
    <row r="614" s="190" customFormat="1" ht="12.75" x14ac:dyDescent="0.2"/>
    <row r="615" s="190" customFormat="1" ht="12.75" x14ac:dyDescent="0.2"/>
    <row r="616" s="190" customFormat="1" ht="12.75" x14ac:dyDescent="0.2"/>
    <row r="617" s="190" customFormat="1" ht="12.75" x14ac:dyDescent="0.2"/>
    <row r="618" s="190" customFormat="1" ht="12.75" x14ac:dyDescent="0.2"/>
    <row r="619" s="190" customFormat="1" ht="12.75" x14ac:dyDescent="0.2"/>
    <row r="620" s="190" customFormat="1" ht="12.75" x14ac:dyDescent="0.2"/>
    <row r="621" s="190" customFormat="1" ht="12.75" x14ac:dyDescent="0.2"/>
    <row r="622" s="190" customFormat="1" ht="12.75" x14ac:dyDescent="0.2"/>
    <row r="623" s="190" customFormat="1" ht="12.75" x14ac:dyDescent="0.2"/>
    <row r="624" s="190" customFormat="1" ht="12.75" x14ac:dyDescent="0.2"/>
    <row r="625" s="190" customFormat="1" ht="12.75" x14ac:dyDescent="0.2"/>
    <row r="626" s="190" customFormat="1" ht="12.75" x14ac:dyDescent="0.2"/>
    <row r="627" s="190" customFormat="1" ht="12.75" x14ac:dyDescent="0.2"/>
    <row r="628" s="190" customFormat="1" ht="12.75" x14ac:dyDescent="0.2"/>
    <row r="629" s="190" customFormat="1" ht="12.75" x14ac:dyDescent="0.2"/>
    <row r="630" s="190" customFormat="1" ht="12.75" x14ac:dyDescent="0.2"/>
    <row r="631" s="190" customFormat="1" ht="12.75" x14ac:dyDescent="0.2"/>
    <row r="632" s="190" customFormat="1" ht="12.75" x14ac:dyDescent="0.2"/>
    <row r="633" s="190" customFormat="1" ht="12.75" x14ac:dyDescent="0.2"/>
    <row r="634" s="190" customFormat="1" ht="12.75" x14ac:dyDescent="0.2"/>
    <row r="635" s="190" customFormat="1" ht="12.75" x14ac:dyDescent="0.2"/>
    <row r="636" s="190" customFormat="1" ht="12.75" x14ac:dyDescent="0.2"/>
    <row r="637" s="190" customFormat="1" ht="12.75" x14ac:dyDescent="0.2"/>
    <row r="638" s="190" customFormat="1" ht="12.75" x14ac:dyDescent="0.2"/>
    <row r="639" s="190" customFormat="1" ht="12.75" x14ac:dyDescent="0.2"/>
    <row r="640" s="190" customFormat="1" ht="12.75" x14ac:dyDescent="0.2"/>
    <row r="641" s="190" customFormat="1" ht="12.75" x14ac:dyDescent="0.2"/>
    <row r="642" s="190" customFormat="1" ht="12.75" x14ac:dyDescent="0.2"/>
    <row r="643" s="190" customFormat="1" ht="12.75" x14ac:dyDescent="0.2"/>
    <row r="644" s="190" customFormat="1" ht="12.75" x14ac:dyDescent="0.2"/>
    <row r="645" s="190" customFormat="1" ht="12.75" x14ac:dyDescent="0.2"/>
    <row r="646" s="190" customFormat="1" ht="12.75" x14ac:dyDescent="0.2"/>
    <row r="647" s="190" customFormat="1" ht="12.75" x14ac:dyDescent="0.2"/>
    <row r="648" s="190" customFormat="1" ht="12.75" x14ac:dyDescent="0.2"/>
    <row r="649" s="190" customFormat="1" ht="12.75" x14ac:dyDescent="0.2"/>
    <row r="650" s="190" customFormat="1" ht="12.75" x14ac:dyDescent="0.2"/>
    <row r="651" s="190" customFormat="1" ht="12.75" x14ac:dyDescent="0.2"/>
    <row r="652" s="190" customFormat="1" ht="12.75" x14ac:dyDescent="0.2"/>
    <row r="653" s="190" customFormat="1" ht="12.75" x14ac:dyDescent="0.2"/>
    <row r="654" s="190" customFormat="1" ht="12.75" x14ac:dyDescent="0.2"/>
    <row r="655" s="190" customFormat="1" ht="12.75" x14ac:dyDescent="0.2"/>
    <row r="656" s="190" customFormat="1" ht="12.75" x14ac:dyDescent="0.2"/>
    <row r="657" s="190" customFormat="1" ht="12.75" x14ac:dyDescent="0.2"/>
    <row r="658" s="190" customFormat="1" ht="12.75" x14ac:dyDescent="0.2"/>
    <row r="659" s="190" customFormat="1" ht="12.75" x14ac:dyDescent="0.2"/>
    <row r="660" s="190" customFormat="1" ht="12.75" x14ac:dyDescent="0.2"/>
    <row r="661" s="190" customFormat="1" ht="12.75" x14ac:dyDescent="0.2"/>
    <row r="662" s="190" customFormat="1" ht="12.75" x14ac:dyDescent="0.2"/>
    <row r="663" s="190" customFormat="1" ht="12.75" x14ac:dyDescent="0.2"/>
    <row r="664" s="190" customFormat="1" ht="12.75" x14ac:dyDescent="0.2"/>
    <row r="665" s="190" customFormat="1" ht="12.75" x14ac:dyDescent="0.2"/>
    <row r="666" s="190" customFormat="1" ht="12.75" x14ac:dyDescent="0.2"/>
    <row r="667" s="190" customFormat="1" ht="12.75" x14ac:dyDescent="0.2"/>
    <row r="668" s="190" customFormat="1" ht="12.75" x14ac:dyDescent="0.2"/>
    <row r="669" s="190" customFormat="1" ht="12.75" x14ac:dyDescent="0.2"/>
    <row r="670" s="190" customFormat="1" ht="12.75" x14ac:dyDescent="0.2"/>
    <row r="671" s="190" customFormat="1" ht="12.75" x14ac:dyDescent="0.2"/>
    <row r="672" s="190" customFormat="1" ht="12.75" x14ac:dyDescent="0.2"/>
    <row r="673" s="190" customFormat="1" ht="12.75" x14ac:dyDescent="0.2"/>
    <row r="674" s="190" customFormat="1" ht="12.75" x14ac:dyDescent="0.2"/>
    <row r="675" s="190" customFormat="1" ht="12.75" x14ac:dyDescent="0.2"/>
    <row r="676" s="190" customFormat="1" ht="12.75" x14ac:dyDescent="0.2"/>
    <row r="677" s="190" customFormat="1" ht="12.75" x14ac:dyDescent="0.2"/>
    <row r="678" s="190" customFormat="1" ht="12.75" x14ac:dyDescent="0.2"/>
    <row r="679" s="190" customFormat="1" ht="12.75" x14ac:dyDescent="0.2"/>
    <row r="680" s="190" customFormat="1" ht="12.75" x14ac:dyDescent="0.2"/>
    <row r="681" s="190" customFormat="1" ht="12.75" x14ac:dyDescent="0.2"/>
    <row r="682" s="190" customFormat="1" ht="12.75" x14ac:dyDescent="0.2"/>
    <row r="683" s="190" customFormat="1" ht="12.75" x14ac:dyDescent="0.2"/>
    <row r="684" s="190" customFormat="1" ht="12.75" x14ac:dyDescent="0.2"/>
    <row r="685" s="190" customFormat="1" ht="12.75" x14ac:dyDescent="0.2"/>
    <row r="686" s="190" customFormat="1" ht="12.75" x14ac:dyDescent="0.2"/>
    <row r="687" s="190" customFormat="1" ht="12.75" x14ac:dyDescent="0.2"/>
    <row r="688" s="190" customFormat="1" ht="12.75" x14ac:dyDescent="0.2"/>
    <row r="689" s="190" customFormat="1" ht="12.75" x14ac:dyDescent="0.2"/>
    <row r="690" s="190" customFormat="1" ht="12.75" x14ac:dyDescent="0.2"/>
    <row r="691" s="190" customFormat="1" ht="12.75" x14ac:dyDescent="0.2"/>
    <row r="692" s="190" customFormat="1" ht="12.75" x14ac:dyDescent="0.2"/>
    <row r="693" s="190" customFormat="1" ht="12.75" x14ac:dyDescent="0.2"/>
    <row r="694" s="190" customFormat="1" ht="12.75" x14ac:dyDescent="0.2"/>
    <row r="695" s="190" customFormat="1" ht="12.75" x14ac:dyDescent="0.2"/>
    <row r="696" s="190" customFormat="1" ht="12.75" x14ac:dyDescent="0.2"/>
    <row r="697" s="190" customFormat="1" ht="12.75" x14ac:dyDescent="0.2"/>
    <row r="698" s="190" customFormat="1" ht="12.75" x14ac:dyDescent="0.2"/>
    <row r="699" s="190" customFormat="1" ht="12.75" x14ac:dyDescent="0.2"/>
    <row r="700" s="190" customFormat="1" ht="12.75" x14ac:dyDescent="0.2"/>
    <row r="701" s="190" customFormat="1" ht="12.75" x14ac:dyDescent="0.2"/>
    <row r="702" s="190" customFormat="1" ht="12.75" x14ac:dyDescent="0.2"/>
    <row r="703" s="190" customFormat="1" ht="12.75" x14ac:dyDescent="0.2"/>
    <row r="704" s="190" customFormat="1" ht="12.75" x14ac:dyDescent="0.2"/>
    <row r="705" s="190" customFormat="1" ht="12.75" x14ac:dyDescent="0.2"/>
    <row r="706" s="190" customFormat="1" ht="12.75" x14ac:dyDescent="0.2"/>
    <row r="707" s="190" customFormat="1" ht="12.75" x14ac:dyDescent="0.2"/>
    <row r="708" s="190" customFormat="1" ht="12.75" x14ac:dyDescent="0.2"/>
    <row r="709" s="190" customFormat="1" ht="12.75" x14ac:dyDescent="0.2"/>
    <row r="710" s="190" customFormat="1" ht="12.75" x14ac:dyDescent="0.2"/>
    <row r="711" s="190" customFormat="1" ht="12.75" x14ac:dyDescent="0.2"/>
    <row r="712" s="190" customFormat="1" ht="12.75" x14ac:dyDescent="0.2"/>
    <row r="713" s="190" customFormat="1" ht="12.75" x14ac:dyDescent="0.2"/>
    <row r="714" s="190" customFormat="1" ht="12.75" x14ac:dyDescent="0.2"/>
    <row r="715" s="190" customFormat="1" ht="12.75" x14ac:dyDescent="0.2"/>
    <row r="716" s="190" customFormat="1" ht="12.75" x14ac:dyDescent="0.2"/>
    <row r="717" s="190" customFormat="1" ht="12.75" x14ac:dyDescent="0.2"/>
    <row r="718" s="190" customFormat="1" ht="12.75" x14ac:dyDescent="0.2"/>
    <row r="719" s="190" customFormat="1" ht="12.75" x14ac:dyDescent="0.2"/>
    <row r="720" s="190" customFormat="1" ht="12.75" x14ac:dyDescent="0.2"/>
    <row r="721" s="190" customFormat="1" ht="12.75" x14ac:dyDescent="0.2"/>
    <row r="722" s="190" customFormat="1" ht="12.75" x14ac:dyDescent="0.2"/>
    <row r="723" s="190" customFormat="1" ht="12.75" x14ac:dyDescent="0.2"/>
    <row r="724" s="190" customFormat="1" ht="12.75" x14ac:dyDescent="0.2"/>
    <row r="725" s="190" customFormat="1" ht="12.75" x14ac:dyDescent="0.2"/>
    <row r="726" s="190" customFormat="1" ht="12.75" x14ac:dyDescent="0.2"/>
    <row r="727" s="190" customFormat="1" ht="12.75" x14ac:dyDescent="0.2"/>
    <row r="728" s="190" customFormat="1" ht="12.75" x14ac:dyDescent="0.2"/>
    <row r="729" s="190" customFormat="1" ht="12.75" x14ac:dyDescent="0.2"/>
    <row r="730" s="190" customFormat="1" ht="12.75" x14ac:dyDescent="0.2"/>
    <row r="731" s="190" customFormat="1" ht="12.75" x14ac:dyDescent="0.2"/>
    <row r="732" s="190" customFormat="1" ht="12.75" x14ac:dyDescent="0.2"/>
    <row r="733" s="190" customFormat="1" ht="12.75" x14ac:dyDescent="0.2"/>
    <row r="734" s="190" customFormat="1" ht="12.75" x14ac:dyDescent="0.2"/>
    <row r="735" s="190" customFormat="1" ht="12.75" x14ac:dyDescent="0.2"/>
    <row r="736" s="190" customFormat="1" ht="12.75" x14ac:dyDescent="0.2"/>
    <row r="737" s="190" customFormat="1" ht="12.75" x14ac:dyDescent="0.2"/>
    <row r="738" s="190" customFormat="1" ht="12.75" x14ac:dyDescent="0.2"/>
    <row r="739" s="190" customFormat="1" ht="12.75" x14ac:dyDescent="0.2"/>
    <row r="740" s="190" customFormat="1" ht="12.75" x14ac:dyDescent="0.2"/>
    <row r="741" s="190" customFormat="1" ht="12.75" x14ac:dyDescent="0.2"/>
    <row r="742" s="190" customFormat="1" ht="12.75" x14ac:dyDescent="0.2"/>
    <row r="743" s="190" customFormat="1" ht="12.75" x14ac:dyDescent="0.2"/>
    <row r="744" s="190" customFormat="1" ht="12.75" x14ac:dyDescent="0.2"/>
    <row r="745" s="190" customFormat="1" ht="12.75" x14ac:dyDescent="0.2"/>
    <row r="746" s="190" customFormat="1" ht="12.75" x14ac:dyDescent="0.2"/>
    <row r="747" s="190" customFormat="1" ht="12.75" x14ac:dyDescent="0.2"/>
    <row r="748" s="190" customFormat="1" ht="12.75" x14ac:dyDescent="0.2"/>
    <row r="749" s="190" customFormat="1" ht="12.75" x14ac:dyDescent="0.2"/>
    <row r="750" s="190" customFormat="1" ht="12.75" x14ac:dyDescent="0.2"/>
  </sheetData>
  <mergeCells count="234">
    <mergeCell ref="A4:I4"/>
    <mergeCell ref="A7:B7"/>
    <mergeCell ref="A24:B24"/>
    <mergeCell ref="A5:I5"/>
    <mergeCell ref="A2:I2"/>
    <mergeCell ref="A65:L65"/>
    <mergeCell ref="A66:L66"/>
    <mergeCell ref="A68:L68"/>
    <mergeCell ref="A47:B47"/>
    <mergeCell ref="A64:B64"/>
    <mergeCell ref="A44:M44"/>
    <mergeCell ref="A45:M45"/>
    <mergeCell ref="A26:B26"/>
    <mergeCell ref="A28:B28"/>
    <mergeCell ref="A36:B36"/>
    <mergeCell ref="A37:B37"/>
    <mergeCell ref="A38:B38"/>
    <mergeCell ref="A41:B41"/>
    <mergeCell ref="A42:B42"/>
    <mergeCell ref="A43:M43"/>
    <mergeCell ref="A23:M23"/>
    <mergeCell ref="A25:M25"/>
    <mergeCell ref="A39:B39"/>
    <mergeCell ref="A40:B40"/>
    <mergeCell ref="A120:D120"/>
    <mergeCell ref="A121:B121"/>
    <mergeCell ref="A122:B122"/>
    <mergeCell ref="A124:B124"/>
    <mergeCell ref="A141:F141"/>
    <mergeCell ref="A142:B142"/>
    <mergeCell ref="D105:H105"/>
    <mergeCell ref="D106:H106"/>
    <mergeCell ref="D107:H107"/>
    <mergeCell ref="D110:H110"/>
    <mergeCell ref="D112:H112"/>
    <mergeCell ref="D114:H114"/>
    <mergeCell ref="A125:B125"/>
    <mergeCell ref="A126:B126"/>
    <mergeCell ref="A136:B136"/>
    <mergeCell ref="A128:B128"/>
    <mergeCell ref="A130:B130"/>
    <mergeCell ref="A131:B131"/>
    <mergeCell ref="A132:B132"/>
    <mergeCell ref="A133:B133"/>
    <mergeCell ref="A129:B129"/>
    <mergeCell ref="A156:B156"/>
    <mergeCell ref="A157:B157"/>
    <mergeCell ref="A158:B158"/>
    <mergeCell ref="A159:B159"/>
    <mergeCell ref="A161:B161"/>
    <mergeCell ref="A162:B162"/>
    <mergeCell ref="A143:F143"/>
    <mergeCell ref="A151:B151"/>
    <mergeCell ref="A152:B152"/>
    <mergeCell ref="A153:B153"/>
    <mergeCell ref="A154:B154"/>
    <mergeCell ref="A155:B155"/>
    <mergeCell ref="A160:B160"/>
    <mergeCell ref="A144:B144"/>
    <mergeCell ref="A145:B145"/>
    <mergeCell ref="A146:B146"/>
    <mergeCell ref="A147:B147"/>
    <mergeCell ref="A148:B148"/>
    <mergeCell ref="A149:B149"/>
    <mergeCell ref="A150:B150"/>
    <mergeCell ref="A215:B215"/>
    <mergeCell ref="A216:B216"/>
    <mergeCell ref="A217:B217"/>
    <mergeCell ref="A181:B181"/>
    <mergeCell ref="A169:B169"/>
    <mergeCell ref="A173:B173"/>
    <mergeCell ref="A174:B174"/>
    <mergeCell ref="A175:B175"/>
    <mergeCell ref="A168:M168"/>
    <mergeCell ref="A208:B208"/>
    <mergeCell ref="A212:B212"/>
    <mergeCell ref="A213:B213"/>
    <mergeCell ref="A214:B214"/>
    <mergeCell ref="A199:B199"/>
    <mergeCell ref="A202:B202"/>
    <mergeCell ref="A203:I203"/>
    <mergeCell ref="A204:B204"/>
    <mergeCell ref="A205:B205"/>
    <mergeCell ref="A201:M201"/>
    <mergeCell ref="A210:B210"/>
    <mergeCell ref="A211:B211"/>
    <mergeCell ref="A209:L209"/>
    <mergeCell ref="A182:B182"/>
    <mergeCell ref="A171:B171"/>
    <mergeCell ref="A218:B218"/>
    <mergeCell ref="A219:B219"/>
    <mergeCell ref="A220:B220"/>
    <mergeCell ref="A221:B221"/>
    <mergeCell ref="A223:L223"/>
    <mergeCell ref="A226:B226"/>
    <mergeCell ref="A227:B227"/>
    <mergeCell ref="A225:L225"/>
    <mergeCell ref="A235:B235"/>
    <mergeCell ref="A231:B231"/>
    <mergeCell ref="A232:B232"/>
    <mergeCell ref="A233:B233"/>
    <mergeCell ref="A234:B234"/>
    <mergeCell ref="A224:B224"/>
    <mergeCell ref="A228:B228"/>
    <mergeCell ref="A229:B229"/>
    <mergeCell ref="A230:B230"/>
    <mergeCell ref="A236:B236"/>
    <mergeCell ref="A237:B237"/>
    <mergeCell ref="A240:L240"/>
    <mergeCell ref="A242:L242"/>
    <mergeCell ref="B259:H259"/>
    <mergeCell ref="B260:H260"/>
    <mergeCell ref="B267:H267"/>
    <mergeCell ref="A280:B280"/>
    <mergeCell ref="A247:B247"/>
    <mergeCell ref="D254:H254"/>
    <mergeCell ref="B258:H258"/>
    <mergeCell ref="A248:M248"/>
    <mergeCell ref="D252:L252"/>
    <mergeCell ref="B274:M274"/>
    <mergeCell ref="A279:M279"/>
    <mergeCell ref="A246:M246"/>
    <mergeCell ref="A238:B238"/>
    <mergeCell ref="A241:B241"/>
    <mergeCell ref="A243:B243"/>
    <mergeCell ref="A244:B244"/>
    <mergeCell ref="A289:B289"/>
    <mergeCell ref="A288:B288"/>
    <mergeCell ref="A285:B285"/>
    <mergeCell ref="A286:B286"/>
    <mergeCell ref="A281:M281"/>
    <mergeCell ref="A284:M284"/>
    <mergeCell ref="A287:M287"/>
    <mergeCell ref="A290:M290"/>
    <mergeCell ref="A294:J294"/>
    <mergeCell ref="A302:B302"/>
    <mergeCell ref="A303:B303"/>
    <mergeCell ref="A304:B304"/>
    <mergeCell ref="A305:B305"/>
    <mergeCell ref="A309:B309"/>
    <mergeCell ref="A295:B295"/>
    <mergeCell ref="A298:B298"/>
    <mergeCell ref="A299:B299"/>
    <mergeCell ref="A300:B300"/>
    <mergeCell ref="A301:B301"/>
    <mergeCell ref="A296:J296"/>
    <mergeCell ref="A297:B297"/>
    <mergeCell ref="A306:B306"/>
    <mergeCell ref="A308:I308"/>
    <mergeCell ref="A384:B384"/>
    <mergeCell ref="A385:B385"/>
    <mergeCell ref="A375:B375"/>
    <mergeCell ref="A332:I332"/>
    <mergeCell ref="A338:B338"/>
    <mergeCell ref="A339:I339"/>
    <mergeCell ref="A318:B318"/>
    <mergeCell ref="A319:B319"/>
    <mergeCell ref="A321:B321"/>
    <mergeCell ref="A324:B324"/>
    <mergeCell ref="A342:B342"/>
    <mergeCell ref="A343:B343"/>
    <mergeCell ref="A344:B344"/>
    <mergeCell ref="A346:B346"/>
    <mergeCell ref="A347:B347"/>
    <mergeCell ref="A348:B348"/>
    <mergeCell ref="A329:I329"/>
    <mergeCell ref="A330:B330"/>
    <mergeCell ref="A331:B331"/>
    <mergeCell ref="A357:B357"/>
    <mergeCell ref="A370:B370"/>
    <mergeCell ref="A371:B371"/>
    <mergeCell ref="A372:B372"/>
    <mergeCell ref="A373:B373"/>
    <mergeCell ref="A86:B86"/>
    <mergeCell ref="A83:L83"/>
    <mergeCell ref="A84:L84"/>
    <mergeCell ref="A85:L85"/>
    <mergeCell ref="A87:L87"/>
    <mergeCell ref="A376:B376"/>
    <mergeCell ref="A382:B382"/>
    <mergeCell ref="A312:B312"/>
    <mergeCell ref="A313:B313"/>
    <mergeCell ref="A314:B314"/>
    <mergeCell ref="A315:B315"/>
    <mergeCell ref="A316:B316"/>
    <mergeCell ref="A350:B350"/>
    <mergeCell ref="A351:B351"/>
    <mergeCell ref="A352:B352"/>
    <mergeCell ref="A353:B353"/>
    <mergeCell ref="A355:B355"/>
    <mergeCell ref="A356:B356"/>
    <mergeCell ref="A363:B363"/>
    <mergeCell ref="A365:B365"/>
    <mergeCell ref="A366:B366"/>
    <mergeCell ref="A362:B362"/>
    <mergeCell ref="A134:B134"/>
    <mergeCell ref="A135:B135"/>
    <mergeCell ref="A172:B172"/>
    <mergeCell ref="A170:M170"/>
    <mergeCell ref="A184:L184"/>
    <mergeCell ref="A198:B198"/>
    <mergeCell ref="A187:B187"/>
    <mergeCell ref="A188:B188"/>
    <mergeCell ref="A186:L186"/>
    <mergeCell ref="A192:B192"/>
    <mergeCell ref="A193:B193"/>
    <mergeCell ref="A194:B194"/>
    <mergeCell ref="A195:B195"/>
    <mergeCell ref="A196:B196"/>
    <mergeCell ref="A197:B197"/>
    <mergeCell ref="A185:B185"/>
    <mergeCell ref="A189:B189"/>
    <mergeCell ref="A190:B190"/>
    <mergeCell ref="A191:B191"/>
    <mergeCell ref="A176:B176"/>
    <mergeCell ref="A177:B177"/>
    <mergeCell ref="A178:B178"/>
    <mergeCell ref="A179:B179"/>
    <mergeCell ref="A180:B180"/>
    <mergeCell ref="A377:B377"/>
    <mergeCell ref="A379:B379"/>
    <mergeCell ref="A380:B380"/>
    <mergeCell ref="A381:B381"/>
    <mergeCell ref="A320:B320"/>
    <mergeCell ref="A311:B311"/>
    <mergeCell ref="A323:J323"/>
    <mergeCell ref="A335:D335"/>
    <mergeCell ref="A336:D336"/>
    <mergeCell ref="A337:D337"/>
    <mergeCell ref="A358:B358"/>
    <mergeCell ref="A360:B360"/>
    <mergeCell ref="A361:B361"/>
    <mergeCell ref="A367:B367"/>
    <mergeCell ref="A317:B317"/>
  </mergeCells>
  <pageMargins left="0.7" right="0.7" top="0.75" bottom="0.75" header="0.3" footer="0.3"/>
  <pageSetup orientation="landscape" horizontalDpi="200" verticalDpi="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13"/>
  <sheetViews>
    <sheetView tabSelected="1" zoomScaleNormal="100" workbookViewId="0">
      <pane xSplit="1" ySplit="3" topLeftCell="G45" activePane="bottomRight" state="frozen"/>
      <selection pane="topRight" activeCell="B1" sqref="B1"/>
      <selection pane="bottomLeft" activeCell="A4" sqref="A4"/>
      <selection pane="bottomRight" activeCell="O20" sqref="O20"/>
    </sheetView>
  </sheetViews>
  <sheetFormatPr defaultRowHeight="12.75" x14ac:dyDescent="0.2"/>
  <cols>
    <col min="1" max="1" width="34.28515625" customWidth="1"/>
    <col min="2" max="2" width="13.140625" style="1" customWidth="1"/>
    <col min="3" max="3" width="13" style="1" customWidth="1"/>
    <col min="4" max="4" width="12.5703125" style="1" customWidth="1"/>
    <col min="5" max="5" width="14.140625" style="1" bestFit="1" customWidth="1"/>
    <col min="6" max="6" width="13.5703125" style="1" customWidth="1"/>
    <col min="7" max="7" width="12.7109375" style="1" customWidth="1"/>
    <col min="8" max="8" width="13" style="1" customWidth="1"/>
    <col min="9" max="9" width="14.28515625" style="1" bestFit="1" customWidth="1"/>
    <col min="10" max="10" width="12.85546875" style="92" customWidth="1"/>
    <col min="11" max="11" width="14" style="93" bestFit="1" customWidth="1"/>
    <col min="12" max="12" width="14" bestFit="1" customWidth="1"/>
    <col min="13" max="15" width="12.7109375" style="32" bestFit="1" customWidth="1"/>
    <col min="16" max="16" width="11.140625" bestFit="1" customWidth="1"/>
  </cols>
  <sheetData>
    <row r="1" spans="1:16" ht="15.75" x14ac:dyDescent="0.25">
      <c r="A1" s="45" t="s">
        <v>165</v>
      </c>
      <c r="J1" s="23"/>
      <c r="K1" s="32"/>
    </row>
    <row r="2" spans="1:16" x14ac:dyDescent="0.2">
      <c r="J2" s="23"/>
      <c r="K2" s="32"/>
    </row>
    <row r="3" spans="1:16" ht="38.25" x14ac:dyDescent="0.2">
      <c r="B3" s="47" t="s">
        <v>61</v>
      </c>
      <c r="C3" s="47" t="s">
        <v>62</v>
      </c>
      <c r="D3" s="47" t="s">
        <v>63</v>
      </c>
      <c r="E3" s="47" t="s">
        <v>64</v>
      </c>
      <c r="F3" s="47" t="s">
        <v>65</v>
      </c>
      <c r="G3" s="47" t="s">
        <v>66</v>
      </c>
      <c r="H3" s="47" t="s">
        <v>67</v>
      </c>
      <c r="I3" s="47" t="s">
        <v>80</v>
      </c>
      <c r="J3" s="177" t="s">
        <v>106</v>
      </c>
      <c r="K3" s="177" t="s">
        <v>107</v>
      </c>
      <c r="L3" s="47" t="s">
        <v>103</v>
      </c>
      <c r="M3" s="177" t="s">
        <v>102</v>
      </c>
      <c r="N3" s="177" t="s">
        <v>104</v>
      </c>
      <c r="O3" s="177" t="s">
        <v>105</v>
      </c>
    </row>
    <row r="4" spans="1:16" x14ac:dyDescent="0.2">
      <c r="A4" s="18" t="s">
        <v>71</v>
      </c>
      <c r="B4" s="29">
        <f>'Purchased Power Model'!B239</f>
        <v>1420977730</v>
      </c>
      <c r="C4" s="6">
        <f>'Purchased Power Model'!B240</f>
        <v>1519144756</v>
      </c>
      <c r="D4" s="29">
        <f>'Purchased Power Model'!B241</f>
        <v>1523717530</v>
      </c>
      <c r="E4" s="29">
        <f>'Purchased Power Model'!B242</f>
        <v>1570405930</v>
      </c>
      <c r="F4" s="29">
        <f>'Purchased Power Model'!B243</f>
        <v>1640988662</v>
      </c>
      <c r="G4" s="29">
        <f>'Purchased Power Model'!B244</f>
        <v>1599360044</v>
      </c>
      <c r="H4" s="29">
        <f>'Purchased Power Model'!B245</f>
        <v>1609193923</v>
      </c>
      <c r="I4" s="29">
        <f>'Purchased Power Model'!B246</f>
        <v>1557523229</v>
      </c>
      <c r="J4" s="96">
        <f>'Purchased Power Model'!B247</f>
        <v>1450354846</v>
      </c>
      <c r="K4" s="27">
        <f>'Purchased Power Model'!B248</f>
        <v>1513165630</v>
      </c>
      <c r="L4" s="6">
        <f>'Purchased Power Model'!B249</f>
        <v>1519439267.71</v>
      </c>
      <c r="M4" s="27">
        <f>'Purchased Power Model'!B250</f>
        <v>1526591336.2900002</v>
      </c>
      <c r="N4" s="27"/>
      <c r="O4" s="27"/>
    </row>
    <row r="5" spans="1:16" x14ac:dyDescent="0.2">
      <c r="A5" s="18" t="s">
        <v>72</v>
      </c>
      <c r="B5" s="29">
        <f>'Purchased Power Model'!N239</f>
        <v>1416590403.2563884</v>
      </c>
      <c r="C5" s="29">
        <f>'Purchased Power Model'!N240</f>
        <v>1470575513.6215622</v>
      </c>
      <c r="D5" s="29">
        <f>'Purchased Power Model'!N241</f>
        <v>1500853265.2510455</v>
      </c>
      <c r="E5" s="29">
        <f>'Purchased Power Model'!N242</f>
        <v>1539378098.2646749</v>
      </c>
      <c r="F5" s="29">
        <f>'Purchased Power Model'!N243</f>
        <v>1627237981.0482955</v>
      </c>
      <c r="G5" s="29">
        <f>'Purchased Power Model'!N244</f>
        <v>1634026222.3421593</v>
      </c>
      <c r="H5" s="29">
        <f>'Purchased Power Model'!N245</f>
        <v>1622797318.6380689</v>
      </c>
      <c r="I5" s="29">
        <f>'Purchased Power Model'!N246</f>
        <v>1601223664.943572</v>
      </c>
      <c r="J5" s="96">
        <f>'Purchased Power Model'!N247</f>
        <v>1444459368.9156191</v>
      </c>
      <c r="K5" s="96">
        <f>'Purchased Power Model'!N248</f>
        <v>1492411339.98773</v>
      </c>
      <c r="L5" s="6">
        <f>'Purchased Power Model'!N249</f>
        <v>1537757751.8746831</v>
      </c>
      <c r="M5" s="27">
        <f>'Purchased Power Model'!N250</f>
        <v>1511521114.71822</v>
      </c>
      <c r="N5" s="27">
        <f>'Purchased Power Model'!N251</f>
        <v>1525605713.5900066</v>
      </c>
      <c r="O5" s="27">
        <f>'Purchased Power Model'!N252</f>
        <v>1524552332.3854196</v>
      </c>
    </row>
    <row r="6" spans="1:16" x14ac:dyDescent="0.2">
      <c r="A6" s="18" t="s">
        <v>11</v>
      </c>
      <c r="B6" s="46">
        <f t="shared" ref="B6:M6" si="0">(B5-B4)/B4</f>
        <v>-3.087540818540185E-3</v>
      </c>
      <c r="C6" s="46">
        <f t="shared" si="0"/>
        <v>-3.1971437999314505E-2</v>
      </c>
      <c r="D6" s="46">
        <f t="shared" si="0"/>
        <v>-1.5005579642412156E-2</v>
      </c>
      <c r="E6" s="46">
        <f t="shared" si="0"/>
        <v>-1.9757841678122737E-2</v>
      </c>
      <c r="F6" s="46">
        <f t="shared" si="0"/>
        <v>-8.3795100296095177E-3</v>
      </c>
      <c r="G6" s="46">
        <f t="shared" si="0"/>
        <v>2.1675030880138252E-2</v>
      </c>
      <c r="H6" s="46">
        <f t="shared" si="0"/>
        <v>8.453546489106966E-3</v>
      </c>
      <c r="I6" s="46">
        <f t="shared" si="0"/>
        <v>2.8057646351528055E-2</v>
      </c>
      <c r="J6" s="178">
        <f t="shared" si="0"/>
        <v>-4.0648515090222718E-3</v>
      </c>
      <c r="K6" s="178">
        <f t="shared" si="0"/>
        <v>-1.3715808501591445E-2</v>
      </c>
      <c r="L6" s="46">
        <f t="shared" si="0"/>
        <v>1.2056081841488491E-2</v>
      </c>
      <c r="M6" s="178">
        <f t="shared" si="0"/>
        <v>-9.8718112788486155E-3</v>
      </c>
      <c r="N6" s="23"/>
      <c r="O6" s="23"/>
    </row>
    <row r="7" spans="1:16" x14ac:dyDescent="0.2">
      <c r="A7" s="18" t="s">
        <v>215</v>
      </c>
      <c r="B7" s="46"/>
      <c r="C7" s="46"/>
      <c r="D7" s="46"/>
      <c r="E7" s="46"/>
      <c r="F7" s="46"/>
      <c r="G7" s="46"/>
      <c r="H7" s="46"/>
      <c r="I7" s="46"/>
      <c r="J7" s="178"/>
      <c r="K7" s="178"/>
      <c r="L7" s="46"/>
      <c r="M7" s="178"/>
      <c r="N7" s="270">
        <f>-'Rate Class Energy Model'!G85*'Rate Class Energy Model'!$F$27</f>
        <v>-6476783.4953219099</v>
      </c>
      <c r="O7" s="270">
        <f>-'Rate Class Energy Model'!G86*'Rate Class Energy Model'!$F$27</f>
        <v>-16442097.295020105</v>
      </c>
    </row>
    <row r="8" spans="1:16" x14ac:dyDescent="0.2">
      <c r="A8" s="18" t="s">
        <v>216</v>
      </c>
      <c r="B8" s="46"/>
      <c r="C8" s="46"/>
      <c r="D8" s="46"/>
      <c r="E8" s="46"/>
      <c r="F8" s="46"/>
      <c r="G8" s="46"/>
      <c r="H8" s="46"/>
      <c r="I8" s="46"/>
      <c r="J8" s="178"/>
      <c r="K8" s="178"/>
      <c r="L8" s="46"/>
      <c r="M8" s="178"/>
      <c r="N8" s="271">
        <f>N5+N7</f>
        <v>1519128930.0946846</v>
      </c>
      <c r="O8" s="271">
        <f>O5+O7</f>
        <v>1508110235.0903995</v>
      </c>
    </row>
    <row r="9" spans="1:16" x14ac:dyDescent="0.2">
      <c r="A9" s="18"/>
      <c r="B9" s="43"/>
      <c r="C9" s="43"/>
      <c r="D9" s="43"/>
      <c r="E9" s="43"/>
      <c r="F9" s="43"/>
      <c r="G9" s="43"/>
      <c r="H9" s="43"/>
      <c r="I9" s="43"/>
      <c r="J9" s="97"/>
      <c r="K9" s="32"/>
      <c r="L9" s="1"/>
      <c r="M9" s="23"/>
      <c r="N9" s="23"/>
      <c r="O9" s="23"/>
    </row>
    <row r="10" spans="1:16" x14ac:dyDescent="0.2">
      <c r="A10" s="18" t="s">
        <v>223</v>
      </c>
      <c r="B10" s="29">
        <f>'Rate Class Energy Model'!G12</f>
        <v>1359912172.393183</v>
      </c>
      <c r="C10" s="29">
        <f>'Rate Class Energy Model'!G13</f>
        <v>1418653288.1429515</v>
      </c>
      <c r="D10" s="29">
        <f>'Rate Class Energy Model'!G14</f>
        <v>1486259772.5684657</v>
      </c>
      <c r="E10" s="29">
        <f>'Rate Class Energy Model'!G15</f>
        <v>1528292270.393939</v>
      </c>
      <c r="F10" s="29">
        <f>'Rate Class Energy Model'!G16</f>
        <v>1599364167.1752858</v>
      </c>
      <c r="G10" s="29">
        <f>'Rate Class Energy Model'!G17</f>
        <v>1561102859.5852938</v>
      </c>
      <c r="H10" s="29">
        <f>'Rate Class Energy Model'!G18</f>
        <v>1566589591.6061511</v>
      </c>
      <c r="I10" s="29">
        <f>'Rate Class Energy Model'!G19</f>
        <v>1518625683.1198361</v>
      </c>
      <c r="J10" s="96">
        <f>'Rate Class Energy Model'!G20</f>
        <v>1414463967.9417174</v>
      </c>
      <c r="K10" s="271">
        <f>'Rate Class Energy Model'!G21</f>
        <v>1472796612.2808111</v>
      </c>
      <c r="L10" s="6">
        <f>'Rate Class Energy Model'!G22</f>
        <v>1473820231.5484335</v>
      </c>
      <c r="M10" s="27">
        <f>'Rate Class Energy Model'!G23</f>
        <v>1493125081.2150555</v>
      </c>
      <c r="N10" s="27">
        <f>'Rate Class Energy Model'!G24-'Rate Class Energy Model'!G85</f>
        <v>1472738830.7721155</v>
      </c>
      <c r="O10" s="27">
        <f>'Rate Class Energy Model'!G25-'Rate Class Energy Model'!G86</f>
        <v>1462056616.9877765</v>
      </c>
    </row>
    <row r="11" spans="1:16" x14ac:dyDescent="0.2">
      <c r="A11" s="18" t="s">
        <v>224</v>
      </c>
      <c r="B11" s="29">
        <f>'Rate Class Energy Model'!R12</f>
        <v>0</v>
      </c>
      <c r="C11" s="29">
        <f>'Rate Class Energy Model'!R13</f>
        <v>0</v>
      </c>
      <c r="D11" s="29">
        <f>'Rate Class Energy Model'!R14</f>
        <v>0</v>
      </c>
      <c r="E11" s="29">
        <f>'Rate Class Energy Model'!R15</f>
        <v>0</v>
      </c>
      <c r="F11" s="29">
        <f>'Rate Class Energy Model'!R16</f>
        <v>0</v>
      </c>
      <c r="G11" s="29">
        <f>'Rate Class Energy Model'!R17</f>
        <v>0</v>
      </c>
      <c r="H11" s="29">
        <f>'Rate Class Energy Model'!R18</f>
        <v>0</v>
      </c>
      <c r="I11" s="29">
        <f>'Rate Class Energy Model'!R19</f>
        <v>0</v>
      </c>
      <c r="J11" s="96">
        <f>'Rate Class Energy Model'!R20</f>
        <v>40648271.1389172</v>
      </c>
      <c r="K11" s="96">
        <f>'Rate Class Energy Model'!R21</f>
        <v>36195843.353415474</v>
      </c>
      <c r="L11" s="96">
        <f>'Rate Class Energy Model'!R22</f>
        <v>37787891.162206046</v>
      </c>
      <c r="M11" s="96">
        <f>'Rate Class Energy Model'!R23</f>
        <v>31782231.496466905</v>
      </c>
      <c r="N11" s="27">
        <f>'Rate Class Energy Model'!P89</f>
        <v>31296042.793382771</v>
      </c>
      <c r="O11" s="27">
        <f>'Rate Class Energy Model'!P90</f>
        <v>30817291.56224056</v>
      </c>
    </row>
    <row r="12" spans="1:16" x14ac:dyDescent="0.2">
      <c r="A12" s="18" t="s">
        <v>222</v>
      </c>
      <c r="B12" s="29">
        <f>SUM(B10:B11)</f>
        <v>1359912172.393183</v>
      </c>
      <c r="C12" s="29">
        <f t="shared" ref="C12:O12" si="1">SUM(C10:C11)</f>
        <v>1418653288.1429515</v>
      </c>
      <c r="D12" s="29">
        <f t="shared" si="1"/>
        <v>1486259772.5684657</v>
      </c>
      <c r="E12" s="29">
        <f t="shared" si="1"/>
        <v>1528292270.393939</v>
      </c>
      <c r="F12" s="29">
        <f t="shared" si="1"/>
        <v>1599364167.1752858</v>
      </c>
      <c r="G12" s="29">
        <f t="shared" si="1"/>
        <v>1561102859.5852938</v>
      </c>
      <c r="H12" s="29">
        <f t="shared" si="1"/>
        <v>1566589591.6061511</v>
      </c>
      <c r="I12" s="29">
        <f t="shared" si="1"/>
        <v>1518625683.1198361</v>
      </c>
      <c r="J12" s="29">
        <f t="shared" si="1"/>
        <v>1455112239.0806346</v>
      </c>
      <c r="K12" s="29">
        <f t="shared" si="1"/>
        <v>1508992455.6342266</v>
      </c>
      <c r="L12" s="29">
        <f t="shared" si="1"/>
        <v>1511608122.7106395</v>
      </c>
      <c r="M12" s="29">
        <f t="shared" si="1"/>
        <v>1524907312.7115223</v>
      </c>
      <c r="N12" s="29">
        <f t="shared" si="1"/>
        <v>1504034873.5654984</v>
      </c>
      <c r="O12" s="29">
        <f t="shared" si="1"/>
        <v>1492873908.5500171</v>
      </c>
    </row>
    <row r="13" spans="1:16" x14ac:dyDescent="0.2">
      <c r="A13" s="18"/>
      <c r="B13" s="43"/>
      <c r="C13" s="43"/>
      <c r="D13" s="43"/>
      <c r="E13" s="43"/>
      <c r="F13" s="43"/>
      <c r="G13" s="43"/>
      <c r="H13" s="43"/>
      <c r="I13" s="43"/>
      <c r="J13" s="23"/>
      <c r="K13" s="32"/>
      <c r="L13" s="1"/>
      <c r="M13" s="179"/>
      <c r="N13" s="23"/>
      <c r="O13" s="23"/>
    </row>
    <row r="14" spans="1:16" ht="15.75" x14ac:dyDescent="0.25">
      <c r="A14" s="45" t="s">
        <v>73</v>
      </c>
      <c r="J14" s="23"/>
      <c r="K14" s="32"/>
      <c r="L14" s="1"/>
      <c r="M14" s="23"/>
      <c r="N14" s="23"/>
      <c r="O14" s="23"/>
    </row>
    <row r="15" spans="1:16" x14ac:dyDescent="0.2">
      <c r="A15" s="44" t="str">
        <f>'Rate Class Energy Model'!H2</f>
        <v xml:space="preserve">Residential </v>
      </c>
      <c r="J15" s="23"/>
      <c r="K15" s="32"/>
      <c r="L15" s="1"/>
      <c r="M15" s="23"/>
      <c r="N15" s="23"/>
      <c r="O15" s="23"/>
    </row>
    <row r="16" spans="1:16" x14ac:dyDescent="0.2">
      <c r="A16" t="s">
        <v>58</v>
      </c>
      <c r="B16" s="6">
        <f>'Rate Class Customer Model'!B5</f>
        <v>37491.5</v>
      </c>
      <c r="C16" s="6">
        <f>'Rate Class Customer Model'!B6</f>
        <v>38233.75</v>
      </c>
      <c r="D16" s="6">
        <f>'Rate Class Customer Model'!B7</f>
        <v>39315.75</v>
      </c>
      <c r="E16" s="6">
        <f>'Rate Class Customer Model'!B8</f>
        <v>40534.5</v>
      </c>
      <c r="F16" s="6">
        <f>'Rate Class Customer Model'!B9</f>
        <v>41299.5</v>
      </c>
      <c r="G16" s="6">
        <f>'Rate Class Customer Model'!B10</f>
        <v>42039.5</v>
      </c>
      <c r="H16" s="6">
        <f>'Rate Class Customer Model'!B11</f>
        <v>42887.5</v>
      </c>
      <c r="I16" s="6">
        <f>'Rate Class Customer Model'!B12</f>
        <v>43431</v>
      </c>
      <c r="J16" s="27">
        <f>'Rate Class Customer Model'!B13</f>
        <v>43936.5</v>
      </c>
      <c r="K16" s="27">
        <f>'Rate Class Customer Model'!B14</f>
        <v>44920.5</v>
      </c>
      <c r="L16" s="6">
        <f>'Rate Class Customer Model'!B15</f>
        <v>45780.5</v>
      </c>
      <c r="M16" s="27">
        <f>'Rate Class Customer Model'!B16</f>
        <v>46283.5</v>
      </c>
      <c r="N16" s="27">
        <f>'Rate Class Customer Model'!B17</f>
        <v>47178.461350810816</v>
      </c>
      <c r="O16" s="27">
        <f>'Rate Class Customer Model'!B18</f>
        <v>48090.728130542193</v>
      </c>
      <c r="P16" s="61"/>
    </row>
    <row r="17" spans="1:16" x14ac:dyDescent="0.2">
      <c r="A17" t="s">
        <v>59</v>
      </c>
      <c r="B17" s="6">
        <f>'Rate Class Energy Model'!H12</f>
        <v>351442094.83145243</v>
      </c>
      <c r="C17" s="6">
        <f>'Rate Class Energy Model'!H13</f>
        <v>336178776.15744424</v>
      </c>
      <c r="D17" s="6">
        <f>'Rate Class Energy Model'!H14</f>
        <v>365784244.47617793</v>
      </c>
      <c r="E17" s="6">
        <f>'Rate Class Energy Model'!H15</f>
        <v>366465998.24624068</v>
      </c>
      <c r="F17" s="6">
        <f>'Rate Class Energy Model'!H16</f>
        <v>394023308.39392865</v>
      </c>
      <c r="G17" s="6">
        <f>'Rate Class Energy Model'!H17</f>
        <v>381579968.59043884</v>
      </c>
      <c r="H17" s="6">
        <f>'Rate Class Energy Model'!H18</f>
        <v>392558966.01605856</v>
      </c>
      <c r="I17" s="6">
        <f>'Rate Class Energy Model'!H19</f>
        <v>387314731.82075351</v>
      </c>
      <c r="J17" s="27">
        <f>'Rate Class Energy Model'!H20</f>
        <v>379582713.77996522</v>
      </c>
      <c r="K17" s="27">
        <f>'Rate Class Energy Model'!H21</f>
        <v>396266835.39498085</v>
      </c>
      <c r="L17" s="59">
        <f>'Rate Class Energy Model'!H22</f>
        <v>396556720.36740744</v>
      </c>
      <c r="M17" s="27">
        <f>'Rate Class Energy Model'!H23</f>
        <v>399587578.13183582</v>
      </c>
      <c r="N17" s="27">
        <f>'Rate Class Energy Model'!H73</f>
        <v>391766292.46928155</v>
      </c>
      <c r="O17" s="27">
        <f>'Rate Class Energy Model'!H74</f>
        <v>388674792.72807848</v>
      </c>
      <c r="P17" s="61"/>
    </row>
    <row r="18" spans="1:16" x14ac:dyDescent="0.2">
      <c r="J18" s="23"/>
      <c r="K18" s="32"/>
      <c r="L18" s="59"/>
      <c r="M18" s="23"/>
      <c r="N18" s="23"/>
      <c r="O18" s="23"/>
    </row>
    <row r="19" spans="1:16" x14ac:dyDescent="0.2">
      <c r="A19" s="44" t="str">
        <f>'Rate Class Energy Model'!I2</f>
        <v>General Service &lt; 50 kW</v>
      </c>
      <c r="J19" s="23"/>
      <c r="K19" s="32"/>
      <c r="L19" s="103"/>
      <c r="M19" s="23"/>
      <c r="N19" s="23"/>
      <c r="O19" s="23"/>
    </row>
    <row r="20" spans="1:16" x14ac:dyDescent="0.2">
      <c r="A20" t="s">
        <v>58</v>
      </c>
      <c r="B20" s="6">
        <f>'Rate Class Customer Model'!C5</f>
        <v>4247</v>
      </c>
      <c r="C20" s="6">
        <f>'Rate Class Customer Model'!C6</f>
        <v>4064.75</v>
      </c>
      <c r="D20" s="6">
        <f>'Rate Class Customer Model'!C7</f>
        <v>4144.75</v>
      </c>
      <c r="E20" s="6">
        <f>'Rate Class Customer Model'!C8</f>
        <v>4193</v>
      </c>
      <c r="F20" s="6">
        <f>'Rate Class Customer Model'!C9</f>
        <v>4289</v>
      </c>
      <c r="G20" s="6">
        <f>'Rate Class Customer Model'!C10</f>
        <v>4352</v>
      </c>
      <c r="H20" s="6">
        <f>'Rate Class Customer Model'!C11</f>
        <v>4376</v>
      </c>
      <c r="I20" s="6">
        <f>'Rate Class Customer Model'!C12</f>
        <v>4449</v>
      </c>
      <c r="J20" s="27">
        <f>'Rate Class Customer Model'!C13</f>
        <v>4540.5</v>
      </c>
      <c r="K20" s="27">
        <f>'Rate Class Customer Model'!C14</f>
        <v>4604</v>
      </c>
      <c r="L20" s="6">
        <f>'Rate Class Customer Model'!C15</f>
        <v>4629.5</v>
      </c>
      <c r="M20" s="27">
        <f>'Rate Class Customer Model'!C16</f>
        <v>4661</v>
      </c>
      <c r="N20" s="27">
        <f>'Rate Class Customer Model'!C17</f>
        <v>4700.5810249068509</v>
      </c>
      <c r="O20" s="27">
        <f>'Rate Class Customer Model'!C18</f>
        <v>4740.4981702884234</v>
      </c>
      <c r="P20" s="61"/>
    </row>
    <row r="21" spans="1:16" x14ac:dyDescent="0.2">
      <c r="A21" t="s">
        <v>59</v>
      </c>
      <c r="B21" s="6">
        <f>'Rate Class Energy Model'!I12</f>
        <v>157136324.39708453</v>
      </c>
      <c r="C21" s="6">
        <f>'Rate Class Energy Model'!I13</f>
        <v>154250737.98550725</v>
      </c>
      <c r="D21" s="6">
        <f>'Rate Class Energy Model'!I14</f>
        <v>163240286.81118345</v>
      </c>
      <c r="E21" s="6">
        <f>'Rate Class Energy Model'!I15</f>
        <v>165708926.22017771</v>
      </c>
      <c r="F21" s="6">
        <f>'Rate Class Energy Model'!I16</f>
        <v>172872183.117248</v>
      </c>
      <c r="G21" s="6">
        <f>'Rate Class Energy Model'!I17</f>
        <v>166886949.87131989</v>
      </c>
      <c r="H21" s="6">
        <f>'Rate Class Energy Model'!I18</f>
        <v>169606274.12815455</v>
      </c>
      <c r="I21" s="6">
        <f>'Rate Class Energy Model'!I19</f>
        <v>170263597.24762118</v>
      </c>
      <c r="J21" s="27">
        <f>'Rate Class Energy Model'!I20</f>
        <v>160300294.19006816</v>
      </c>
      <c r="K21" s="27">
        <f>'Rate Class Energy Model'!I21</f>
        <v>163479892.81864908</v>
      </c>
      <c r="L21" s="6">
        <f>'Rate Class Energy Model'!I22</f>
        <v>158322069.2436029</v>
      </c>
      <c r="M21" s="27">
        <f>'Rate Class Energy Model'!I23</f>
        <v>158595034.3760052</v>
      </c>
      <c r="N21" s="27">
        <f>'Rate Class Energy Model'!I73</f>
        <v>153815663.60858503</v>
      </c>
      <c r="O21" s="27">
        <f>'Rate Class Energy Model'!I74</f>
        <v>150957871.26506007</v>
      </c>
      <c r="P21" s="61"/>
    </row>
    <row r="22" spans="1:16" x14ac:dyDescent="0.2">
      <c r="J22" s="23"/>
      <c r="K22" s="27"/>
      <c r="L22" s="1"/>
      <c r="M22" s="23"/>
      <c r="N22" s="23"/>
      <c r="O22" s="23"/>
    </row>
    <row r="23" spans="1:16" x14ac:dyDescent="0.2">
      <c r="A23" s="44" t="str">
        <f>'Rate Class Energy Model'!J2</f>
        <v>General Service &gt; 50 to 999 kW</v>
      </c>
      <c r="J23" s="23"/>
      <c r="K23" s="27"/>
      <c r="L23" s="1"/>
      <c r="M23" s="23"/>
      <c r="N23" s="23"/>
      <c r="O23" s="23"/>
    </row>
    <row r="24" spans="1:16" x14ac:dyDescent="0.2">
      <c r="A24" t="s">
        <v>58</v>
      </c>
      <c r="B24" s="6">
        <f>'Rate Class Customer Model'!D5</f>
        <v>566.25000000000011</v>
      </c>
      <c r="C24" s="6">
        <f>'Rate Class Customer Model'!D6</f>
        <v>597.74999999999989</v>
      </c>
      <c r="D24" s="6">
        <f>'Rate Class Customer Model'!D7</f>
        <v>619.24999999999989</v>
      </c>
      <c r="E24" s="6">
        <f>'Rate Class Customer Model'!D8</f>
        <v>630</v>
      </c>
      <c r="F24" s="6">
        <f>'Rate Class Customer Model'!D9</f>
        <v>633.5</v>
      </c>
      <c r="G24" s="6">
        <f>'Rate Class Customer Model'!D10</f>
        <v>647</v>
      </c>
      <c r="H24" s="6">
        <f>'Rate Class Customer Model'!D11</f>
        <v>672</v>
      </c>
      <c r="I24" s="6">
        <f>'Rate Class Customer Model'!D12</f>
        <v>679.5</v>
      </c>
      <c r="J24" s="27">
        <f>'Rate Class Customer Model'!D13</f>
        <v>693</v>
      </c>
      <c r="K24" s="27">
        <f>'Rate Class Customer Model'!D14</f>
        <v>708</v>
      </c>
      <c r="L24" s="6">
        <f>'Rate Class Customer Model'!D15</f>
        <v>723.5</v>
      </c>
      <c r="M24" s="27">
        <f>'Rate Class Customer Model'!D16</f>
        <v>736.5</v>
      </c>
      <c r="N24" s="27">
        <f>'Rate Class Customer Model'!D17</f>
        <v>754.3125707597062</v>
      </c>
      <c r="O24" s="27">
        <f>'Rate Class Customer Model'!D18</f>
        <v>772.55594624048445</v>
      </c>
      <c r="P24" s="61"/>
    </row>
    <row r="25" spans="1:16" x14ac:dyDescent="0.2">
      <c r="A25" t="s">
        <v>59</v>
      </c>
      <c r="B25" s="6">
        <f>'Rate Class Energy Model'!J12</f>
        <v>412594902.20464599</v>
      </c>
      <c r="C25" s="6">
        <f>'Rate Class Energy Model'!J13</f>
        <v>441910546</v>
      </c>
      <c r="D25" s="6">
        <f>'Rate Class Energy Model'!J14</f>
        <v>449831308.28111511</v>
      </c>
      <c r="E25" s="6">
        <f>'Rate Class Energy Model'!J15</f>
        <v>471517478.81872076</v>
      </c>
      <c r="F25" s="6">
        <f>'Rate Class Energy Model'!J16</f>
        <v>477342539.73255563</v>
      </c>
      <c r="G25" s="6">
        <f>'Rate Class Energy Model'!J17</f>
        <v>457225682.57655203</v>
      </c>
      <c r="H25" s="6">
        <f>'Rate Class Energy Model'!J18</f>
        <v>471077396.07126898</v>
      </c>
      <c r="I25" s="6">
        <f>'Rate Class Energy Model'!J19</f>
        <v>456048382.432253</v>
      </c>
      <c r="J25" s="27">
        <f>'Rate Class Energy Model'!J20</f>
        <v>432461966.79929554</v>
      </c>
      <c r="K25" s="27">
        <f>'Rate Class Energy Model'!J21</f>
        <v>426513755.5630784</v>
      </c>
      <c r="L25" s="6">
        <f>'Rate Class Energy Model'!J22</f>
        <v>437159036.08214176</v>
      </c>
      <c r="M25" s="27">
        <f>'Rate Class Energy Model'!J23</f>
        <v>437401279.48903602</v>
      </c>
      <c r="N25" s="27">
        <f>'Rate Class Energy Model'!J73</f>
        <v>430255218.6422714</v>
      </c>
      <c r="O25" s="27">
        <f>'Rate Class Energy Model'!J74</f>
        <v>426160867.89426726</v>
      </c>
      <c r="P25" s="61"/>
    </row>
    <row r="26" spans="1:16" x14ac:dyDescent="0.2">
      <c r="A26" t="s">
        <v>60</v>
      </c>
      <c r="B26" s="6">
        <f>'Rate Class Load Model'!B4</f>
        <v>0</v>
      </c>
      <c r="C26" s="6">
        <f>'Rate Class Load Model'!B5</f>
        <v>0</v>
      </c>
      <c r="D26" s="6">
        <f>'Rate Class Load Model'!B6</f>
        <v>1177153</v>
      </c>
      <c r="E26" s="6">
        <f>'Rate Class Load Model'!B7</f>
        <v>1242905</v>
      </c>
      <c r="F26" s="6">
        <f>'Rate Class Load Model'!B8</f>
        <v>1274085</v>
      </c>
      <c r="G26" s="6">
        <f>'Rate Class Load Model'!B9</f>
        <v>1279604</v>
      </c>
      <c r="H26" s="6">
        <f>'Rate Class Load Model'!B10</f>
        <v>1274858</v>
      </c>
      <c r="I26" s="6">
        <f>'Rate Class Load Model'!B11</f>
        <v>1244174</v>
      </c>
      <c r="J26" s="27">
        <f>'Rate Class Load Model'!B12</f>
        <v>1337289.374367215</v>
      </c>
      <c r="K26" s="27">
        <f>'Rate Class Load Model'!B13</f>
        <v>1294863.0522035467</v>
      </c>
      <c r="L26" s="6">
        <f>'Rate Class Load Model'!B14</f>
        <v>1331831.0365679159</v>
      </c>
      <c r="M26" s="27">
        <f>'Rate Class Load Model'!B15</f>
        <v>1350651.4097994231</v>
      </c>
      <c r="N26" s="27">
        <f>'Rate Class Load Model'!B16</f>
        <v>1222684.9996657735</v>
      </c>
      <c r="O26" s="27">
        <f>'Rate Class Load Model'!B17</f>
        <v>1211049.8096063654</v>
      </c>
      <c r="P26" s="61"/>
    </row>
    <row r="27" spans="1:16" x14ac:dyDescent="0.2">
      <c r="J27" s="23"/>
      <c r="K27" s="32"/>
      <c r="L27" s="1"/>
      <c r="M27" s="23"/>
      <c r="N27" s="23"/>
      <c r="O27" s="23"/>
    </row>
    <row r="28" spans="1:16" x14ac:dyDescent="0.2">
      <c r="A28" s="44" t="str">
        <f>'Rate Class Energy Model'!K2</f>
        <v>General Service &gt; 1000 to 4999 kW</v>
      </c>
      <c r="J28" s="23"/>
      <c r="K28" s="27"/>
      <c r="L28" s="1"/>
      <c r="M28" s="23"/>
      <c r="N28" s="23"/>
      <c r="O28" s="23"/>
    </row>
    <row r="29" spans="1:16" x14ac:dyDescent="0.2">
      <c r="A29" t="s">
        <v>58</v>
      </c>
      <c r="B29" s="6">
        <f>'Rate Class Customer Model'!E5</f>
        <v>25</v>
      </c>
      <c r="C29" s="6">
        <f>'Rate Class Customer Model'!E6</f>
        <v>24.5</v>
      </c>
      <c r="D29" s="6">
        <f>'Rate Class Customer Model'!E7</f>
        <v>26</v>
      </c>
      <c r="E29" s="6">
        <f>'Rate Class Customer Model'!E8</f>
        <v>27</v>
      </c>
      <c r="F29" s="6">
        <f>'Rate Class Customer Model'!E9</f>
        <v>28.5</v>
      </c>
      <c r="G29" s="6">
        <f>'Rate Class Customer Model'!E10</f>
        <v>29.5</v>
      </c>
      <c r="H29" s="6">
        <f>'Rate Class Customer Model'!E11</f>
        <v>28.5</v>
      </c>
      <c r="I29" s="6">
        <f>'Rate Class Customer Model'!E12</f>
        <v>28</v>
      </c>
      <c r="J29" s="27">
        <f>'Rate Class Customer Model'!E13</f>
        <v>26.5</v>
      </c>
      <c r="K29" s="27">
        <f>'Rate Class Customer Model'!E14</f>
        <v>26</v>
      </c>
      <c r="L29" s="6">
        <f>'Rate Class Customer Model'!E15</f>
        <v>28</v>
      </c>
      <c r="M29" s="27">
        <f>'Rate Class Customer Model'!E16</f>
        <v>27</v>
      </c>
      <c r="N29" s="27">
        <f>'Rate Class Customer Model'!E17</f>
        <v>27.189566748340773</v>
      </c>
      <c r="O29" s="27">
        <f>'Rate Class Customer Model'!E18</f>
        <v>27.380464443054752</v>
      </c>
      <c r="P29" s="61"/>
    </row>
    <row r="30" spans="1:16" x14ac:dyDescent="0.2">
      <c r="A30" t="s">
        <v>59</v>
      </c>
      <c r="B30" s="6">
        <f>'Rate Class Energy Model'!K12</f>
        <v>236352896.65000001</v>
      </c>
      <c r="C30" s="6">
        <f>'Rate Class Energy Model'!K13</f>
        <v>247744953.00000003</v>
      </c>
      <c r="D30" s="6">
        <f>'Rate Class Energy Model'!K14</f>
        <v>263318946.99998927</v>
      </c>
      <c r="E30" s="6">
        <f>'Rate Class Energy Model'!K15</f>
        <v>269908983</v>
      </c>
      <c r="F30" s="6">
        <f>'Rate Class Energy Model'!K16</f>
        <v>288850781.60998058</v>
      </c>
      <c r="G30" s="6">
        <f>'Rate Class Energy Model'!K17</f>
        <v>248250590.658225</v>
      </c>
      <c r="H30" s="6">
        <f>'Rate Class Energy Model'!K18</f>
        <v>226838923.199981</v>
      </c>
      <c r="I30" s="6">
        <f>'Rate Class Energy Model'!K19</f>
        <v>220203261.21123001</v>
      </c>
      <c r="J30" s="27">
        <f>'Rate Class Energy Model'!K20</f>
        <v>193002685.32998714</v>
      </c>
      <c r="K30" s="27">
        <f>'Rate Class Energy Model'!K21</f>
        <v>220917668.45862433</v>
      </c>
      <c r="L30" s="6">
        <f>'Rate Class Energy Model'!K22</f>
        <v>240767174.87713027</v>
      </c>
      <c r="M30" s="27">
        <f>'Rate Class Energy Model'!K23</f>
        <v>226229939.17028835</v>
      </c>
      <c r="N30" s="27">
        <f>'Rate Class Energy Model'!K73</f>
        <v>222521423.61991799</v>
      </c>
      <c r="O30" s="27">
        <f>'Rate Class Energy Model'!K74</f>
        <v>219340887.90272596</v>
      </c>
      <c r="P30" s="61"/>
    </row>
    <row r="31" spans="1:16" x14ac:dyDescent="0.2">
      <c r="A31" t="s">
        <v>60</v>
      </c>
      <c r="B31" s="6">
        <f>'Rate Class Load Model'!C4</f>
        <v>0</v>
      </c>
      <c r="C31" s="6">
        <f>'Rate Class Load Model'!C5</f>
        <v>0</v>
      </c>
      <c r="D31" s="6">
        <f>'Rate Class Load Model'!C6</f>
        <v>533526</v>
      </c>
      <c r="E31" s="6">
        <f>'Rate Class Load Model'!C7</f>
        <v>543249</v>
      </c>
      <c r="F31" s="6">
        <f>'Rate Class Load Model'!C8</f>
        <v>619353</v>
      </c>
      <c r="G31" s="6">
        <f>'Rate Class Load Model'!C9</f>
        <v>618222</v>
      </c>
      <c r="H31" s="6">
        <f>'Rate Class Load Model'!C10</f>
        <v>571091</v>
      </c>
      <c r="I31" s="6">
        <f>'Rate Class Load Model'!C11</f>
        <v>554036</v>
      </c>
      <c r="J31" s="27">
        <f>'Rate Class Load Model'!C12</f>
        <v>530195.33860000013</v>
      </c>
      <c r="K31" s="27">
        <f>'Rate Class Load Model'!C13</f>
        <v>570059.7252000001</v>
      </c>
      <c r="L31" s="6">
        <f>'Rate Class Load Model'!C14</f>
        <v>582382.60674197262</v>
      </c>
      <c r="M31" s="27">
        <f>'Rate Class Load Model'!C15</f>
        <v>527946.7194752692</v>
      </c>
      <c r="N31" s="27">
        <f>'Rate Class Load Model'!C16</f>
        <v>529312.79885391332</v>
      </c>
      <c r="O31" s="27">
        <f>'Rate Class Load Model'!C17</f>
        <v>521747.24298547133</v>
      </c>
      <c r="P31" s="61"/>
    </row>
    <row r="32" spans="1:16" x14ac:dyDescent="0.2">
      <c r="J32" s="23"/>
      <c r="K32" s="32"/>
      <c r="L32" s="1"/>
      <c r="M32" s="23"/>
      <c r="N32" s="23"/>
      <c r="O32" s="23"/>
    </row>
    <row r="33" spans="1:16" x14ac:dyDescent="0.2">
      <c r="A33" s="44" t="str">
        <f>'Rate Class Energy Model'!L2</f>
        <v>Large User</v>
      </c>
      <c r="J33" s="23"/>
      <c r="K33" s="32"/>
      <c r="L33" s="1"/>
      <c r="M33" s="23"/>
      <c r="N33" s="23"/>
      <c r="O33" s="23"/>
    </row>
    <row r="34" spans="1:16" x14ac:dyDescent="0.2">
      <c r="A34" t="s">
        <v>58</v>
      </c>
      <c r="B34" s="6">
        <f>'Rate Class Customer Model'!F5</f>
        <v>2.5</v>
      </c>
      <c r="C34" s="6">
        <f>'Rate Class Customer Model'!F6</f>
        <v>3</v>
      </c>
      <c r="D34" s="6">
        <f>'Rate Class Customer Model'!F7</f>
        <v>3</v>
      </c>
      <c r="E34" s="6">
        <f>'Rate Class Customer Model'!F8</f>
        <v>3</v>
      </c>
      <c r="F34" s="6">
        <f>'Rate Class Customer Model'!F9</f>
        <v>3</v>
      </c>
      <c r="G34" s="6">
        <f>'Rate Class Customer Model'!F10</f>
        <v>2.5</v>
      </c>
      <c r="H34" s="6">
        <f>'Rate Class Customer Model'!F11</f>
        <v>2</v>
      </c>
      <c r="I34" s="6">
        <f>'Rate Class Customer Model'!F12</f>
        <v>2</v>
      </c>
      <c r="J34" s="27">
        <f>'Rate Class Customer Model'!F13</f>
        <v>2</v>
      </c>
      <c r="K34" s="27">
        <f>'Rate Class Customer Model'!F14</f>
        <v>2</v>
      </c>
      <c r="L34" s="6">
        <f>'Rate Class Customer Model'!F15</f>
        <v>2</v>
      </c>
      <c r="M34" s="27">
        <f>'Rate Class Customer Model'!F16</f>
        <v>2</v>
      </c>
      <c r="N34" s="27">
        <f>'Rate Class Customer Model'!F17</f>
        <v>2</v>
      </c>
      <c r="O34" s="27">
        <f>'Rate Class Customer Model'!F18</f>
        <v>2</v>
      </c>
      <c r="P34" s="61"/>
    </row>
    <row r="35" spans="1:16" x14ac:dyDescent="0.2">
      <c r="A35" t="s">
        <v>59</v>
      </c>
      <c r="B35" s="6">
        <f>'Rate Class Energy Model'!L12</f>
        <v>202385954.30999994</v>
      </c>
      <c r="C35" s="6">
        <f>'Rate Class Energy Model'!L13</f>
        <v>238568275.00000003</v>
      </c>
      <c r="D35" s="6">
        <f>'Rate Class Energy Model'!L14</f>
        <v>234671319.00000003</v>
      </c>
      <c r="E35" s="6">
        <f>'Rate Class Energy Model'!L15</f>
        <v>245172879.99999994</v>
      </c>
      <c r="F35" s="6">
        <f>'Rate Class Energy Model'!L16</f>
        <v>256341389.54000849</v>
      </c>
      <c r="G35" s="6">
        <f>'Rate Class Energy Model'!L17</f>
        <v>252101813.91</v>
      </c>
      <c r="H35" s="6">
        <f>'Rate Class Energy Model'!L18</f>
        <v>252092348.47999129</v>
      </c>
      <c r="I35" s="6">
        <f>'Rate Class Energy Model'!L19</f>
        <v>230297755.10999835</v>
      </c>
      <c r="J35" s="27">
        <f>'Rate Class Energy Model'!L20</f>
        <v>180679078.79999399</v>
      </c>
      <c r="K35" s="27">
        <f>'Rate Class Energy Model'!L21</f>
        <v>196557280.62270561</v>
      </c>
      <c r="L35" s="6">
        <f>'Rate Class Energy Model'!L22</f>
        <v>169195800.19186977</v>
      </c>
      <c r="M35" s="27">
        <f>'Rate Class Energy Model'!L23</f>
        <v>201189505.21250001</v>
      </c>
      <c r="N35" s="27">
        <f>'Rate Class Energy Model'!L73</f>
        <v>204337521.74348557</v>
      </c>
      <c r="O35" s="27">
        <f>'Rate Class Energy Model'!L74</f>
        <v>207072349.00780675</v>
      </c>
      <c r="P35" s="61"/>
    </row>
    <row r="36" spans="1:16" x14ac:dyDescent="0.2">
      <c r="A36" t="s">
        <v>60</v>
      </c>
      <c r="B36" s="6">
        <f>'Rate Class Load Model'!D4</f>
        <v>0</v>
      </c>
      <c r="C36" s="6">
        <f>'Rate Class Load Model'!D5</f>
        <v>0</v>
      </c>
      <c r="D36" s="6">
        <f>'Rate Class Load Model'!D6</f>
        <v>429237</v>
      </c>
      <c r="E36" s="6">
        <f>'Rate Class Load Model'!D7</f>
        <v>468620</v>
      </c>
      <c r="F36" s="6">
        <f>'Rate Class Load Model'!D8</f>
        <v>480781</v>
      </c>
      <c r="G36" s="6">
        <f>'Rate Class Load Model'!D9</f>
        <v>472853</v>
      </c>
      <c r="H36" s="6">
        <f>'Rate Class Load Model'!D10</f>
        <v>481509</v>
      </c>
      <c r="I36" s="6">
        <f>'Rate Class Load Model'!D11</f>
        <v>446448</v>
      </c>
      <c r="J36" s="27">
        <f>'Rate Class Load Model'!D12</f>
        <v>411895.9939</v>
      </c>
      <c r="K36" s="27">
        <f>'Rate Class Load Model'!D13</f>
        <v>421436.3223</v>
      </c>
      <c r="L36" s="6">
        <f>'Rate Class Load Model'!D14</f>
        <v>431698.85844270035</v>
      </c>
      <c r="M36" s="27">
        <f>'Rate Class Load Model'!D15</f>
        <v>483777.43670654291</v>
      </c>
      <c r="N36" s="27">
        <f>'Rate Class Load Model'!D16</f>
        <v>423390.54069697962</v>
      </c>
      <c r="O36" s="27">
        <f>'Rate Class Load Model'!D17</f>
        <v>429057.14555875014</v>
      </c>
      <c r="P36" s="61"/>
    </row>
    <row r="37" spans="1:16" x14ac:dyDescent="0.2">
      <c r="J37" s="23"/>
      <c r="K37" s="27"/>
      <c r="L37" s="1"/>
      <c r="M37" s="23"/>
      <c r="N37" s="23"/>
      <c r="O37" s="23"/>
    </row>
    <row r="38" spans="1:16" x14ac:dyDescent="0.2">
      <c r="A38" s="44" t="str">
        <f>'Rate Class Energy Model'!M2</f>
        <v>Direct Market Participant</v>
      </c>
      <c r="B38" s="183"/>
      <c r="C38" s="183"/>
      <c r="D38" s="183"/>
      <c r="E38" s="183"/>
      <c r="F38" s="183"/>
      <c r="G38" s="183"/>
      <c r="H38" s="183"/>
      <c r="I38" s="183"/>
      <c r="J38" s="23"/>
      <c r="K38" s="27"/>
      <c r="L38" s="183"/>
      <c r="M38" s="23"/>
      <c r="N38" s="23"/>
      <c r="O38" s="23"/>
    </row>
    <row r="39" spans="1:16" x14ac:dyDescent="0.2">
      <c r="A39" t="s">
        <v>58</v>
      </c>
      <c r="B39" s="27">
        <f>'Rate Class Customer Model'!G5</f>
        <v>0</v>
      </c>
      <c r="C39" s="27">
        <f>'Rate Class Customer Model'!G6</f>
        <v>0</v>
      </c>
      <c r="D39" s="27">
        <f>'Rate Class Customer Model'!G7</f>
        <v>0</v>
      </c>
      <c r="E39" s="27">
        <f>'Rate Class Customer Model'!G8</f>
        <v>0</v>
      </c>
      <c r="F39" s="27">
        <f>'Rate Class Customer Model'!G9</f>
        <v>0</v>
      </c>
      <c r="G39" s="27">
        <f>'Rate Class Customer Model'!G10</f>
        <v>1</v>
      </c>
      <c r="H39" s="27">
        <f>'Rate Class Customer Model'!G11</f>
        <v>1</v>
      </c>
      <c r="I39" s="27">
        <f>'Rate Class Customer Model'!G12</f>
        <v>1</v>
      </c>
      <c r="J39" s="27">
        <f>'Rate Class Customer Model'!G13</f>
        <v>1</v>
      </c>
      <c r="K39" s="27">
        <f>'Rate Class Customer Model'!G14</f>
        <v>1</v>
      </c>
      <c r="L39" s="27">
        <f>'Rate Class Customer Model'!G15</f>
        <v>1</v>
      </c>
      <c r="M39" s="27">
        <f>'Rate Class Customer Model'!G16</f>
        <v>1</v>
      </c>
      <c r="N39" s="27">
        <f>'Rate Class Customer Model'!G17</f>
        <v>1</v>
      </c>
      <c r="O39" s="27">
        <f>'Rate Class Customer Model'!G18</f>
        <v>1</v>
      </c>
      <c r="P39" s="61"/>
    </row>
    <row r="40" spans="1:16" x14ac:dyDescent="0.2">
      <c r="A40" t="s">
        <v>59</v>
      </c>
      <c r="B40" s="27">
        <f>'Rate Class Energy Model'!M11</f>
        <v>0</v>
      </c>
      <c r="C40" s="27">
        <f>'Rate Class Energy Model'!M12</f>
        <v>0</v>
      </c>
      <c r="D40" s="27">
        <f>'Rate Class Energy Model'!M13</f>
        <v>0</v>
      </c>
      <c r="E40" s="27">
        <f>'Rate Class Energy Model'!M14</f>
        <v>0</v>
      </c>
      <c r="F40" s="27">
        <f>'Rate Class Energy Model'!M15</f>
        <v>0</v>
      </c>
      <c r="G40" s="27">
        <f>'Rate Class Energy Model'!M17</f>
        <v>42759994.270000003</v>
      </c>
      <c r="H40" s="27">
        <f>'Rate Class Energy Model'!M18</f>
        <v>42771842.82</v>
      </c>
      <c r="I40" s="27">
        <f>'Rate Class Energy Model'!M19</f>
        <v>42936833.090000004</v>
      </c>
      <c r="J40" s="27">
        <f>'Rate Class Energy Model'!M20</f>
        <v>43206777.520000003</v>
      </c>
      <c r="K40" s="27">
        <f>'Rate Class Energy Model'!M21</f>
        <v>43796746.469999999</v>
      </c>
      <c r="L40" s="27">
        <f>'Rate Class Energy Model'!M22</f>
        <v>46753740.940000005</v>
      </c>
      <c r="M40" s="27">
        <f>'Rate Class Energy Model'!M23</f>
        <v>45452655.189999998</v>
      </c>
      <c r="N40" s="27">
        <f>'Rate Class Energy Model'!M73</f>
        <v>45724232.197163619</v>
      </c>
      <c r="O40" s="27">
        <f>'Rate Class Energy Model'!M74</f>
        <v>45894936.545319714</v>
      </c>
      <c r="P40" s="61"/>
    </row>
    <row r="41" spans="1:16" x14ac:dyDescent="0.2">
      <c r="A41" t="s">
        <v>60</v>
      </c>
      <c r="B41" s="27">
        <f>'Rate Class Load Model'!E4</f>
        <v>0</v>
      </c>
      <c r="C41" s="27">
        <f>'Rate Class Load Model'!E5</f>
        <v>0</v>
      </c>
      <c r="D41" s="27">
        <f>'Rate Class Load Model'!E6</f>
        <v>0</v>
      </c>
      <c r="E41" s="27">
        <f>'Rate Class Load Model'!E7</f>
        <v>0</v>
      </c>
      <c r="F41" s="27">
        <f>'Rate Class Load Model'!E8</f>
        <v>0</v>
      </c>
      <c r="G41" s="27">
        <f>'Rate Class Load Model'!E9</f>
        <v>73441.350000000006</v>
      </c>
      <c r="H41" s="27">
        <f>'Rate Class Load Model'!E10</f>
        <v>72913.429999999993</v>
      </c>
      <c r="I41" s="27">
        <f>'Rate Class Load Model'!E11</f>
        <v>72484.789999999994</v>
      </c>
      <c r="J41" s="27">
        <f>'Rate Class Load Model'!E12</f>
        <v>73037.789999999994</v>
      </c>
      <c r="K41" s="27">
        <f>'Rate Class Load Model'!E13</f>
        <v>75928.2</v>
      </c>
      <c r="L41" s="27">
        <f>'Rate Class Load Model'!E14</f>
        <v>81847.960000000006</v>
      </c>
      <c r="M41" s="27">
        <f>'Rate Class Load Model'!E15</f>
        <v>81650.759999999995</v>
      </c>
      <c r="N41" s="27">
        <f>'Rate Class Load Model'!E16</f>
        <v>78916.676104049038</v>
      </c>
      <c r="O41" s="27">
        <f>'Rate Class Load Model'!E17</f>
        <v>79211.2993072315</v>
      </c>
      <c r="P41" s="61"/>
    </row>
    <row r="42" spans="1:16" x14ac:dyDescent="0.2">
      <c r="B42" s="183"/>
      <c r="C42" s="183"/>
      <c r="D42" s="183"/>
      <c r="E42" s="183"/>
      <c r="F42" s="183"/>
      <c r="G42" s="183"/>
      <c r="H42" s="183"/>
      <c r="I42" s="183"/>
      <c r="J42" s="23"/>
      <c r="K42" s="27"/>
      <c r="L42" s="183"/>
      <c r="M42" s="23"/>
      <c r="N42" s="23"/>
      <c r="O42" s="23"/>
    </row>
    <row r="43" spans="1:16" x14ac:dyDescent="0.2">
      <c r="A43" s="44" t="str">
        <f>'Rate Class Energy Model'!N2</f>
        <v>Street Lights</v>
      </c>
      <c r="J43" s="23"/>
      <c r="K43" s="32"/>
      <c r="L43" s="1"/>
      <c r="M43" s="23"/>
      <c r="N43" s="23"/>
      <c r="O43" s="23"/>
    </row>
    <row r="44" spans="1:16" x14ac:dyDescent="0.2">
      <c r="A44" t="s">
        <v>68</v>
      </c>
      <c r="B44" s="6">
        <f>'Rate Class Customer Model'!H5</f>
        <v>0</v>
      </c>
      <c r="C44" s="6">
        <f>'Rate Class Customer Model'!H6</f>
        <v>0</v>
      </c>
      <c r="D44" s="6">
        <f>'Rate Class Customer Model'!H7</f>
        <v>11556.5</v>
      </c>
      <c r="E44" s="6">
        <f>'Rate Class Customer Model'!H8</f>
        <v>11731.5</v>
      </c>
      <c r="F44" s="6">
        <f>'Rate Class Customer Model'!H9</f>
        <v>11894.5</v>
      </c>
      <c r="G44" s="6">
        <f>'Rate Class Customer Model'!H10</f>
        <v>12052.25</v>
      </c>
      <c r="H44" s="6">
        <f>'Rate Class Customer Model'!H11</f>
        <v>12237.25</v>
      </c>
      <c r="I44" s="6">
        <f>'Rate Class Customer Model'!H12</f>
        <v>12365.5</v>
      </c>
      <c r="J44" s="27">
        <f>'Rate Class Customer Model'!H13</f>
        <v>12459.5</v>
      </c>
      <c r="K44" s="27">
        <f>'Rate Class Customer Model'!H14</f>
        <v>12558.5</v>
      </c>
      <c r="L44" s="6">
        <f>'Rate Class Customer Model'!H15</f>
        <v>12623.5</v>
      </c>
      <c r="M44" s="27">
        <f>'Rate Class Customer Model'!H16</f>
        <v>12722</v>
      </c>
      <c r="N44" s="27">
        <f>'Rate Class Customer Model'!H17</f>
        <v>12858.548708079272</v>
      </c>
      <c r="O44" s="27">
        <f>'Rate Class Customer Model'!H18</f>
        <v>12996.563030816467</v>
      </c>
      <c r="P44" s="61"/>
    </row>
    <row r="45" spans="1:16" x14ac:dyDescent="0.2">
      <c r="A45" t="s">
        <v>59</v>
      </c>
      <c r="B45" s="6">
        <f>'Rate Class Energy Model'!N12</f>
        <v>0</v>
      </c>
      <c r="C45" s="6">
        <f>'Rate Class Energy Model'!N13</f>
        <v>0</v>
      </c>
      <c r="D45" s="6">
        <f>'Rate Class Energy Model'!N14</f>
        <v>9413667</v>
      </c>
      <c r="E45" s="6">
        <f>'Rate Class Energy Model'!N15</f>
        <v>9518004.1088000014</v>
      </c>
      <c r="F45" s="6">
        <f>'Rate Class Energy Model'!N16</f>
        <v>9541776.7200106587</v>
      </c>
      <c r="G45" s="6">
        <f>'Rate Class Energy Model'!N17</f>
        <v>9300557.8376790658</v>
      </c>
      <c r="H45" s="6">
        <f>'Rate Class Energy Model'!N18</f>
        <v>9442831.8799843695</v>
      </c>
      <c r="I45" s="6">
        <f>'Rate Class Energy Model'!N19</f>
        <v>9448889.9699905291</v>
      </c>
      <c r="J45" s="27">
        <f>'Rate Class Energy Model'!N20</f>
        <v>9470530.1599761229</v>
      </c>
      <c r="K45" s="27">
        <f>'Rate Class Energy Model'!N21</f>
        <v>9519205.9225450978</v>
      </c>
      <c r="L45" s="6">
        <f>'Rate Class Energy Model'!N22</f>
        <v>9519485.5138937458</v>
      </c>
      <c r="M45" s="27">
        <f>'Rate Class Energy Model'!N23</f>
        <v>9645171.1912231408</v>
      </c>
      <c r="N45" s="27">
        <f>'Rate Class Energy Model'!N73</f>
        <v>9630507.6141368318</v>
      </c>
      <c r="O45" s="27">
        <f>'Rate Class Energy Model'!N74</f>
        <v>9594439.4543452542</v>
      </c>
      <c r="P45" s="61"/>
    </row>
    <row r="46" spans="1:16" x14ac:dyDescent="0.2">
      <c r="A46" t="s">
        <v>60</v>
      </c>
      <c r="B46" s="6">
        <f>'Rate Class Load Model'!F4</f>
        <v>0</v>
      </c>
      <c r="C46" s="6">
        <f>'Rate Class Load Model'!F5</f>
        <v>0</v>
      </c>
      <c r="D46" s="6">
        <f>'Rate Class Load Model'!F6</f>
        <v>26537</v>
      </c>
      <c r="E46" s="6">
        <f>'Rate Class Load Model'!F7</f>
        <v>24497</v>
      </c>
      <c r="F46" s="6">
        <f>'Rate Class Load Model'!F8</f>
        <v>24664</v>
      </c>
      <c r="G46" s="6">
        <f>'Rate Class Load Model'!F9</f>
        <v>24008</v>
      </c>
      <c r="H46" s="6">
        <f>'Rate Class Load Model'!F10</f>
        <v>24182</v>
      </c>
      <c r="I46" s="6">
        <f>'Rate Class Load Model'!F11</f>
        <v>24090</v>
      </c>
      <c r="J46" s="27">
        <f>'Rate Class Load Model'!F12</f>
        <v>26450.66</v>
      </c>
      <c r="K46" s="27">
        <f>'Rate Class Load Model'!F13</f>
        <v>26613.739999999998</v>
      </c>
      <c r="L46" s="6">
        <f>'Rate Class Load Model'!F14</f>
        <v>26604.027249875653</v>
      </c>
      <c r="M46" s="27">
        <f>'Rate Class Load Model'!F15</f>
        <v>26876.159901697181</v>
      </c>
      <c r="N46" s="27">
        <f>'Rate Class Load Model'!F16</f>
        <v>25847.553417371448</v>
      </c>
      <c r="O46" s="27">
        <f>'Rate Class Load Model'!F17</f>
        <v>25750.749206811397</v>
      </c>
      <c r="P46" s="61"/>
    </row>
    <row r="47" spans="1:16" x14ac:dyDescent="0.2">
      <c r="J47" s="23"/>
      <c r="K47" s="32"/>
      <c r="L47" s="1"/>
      <c r="M47" s="23"/>
      <c r="N47" s="23"/>
      <c r="O47" s="23"/>
    </row>
    <row r="48" spans="1:16" x14ac:dyDescent="0.2">
      <c r="A48" s="44" t="str">
        <f>'Rate Class Energy Model'!O2</f>
        <v xml:space="preserve">Unmetered Loads </v>
      </c>
      <c r="J48" s="23"/>
      <c r="K48" s="32"/>
      <c r="L48" s="1"/>
      <c r="M48" s="23"/>
      <c r="N48" s="23"/>
      <c r="O48" s="23"/>
    </row>
    <row r="49" spans="1:16" x14ac:dyDescent="0.2">
      <c r="A49" t="s">
        <v>68</v>
      </c>
      <c r="B49" s="6">
        <f>'Rate Class Customer Model'!I5</f>
        <v>0</v>
      </c>
      <c r="C49" s="6">
        <f>'Rate Class Customer Model'!I6</f>
        <v>0</v>
      </c>
      <c r="D49" s="6">
        <f>'Rate Class Customer Model'!I7</f>
        <v>0</v>
      </c>
      <c r="E49" s="6">
        <f>'Rate Class Customer Model'!I8</f>
        <v>0</v>
      </c>
      <c r="F49" s="6">
        <f>'Rate Class Customer Model'!I9</f>
        <v>0</v>
      </c>
      <c r="G49" s="6">
        <f>'Rate Class Customer Model'!I10</f>
        <v>516</v>
      </c>
      <c r="H49" s="6">
        <f>'Rate Class Customer Model'!I11</f>
        <v>486</v>
      </c>
      <c r="I49" s="6">
        <f>'Rate Class Customer Model'!I12</f>
        <v>457</v>
      </c>
      <c r="J49" s="27">
        <f>'Rate Class Customer Model'!I13</f>
        <v>498</v>
      </c>
      <c r="K49" s="27">
        <f>'Rate Class Customer Model'!I14</f>
        <v>537.5</v>
      </c>
      <c r="L49" s="6">
        <f>'Rate Class Customer Model'!I15</f>
        <v>514.5</v>
      </c>
      <c r="M49" s="27">
        <f>'Rate Class Customer Model'!I16</f>
        <v>490.5</v>
      </c>
      <c r="N49" s="27">
        <f>'Rate Class Customer Model'!I17</f>
        <v>486.37423799105244</v>
      </c>
      <c r="O49" s="27">
        <f>'Rate Class Customer Model'!I18</f>
        <v>482.28317916692544</v>
      </c>
      <c r="P49" s="61"/>
    </row>
    <row r="50" spans="1:16" x14ac:dyDescent="0.2">
      <c r="A50" t="s">
        <v>59</v>
      </c>
      <c r="B50" s="6">
        <f>'Rate Class Energy Model'!O12</f>
        <v>0</v>
      </c>
      <c r="C50" s="6">
        <f>'Rate Class Energy Model'!O13</f>
        <v>0</v>
      </c>
      <c r="D50" s="6">
        <f>'Rate Class Energy Model'!O14</f>
        <v>0</v>
      </c>
      <c r="E50" s="6">
        <f>'Rate Class Energy Model'!O15</f>
        <v>0</v>
      </c>
      <c r="F50" s="6">
        <f>'Rate Class Energy Model'!O16</f>
        <v>392188.06155365321</v>
      </c>
      <c r="G50" s="6">
        <f>'Rate Class Energy Model'!O17</f>
        <v>2997301.8710786607</v>
      </c>
      <c r="H50" s="6">
        <f>'Rate Class Energy Model'!O18</f>
        <v>2201009.0107126483</v>
      </c>
      <c r="I50" s="6">
        <f>'Rate Class Energy Model'!O19</f>
        <v>2112232.2379896585</v>
      </c>
      <c r="J50" s="27">
        <f>'Rate Class Energy Model'!O20</f>
        <v>2135656.9424311616</v>
      </c>
      <c r="K50" s="27">
        <f>'Rate Class Energy Model'!O21</f>
        <v>2130241.9105078499</v>
      </c>
      <c r="L50" s="6">
        <f>'Rate Class Energy Model'!O22</f>
        <v>2067610.5874618385</v>
      </c>
      <c r="M50" s="27">
        <f>'Rate Class Energy Model'!O23</f>
        <v>2015389.596745051</v>
      </c>
      <c r="N50" s="27">
        <f>'Rate Class Energy Model'!O73</f>
        <v>1878439.9969108177</v>
      </c>
      <c r="O50" s="27">
        <f>'Rate Class Energy Model'!O74</f>
        <v>1746895.1152104549</v>
      </c>
      <c r="P50" s="61"/>
    </row>
    <row r="51" spans="1:16" x14ac:dyDescent="0.2">
      <c r="B51" s="6"/>
      <c r="C51" s="6"/>
      <c r="D51" s="6"/>
      <c r="E51" s="6"/>
      <c r="F51" s="6"/>
      <c r="G51" s="6"/>
      <c r="H51" s="6"/>
      <c r="I51" s="6"/>
      <c r="J51" s="27"/>
      <c r="K51" s="27"/>
      <c r="L51" s="1"/>
      <c r="M51" s="23"/>
      <c r="N51" s="23"/>
      <c r="O51" s="23"/>
      <c r="P51" s="61"/>
    </row>
    <row r="52" spans="1:16" x14ac:dyDescent="0.2">
      <c r="A52" s="44" t="s">
        <v>84</v>
      </c>
      <c r="J52" s="23"/>
      <c r="K52" s="32"/>
      <c r="L52" s="1"/>
      <c r="M52" s="23"/>
      <c r="N52" s="23"/>
      <c r="O52" s="23"/>
    </row>
    <row r="53" spans="1:16" x14ac:dyDescent="0.2">
      <c r="A53" t="s">
        <v>58</v>
      </c>
      <c r="B53" s="6"/>
      <c r="C53" s="6"/>
      <c r="D53" s="6"/>
      <c r="E53" s="6"/>
      <c r="F53" s="6"/>
      <c r="G53" s="6"/>
      <c r="H53" s="6"/>
      <c r="I53" s="6"/>
      <c r="J53" s="27">
        <f>'Rate Class Customer Model'!J13+'Rate Class Customer Model'!K13</f>
        <v>2</v>
      </c>
      <c r="K53" s="27">
        <f>'Rate Class Customer Model'!J14+'Rate Class Customer Model'!K14</f>
        <v>2</v>
      </c>
      <c r="L53" s="104">
        <f>'Rate Class Customer Model'!J15+'Rate Class Customer Model'!K15</f>
        <v>2</v>
      </c>
      <c r="M53" s="180">
        <f>'Rate Class Customer Model'!J16+'Rate Class Customer Model'!K16</f>
        <v>2</v>
      </c>
      <c r="N53" s="27">
        <f>'Rate Class Customer Model'!J17+'Rate Class Customer Model'!K17</f>
        <v>2</v>
      </c>
      <c r="O53" s="27">
        <f>'Rate Class Customer Model'!J18+'Rate Class Customer Model'!K18</f>
        <v>2</v>
      </c>
      <c r="P53" s="61"/>
    </row>
    <row r="54" spans="1:16" x14ac:dyDescent="0.2">
      <c r="A54" t="s">
        <v>59</v>
      </c>
      <c r="B54" s="6"/>
      <c r="C54" s="6"/>
      <c r="D54" s="6"/>
      <c r="E54" s="6"/>
      <c r="F54" s="6"/>
      <c r="G54" s="6"/>
      <c r="H54" s="6"/>
      <c r="I54" s="6"/>
      <c r="J54" s="27">
        <f>'Rate Class Energy Model'!P20+'Rate Class Energy Model'!R20</f>
        <v>54272535.558917202</v>
      </c>
      <c r="K54" s="27">
        <f>'Rate Class Energy Model'!P21+'Rate Class Energy Model'!R21</f>
        <v>49810828.473134995</v>
      </c>
      <c r="L54" s="27">
        <f>'Rate Class Energy Model'!P22+'Rate Class Energy Model'!R22</f>
        <v>51266484.907131471</v>
      </c>
      <c r="M54" s="27">
        <f>'Rate Class Energy Model'!P23+'Rate Class Energy Model'!R23</f>
        <v>44790760.353888787</v>
      </c>
      <c r="N54" s="27">
        <f>'Rate Class Energy Model'!P73</f>
        <v>44105573.673745506</v>
      </c>
      <c r="O54" s="27">
        <f>'Rate Class Energy Model'!P74</f>
        <v>43430868.637203194</v>
      </c>
      <c r="P54" s="61"/>
    </row>
    <row r="55" spans="1:16" x14ac:dyDescent="0.2">
      <c r="A55" t="s">
        <v>60</v>
      </c>
      <c r="B55" s="6"/>
      <c r="C55" s="6"/>
      <c r="D55" s="6"/>
      <c r="E55" s="6"/>
      <c r="F55" s="6"/>
      <c r="G55" s="6"/>
      <c r="H55" s="6"/>
      <c r="I55" s="6"/>
      <c r="J55" s="27">
        <f>'Rate Class Load Model'!G12</f>
        <v>107590.9891359524</v>
      </c>
      <c r="K55" s="27">
        <f>'Rate Class Load Model'!G13</f>
        <v>101371.27183867896</v>
      </c>
      <c r="L55" s="27">
        <f>'Rate Class Load Model'!G14</f>
        <v>107151.21353000897</v>
      </c>
      <c r="M55" s="27">
        <f>'Rate Class Load Model'!G15</f>
        <v>100035.04633331299</v>
      </c>
      <c r="N55" s="27">
        <f>'Rate Class Load Model'!G16</f>
        <v>91971.308330616273</v>
      </c>
      <c r="O55" s="27">
        <f>'Rate Class Load Model'!G17</f>
        <v>90564.377192908592</v>
      </c>
      <c r="P55" s="61"/>
    </row>
    <row r="56" spans="1:16" x14ac:dyDescent="0.2">
      <c r="J56" s="23"/>
      <c r="K56" s="32"/>
      <c r="L56" s="23"/>
      <c r="M56" s="23"/>
      <c r="N56" s="23"/>
      <c r="O56" s="23"/>
    </row>
    <row r="57" spans="1:16" x14ac:dyDescent="0.2">
      <c r="A57" s="44" t="s">
        <v>12</v>
      </c>
      <c r="J57" s="23"/>
      <c r="K57" s="32"/>
      <c r="L57" s="23"/>
      <c r="M57" s="23"/>
      <c r="N57" s="23"/>
      <c r="O57" s="23"/>
    </row>
    <row r="58" spans="1:16" x14ac:dyDescent="0.2">
      <c r="A58" t="s">
        <v>70</v>
      </c>
      <c r="B58" s="27">
        <f t="shared" ref="B58:M58" si="2">B16+B20+B24+B29+B34+B44+B49+B53+B39</f>
        <v>42332.25</v>
      </c>
      <c r="C58" s="27">
        <f t="shared" si="2"/>
        <v>42923.75</v>
      </c>
      <c r="D58" s="27">
        <f t="shared" si="2"/>
        <v>55665.25</v>
      </c>
      <c r="E58" s="27">
        <f t="shared" si="2"/>
        <v>57119</v>
      </c>
      <c r="F58" s="27">
        <f t="shared" si="2"/>
        <v>58148</v>
      </c>
      <c r="G58" s="27">
        <f t="shared" si="2"/>
        <v>59639.75</v>
      </c>
      <c r="H58" s="27">
        <f t="shared" si="2"/>
        <v>60690.25</v>
      </c>
      <c r="I58" s="27">
        <f t="shared" si="2"/>
        <v>61413</v>
      </c>
      <c r="J58" s="27">
        <f t="shared" si="2"/>
        <v>62159</v>
      </c>
      <c r="K58" s="27">
        <f t="shared" si="2"/>
        <v>63359.5</v>
      </c>
      <c r="L58" s="27">
        <f t="shared" si="2"/>
        <v>64304.5</v>
      </c>
      <c r="M58" s="27">
        <f t="shared" si="2"/>
        <v>64925.5</v>
      </c>
      <c r="N58" s="27">
        <f>N16+N20+N24+N29+N34+N44+N49+N53+N39</f>
        <v>66010.467459296036</v>
      </c>
      <c r="O58" s="27">
        <f>O16+O20+O24+O29+O34+O44+O49+O53+O39</f>
        <v>67115.00892149756</v>
      </c>
    </row>
    <row r="59" spans="1:16" x14ac:dyDescent="0.2">
      <c r="A59" t="s">
        <v>59</v>
      </c>
      <c r="B59" s="27">
        <f t="shared" ref="B59:M59" si="3">B17+B21+B25+B30+B35+B45+B50+B54+B40</f>
        <v>1359912172.393183</v>
      </c>
      <c r="C59" s="27">
        <f t="shared" si="3"/>
        <v>1418653288.1429515</v>
      </c>
      <c r="D59" s="27">
        <f t="shared" si="3"/>
        <v>1486259772.5684657</v>
      </c>
      <c r="E59" s="27">
        <f t="shared" si="3"/>
        <v>1528292270.393939</v>
      </c>
      <c r="F59" s="27">
        <f t="shared" si="3"/>
        <v>1599364167.1752858</v>
      </c>
      <c r="G59" s="27">
        <f t="shared" si="3"/>
        <v>1561102859.5852938</v>
      </c>
      <c r="H59" s="27">
        <f t="shared" si="3"/>
        <v>1566589591.6061511</v>
      </c>
      <c r="I59" s="27">
        <f t="shared" si="3"/>
        <v>1518625683.1198361</v>
      </c>
      <c r="J59" s="27">
        <f t="shared" si="3"/>
        <v>1455112239.0806346</v>
      </c>
      <c r="K59" s="27">
        <f t="shared" si="3"/>
        <v>1508992455.6342266</v>
      </c>
      <c r="L59" s="27">
        <f t="shared" si="3"/>
        <v>1511608122.7106395</v>
      </c>
      <c r="M59" s="27">
        <f t="shared" si="3"/>
        <v>1524907312.7115223</v>
      </c>
      <c r="N59" s="27">
        <f>N17+N21+N25+N30+N35+N45+N50+N54+N40</f>
        <v>1504034873.5654981</v>
      </c>
      <c r="O59" s="27">
        <f>O17+O21+O25+O30+O35+O45+O50+O54+O40</f>
        <v>1492873908.5500174</v>
      </c>
    </row>
    <row r="60" spans="1:16" x14ac:dyDescent="0.2">
      <c r="A60" t="s">
        <v>69</v>
      </c>
      <c r="B60" s="27">
        <f t="shared" ref="B60:M60" si="4">B26+B31+B36+B46+B55+B41</f>
        <v>0</v>
      </c>
      <c r="C60" s="27">
        <f t="shared" si="4"/>
        <v>0</v>
      </c>
      <c r="D60" s="27">
        <f t="shared" si="4"/>
        <v>2166453</v>
      </c>
      <c r="E60" s="27">
        <f t="shared" si="4"/>
        <v>2279271</v>
      </c>
      <c r="F60" s="27">
        <f t="shared" si="4"/>
        <v>2398883</v>
      </c>
      <c r="G60" s="27">
        <f t="shared" si="4"/>
        <v>2468128.35</v>
      </c>
      <c r="H60" s="27">
        <f t="shared" si="4"/>
        <v>2424553.4300000002</v>
      </c>
      <c r="I60" s="27">
        <f t="shared" si="4"/>
        <v>2341232.79</v>
      </c>
      <c r="J60" s="27">
        <f t="shared" si="4"/>
        <v>2486460.1460031676</v>
      </c>
      <c r="K60" s="27">
        <f t="shared" si="4"/>
        <v>2490272.3115422265</v>
      </c>
      <c r="L60" s="27">
        <f t="shared" si="4"/>
        <v>2561515.7025324735</v>
      </c>
      <c r="M60" s="27">
        <f t="shared" si="4"/>
        <v>2570937.5322162453</v>
      </c>
      <c r="N60" s="27">
        <f>N26+N31+N36+N46+N55+N41</f>
        <v>2372123.8770687035</v>
      </c>
      <c r="O60" s="27">
        <f>O26+O31+O36+O46+O55+O41</f>
        <v>2357380.6238575378</v>
      </c>
    </row>
    <row r="61" spans="1:16" x14ac:dyDescent="0.2">
      <c r="B61" s="6"/>
      <c r="C61" s="6"/>
      <c r="D61" s="6"/>
      <c r="E61" s="6"/>
      <c r="F61" s="6"/>
      <c r="G61" s="6"/>
      <c r="I61" s="6"/>
      <c r="J61" s="27"/>
      <c r="K61" s="32"/>
      <c r="L61" s="180"/>
      <c r="M61" s="23"/>
      <c r="N61" s="23"/>
      <c r="O61" s="23"/>
    </row>
    <row r="62" spans="1:16" x14ac:dyDescent="0.2">
      <c r="B62" s="6">
        <f>'Rate Class Customer Model'!L5</f>
        <v>42332.25</v>
      </c>
      <c r="C62" s="6">
        <f>'Rate Class Customer Model'!L6</f>
        <v>42923.75</v>
      </c>
      <c r="D62" s="6">
        <f>'Rate Class Customer Model'!L7</f>
        <v>55665.25</v>
      </c>
      <c r="E62" s="6">
        <f>'Rate Class Customer Model'!L8</f>
        <v>57119</v>
      </c>
      <c r="F62" s="6">
        <f>'Rate Class Customer Model'!L9</f>
        <v>58148</v>
      </c>
      <c r="G62" s="6">
        <f>'Rate Class Customer Model'!L10</f>
        <v>59639.75</v>
      </c>
      <c r="H62" s="6">
        <f>'Rate Class Customer Model'!L11</f>
        <v>60690.25</v>
      </c>
      <c r="I62" s="6">
        <f>'Rate Class Customer Model'!L12</f>
        <v>61413</v>
      </c>
      <c r="J62" s="27">
        <f>'Rate Class Customer Model'!L13</f>
        <v>62159</v>
      </c>
      <c r="K62" s="27">
        <f>'Rate Class Customer Model'!L14</f>
        <v>63359.5</v>
      </c>
      <c r="L62" s="27">
        <f>'Rate Class Customer Model'!L15</f>
        <v>64304.5</v>
      </c>
      <c r="M62" s="27">
        <f>'Rate Class Customer Model'!L16</f>
        <v>64925.5</v>
      </c>
      <c r="N62" s="27">
        <f>'Rate Class Customer Model'!L17</f>
        <v>66010.467459296036</v>
      </c>
      <c r="O62" s="27">
        <f>'Rate Class Customer Model'!L18</f>
        <v>67115.00892149756</v>
      </c>
    </row>
    <row r="63" spans="1:16" x14ac:dyDescent="0.2">
      <c r="B63" s="6">
        <f>'Rate Class Energy Model'!G12</f>
        <v>1359912172.393183</v>
      </c>
      <c r="C63" s="6">
        <f>'Rate Class Energy Model'!G13</f>
        <v>1418653288.1429515</v>
      </c>
      <c r="D63" s="6">
        <f>'Rate Class Energy Model'!G14</f>
        <v>1486259772.5684657</v>
      </c>
      <c r="E63" s="6">
        <f>'Rate Class Energy Model'!G15</f>
        <v>1528292270.393939</v>
      </c>
      <c r="F63" s="6">
        <f>'Rate Class Energy Model'!G16</f>
        <v>1599364167.1752858</v>
      </c>
      <c r="G63" s="6">
        <f>'Rate Class Energy Model'!G17</f>
        <v>1561102859.5852938</v>
      </c>
      <c r="H63" s="6">
        <f>'Rate Class Energy Model'!G18</f>
        <v>1566589591.6061511</v>
      </c>
      <c r="I63" s="6">
        <f>'Rate Class Energy Model'!G19</f>
        <v>1518625683.1198361</v>
      </c>
      <c r="J63" s="27">
        <f>'Rate Class Energy Model'!G20+'Rate Class Energy Model'!R20</f>
        <v>1455112239.0806346</v>
      </c>
      <c r="K63" s="27">
        <f>'Rate Class Energy Model'!G21+'Rate Class Energy Model'!R21</f>
        <v>1508992455.6342266</v>
      </c>
      <c r="L63" s="27">
        <f>'Rate Class Energy Model'!G22+'Rate Class Energy Model'!R22</f>
        <v>1511608122.7106395</v>
      </c>
      <c r="M63" s="27">
        <f>'Rate Class Energy Model'!G23+'Rate Class Energy Model'!R23</f>
        <v>1524907312.7115223</v>
      </c>
      <c r="N63" s="27">
        <f>'Rate Class Energy Model'!Q73</f>
        <v>1504034873.5654981</v>
      </c>
      <c r="O63" s="27">
        <f>'Rate Class Energy Model'!Q74</f>
        <v>1492873908.5500174</v>
      </c>
    </row>
    <row r="64" spans="1:16" x14ac:dyDescent="0.2">
      <c r="B64" s="6">
        <f>'Rate Class Load Model'!H4</f>
        <v>0</v>
      </c>
      <c r="C64" s="6">
        <f>'Rate Class Load Model'!H5</f>
        <v>0</v>
      </c>
      <c r="D64" s="6">
        <f>'Rate Class Load Model'!H6</f>
        <v>2166453</v>
      </c>
      <c r="E64" s="6">
        <f>'Rate Class Load Model'!H7</f>
        <v>2279271</v>
      </c>
      <c r="F64" s="6">
        <f>'Rate Class Load Model'!H8</f>
        <v>2398883</v>
      </c>
      <c r="G64" s="6">
        <f>'Rate Class Load Model'!H9</f>
        <v>2468128.35</v>
      </c>
      <c r="H64" s="6">
        <f>'Rate Class Load Model'!H10</f>
        <v>2424553.4300000002</v>
      </c>
      <c r="I64" s="6">
        <f>'Rate Class Load Model'!H11</f>
        <v>2341232.79</v>
      </c>
      <c r="J64" s="27">
        <f>'Rate Class Load Model'!H12</f>
        <v>2486460.1460031676</v>
      </c>
      <c r="K64" s="27">
        <f>'Rate Class Load Model'!H13</f>
        <v>2490272.3115422265</v>
      </c>
      <c r="L64" s="27">
        <f>'Rate Class Load Model'!H14</f>
        <v>2561515.7025324735</v>
      </c>
      <c r="M64" s="27">
        <f>'Rate Class Load Model'!H15</f>
        <v>2570937.5322162453</v>
      </c>
      <c r="N64" s="27">
        <f>'Rate Class Load Model'!H16</f>
        <v>2372123.8770687035</v>
      </c>
      <c r="O64" s="27">
        <f>'Rate Class Load Model'!H17</f>
        <v>2357380.6238575378</v>
      </c>
    </row>
    <row r="65" spans="1:15" x14ac:dyDescent="0.2">
      <c r="J65" s="23"/>
      <c r="K65" s="32"/>
      <c r="L65" s="32"/>
    </row>
    <row r="66" spans="1:15" x14ac:dyDescent="0.2">
      <c r="A66" t="s">
        <v>85</v>
      </c>
      <c r="J66" s="23"/>
      <c r="K66" s="32"/>
      <c r="L66" s="32"/>
    </row>
    <row r="67" spans="1:15" x14ac:dyDescent="0.2">
      <c r="A67" t="s">
        <v>86</v>
      </c>
      <c r="J67" s="101">
        <f>'[6]2009'!$G$31</f>
        <v>80581.967535952397</v>
      </c>
      <c r="K67" s="101">
        <f>'[6]2010'!$G$32</f>
        <v>73663.072638678961</v>
      </c>
      <c r="L67" s="181">
        <f>'[6]2011_V2'!$G$34</f>
        <v>78979.83257687786</v>
      </c>
      <c r="M67" s="181">
        <f>'[6]2012_V2'!$G$32</f>
        <v>70981.98323059082</v>
      </c>
      <c r="N67" s="182"/>
      <c r="O67" s="182"/>
    </row>
    <row r="68" spans="1:15" x14ac:dyDescent="0.2">
      <c r="A68" t="s">
        <v>87</v>
      </c>
      <c r="J68" s="101">
        <f>'[6]2009'!$F$31</f>
        <v>27009.021600000004</v>
      </c>
      <c r="K68" s="101">
        <f>'[6]2010'!$F$32</f>
        <v>27708.199200000003</v>
      </c>
      <c r="L68" s="181">
        <f>'[6]2011_V2'!$F$34</f>
        <v>28171.38095313112</v>
      </c>
      <c r="M68" s="181">
        <f>'[6]2012_V2'!$F$32</f>
        <v>29053.063102722168</v>
      </c>
      <c r="N68" s="182"/>
      <c r="O68" s="182"/>
    </row>
    <row r="69" spans="1:15" x14ac:dyDescent="0.2">
      <c r="J69" s="102">
        <f t="shared" ref="J69:O69" si="5">SUM(J67:J68)</f>
        <v>107590.9891359524</v>
      </c>
      <c r="K69" s="102">
        <f t="shared" si="5"/>
        <v>101371.27183867896</v>
      </c>
      <c r="L69" s="102">
        <f t="shared" si="5"/>
        <v>107151.21353000897</v>
      </c>
      <c r="M69" s="102">
        <f t="shared" si="5"/>
        <v>100035.04633331299</v>
      </c>
      <c r="N69" s="102">
        <f t="shared" si="5"/>
        <v>0</v>
      </c>
      <c r="O69" s="102">
        <f t="shared" si="5"/>
        <v>0</v>
      </c>
    </row>
    <row r="70" spans="1:15" x14ac:dyDescent="0.2">
      <c r="J70"/>
      <c r="K70"/>
    </row>
    <row r="71" spans="1:15" x14ac:dyDescent="0.2">
      <c r="A71" s="176" t="s">
        <v>23</v>
      </c>
      <c r="J71"/>
      <c r="K71"/>
    </row>
    <row r="72" spans="1:15" x14ac:dyDescent="0.2">
      <c r="A72" t="s">
        <v>70</v>
      </c>
      <c r="B72" s="6">
        <f>B58-B62</f>
        <v>0</v>
      </c>
      <c r="C72" s="6">
        <f t="shared" ref="C72:O72" si="6">C58-C62</f>
        <v>0</v>
      </c>
      <c r="D72" s="6">
        <f t="shared" si="6"/>
        <v>0</v>
      </c>
      <c r="E72" s="6">
        <f t="shared" si="6"/>
        <v>0</v>
      </c>
      <c r="F72" s="6">
        <f t="shared" si="6"/>
        <v>0</v>
      </c>
      <c r="G72" s="6">
        <f t="shared" si="6"/>
        <v>0</v>
      </c>
      <c r="H72" s="6">
        <f t="shared" si="6"/>
        <v>0</v>
      </c>
      <c r="I72" s="6">
        <f t="shared" si="6"/>
        <v>0</v>
      </c>
      <c r="J72" s="6">
        <f t="shared" si="6"/>
        <v>0</v>
      </c>
      <c r="K72" s="6">
        <f t="shared" si="6"/>
        <v>0</v>
      </c>
      <c r="L72" s="6">
        <f t="shared" si="6"/>
        <v>0</v>
      </c>
      <c r="M72" s="27">
        <f t="shared" si="6"/>
        <v>0</v>
      </c>
      <c r="N72" s="27">
        <f t="shared" si="6"/>
        <v>0</v>
      </c>
      <c r="O72" s="27">
        <f t="shared" si="6"/>
        <v>0</v>
      </c>
    </row>
    <row r="73" spans="1:15" x14ac:dyDescent="0.2">
      <c r="A73" t="s">
        <v>59</v>
      </c>
      <c r="B73" s="6">
        <f>B59-B63</f>
        <v>0</v>
      </c>
      <c r="C73" s="6">
        <f t="shared" ref="C73:O73" si="7">C59-C63</f>
        <v>0</v>
      </c>
      <c r="D73" s="6">
        <f t="shared" si="7"/>
        <v>0</v>
      </c>
      <c r="E73" s="6">
        <f t="shared" si="7"/>
        <v>0</v>
      </c>
      <c r="F73" s="6">
        <f t="shared" si="7"/>
        <v>0</v>
      </c>
      <c r="G73" s="6">
        <f t="shared" si="7"/>
        <v>0</v>
      </c>
      <c r="H73" s="6">
        <f t="shared" si="7"/>
        <v>0</v>
      </c>
      <c r="I73" s="6">
        <f t="shared" si="7"/>
        <v>0</v>
      </c>
      <c r="J73" s="6">
        <f t="shared" si="7"/>
        <v>0</v>
      </c>
      <c r="K73" s="6">
        <f t="shared" si="7"/>
        <v>0</v>
      </c>
      <c r="L73" s="6">
        <f t="shared" si="7"/>
        <v>0</v>
      </c>
      <c r="M73" s="27">
        <f t="shared" si="7"/>
        <v>0</v>
      </c>
      <c r="N73" s="27">
        <f t="shared" si="7"/>
        <v>0</v>
      </c>
      <c r="O73" s="27">
        <f t="shared" si="7"/>
        <v>0</v>
      </c>
    </row>
    <row r="74" spans="1:15" x14ac:dyDescent="0.2">
      <c r="A74" t="s">
        <v>69</v>
      </c>
      <c r="B74" s="6">
        <f>B60-B64</f>
        <v>0</v>
      </c>
      <c r="C74" s="6">
        <f t="shared" ref="C74:O74" si="8">C60-C64</f>
        <v>0</v>
      </c>
      <c r="D74" s="6">
        <f t="shared" si="8"/>
        <v>0</v>
      </c>
      <c r="E74" s="6">
        <f t="shared" si="8"/>
        <v>0</v>
      </c>
      <c r="F74" s="6">
        <f t="shared" si="8"/>
        <v>0</v>
      </c>
      <c r="G74" s="6">
        <f t="shared" si="8"/>
        <v>0</v>
      </c>
      <c r="H74" s="6">
        <f t="shared" si="8"/>
        <v>0</v>
      </c>
      <c r="I74" s="6">
        <f t="shared" si="8"/>
        <v>0</v>
      </c>
      <c r="J74" s="6">
        <f t="shared" si="8"/>
        <v>0</v>
      </c>
      <c r="K74" s="6">
        <f t="shared" si="8"/>
        <v>0</v>
      </c>
      <c r="L74" s="6">
        <f t="shared" si="8"/>
        <v>0</v>
      </c>
      <c r="M74" s="27">
        <f t="shared" si="8"/>
        <v>0</v>
      </c>
      <c r="N74" s="27">
        <f t="shared" si="8"/>
        <v>0</v>
      </c>
      <c r="O74" s="27">
        <f t="shared" si="8"/>
        <v>0</v>
      </c>
    </row>
    <row r="75" spans="1:15" x14ac:dyDescent="0.2">
      <c r="J75"/>
      <c r="K75"/>
    </row>
    <row r="76" spans="1:15" x14ac:dyDescent="0.2">
      <c r="J76"/>
      <c r="K76"/>
    </row>
    <row r="77" spans="1:15" x14ac:dyDescent="0.2">
      <c r="J77"/>
      <c r="K77"/>
    </row>
    <row r="78" spans="1:15" x14ac:dyDescent="0.2">
      <c r="J78"/>
      <c r="K78"/>
    </row>
    <row r="79" spans="1:15" x14ac:dyDescent="0.2">
      <c r="J79"/>
      <c r="K79"/>
    </row>
    <row r="80" spans="1:15" x14ac:dyDescent="0.2">
      <c r="J80"/>
      <c r="K80"/>
    </row>
    <row r="81" spans="10:11" x14ac:dyDescent="0.2">
      <c r="J81"/>
      <c r="K81"/>
    </row>
    <row r="82" spans="10:11" x14ac:dyDescent="0.2">
      <c r="J82"/>
      <c r="K82"/>
    </row>
    <row r="83" spans="10:11" x14ac:dyDescent="0.2">
      <c r="J83"/>
      <c r="K83"/>
    </row>
    <row r="84" spans="10:11" x14ac:dyDescent="0.2">
      <c r="J84"/>
      <c r="K84"/>
    </row>
    <row r="85" spans="10:11" x14ac:dyDescent="0.2">
      <c r="J85"/>
      <c r="K85"/>
    </row>
    <row r="86" spans="10:11" x14ac:dyDescent="0.2">
      <c r="J86"/>
      <c r="K86"/>
    </row>
    <row r="87" spans="10:11" x14ac:dyDescent="0.2">
      <c r="J87"/>
      <c r="K87"/>
    </row>
    <row r="88" spans="10:11" x14ac:dyDescent="0.2">
      <c r="J88"/>
      <c r="K88"/>
    </row>
    <row r="89" spans="10:11" x14ac:dyDescent="0.2">
      <c r="J89"/>
      <c r="K89"/>
    </row>
    <row r="90" spans="10:11" x14ac:dyDescent="0.2">
      <c r="J90"/>
      <c r="K90"/>
    </row>
    <row r="91" spans="10:11" x14ac:dyDescent="0.2">
      <c r="J91"/>
      <c r="K91"/>
    </row>
    <row r="92" spans="10:11" x14ac:dyDescent="0.2">
      <c r="J92"/>
      <c r="K92"/>
    </row>
    <row r="93" spans="10:11" x14ac:dyDescent="0.2">
      <c r="J93"/>
      <c r="K93"/>
    </row>
    <row r="94" spans="10:11" x14ac:dyDescent="0.2">
      <c r="J94"/>
      <c r="K94"/>
    </row>
    <row r="95" spans="10:11" x14ac:dyDescent="0.2">
      <c r="J95"/>
      <c r="K95"/>
    </row>
    <row r="96" spans="10:11" x14ac:dyDescent="0.2">
      <c r="J96"/>
      <c r="K96"/>
    </row>
    <row r="97" spans="10:11" x14ac:dyDescent="0.2">
      <c r="J97"/>
      <c r="K97"/>
    </row>
    <row r="98" spans="10:11" x14ac:dyDescent="0.2">
      <c r="J98"/>
      <c r="K98"/>
    </row>
    <row r="99" spans="10:11" x14ac:dyDescent="0.2">
      <c r="J99"/>
      <c r="K99"/>
    </row>
    <row r="100" spans="10:11" x14ac:dyDescent="0.2">
      <c r="J100"/>
      <c r="K100"/>
    </row>
    <row r="101" spans="10:11" x14ac:dyDescent="0.2">
      <c r="J101"/>
      <c r="K101"/>
    </row>
    <row r="102" spans="10:11" x14ac:dyDescent="0.2">
      <c r="J102"/>
      <c r="K102"/>
    </row>
    <row r="103" spans="10:11" x14ac:dyDescent="0.2">
      <c r="J103"/>
      <c r="K103"/>
    </row>
    <row r="104" spans="10:11" x14ac:dyDescent="0.2">
      <c r="J104"/>
      <c r="K104"/>
    </row>
    <row r="105" spans="10:11" x14ac:dyDescent="0.2">
      <c r="J105"/>
      <c r="K105"/>
    </row>
    <row r="106" spans="10:11" x14ac:dyDescent="0.2">
      <c r="J106"/>
      <c r="K106"/>
    </row>
    <row r="107" spans="10:11" x14ac:dyDescent="0.2">
      <c r="J107"/>
      <c r="K107"/>
    </row>
    <row r="108" spans="10:11" x14ac:dyDescent="0.2">
      <c r="J108"/>
      <c r="K108"/>
    </row>
    <row r="109" spans="10:11" x14ac:dyDescent="0.2">
      <c r="J109"/>
      <c r="K109"/>
    </row>
    <row r="110" spans="10:11" x14ac:dyDescent="0.2">
      <c r="J110"/>
      <c r="K110"/>
    </row>
    <row r="111" spans="10:11" x14ac:dyDescent="0.2">
      <c r="J111"/>
      <c r="K111"/>
    </row>
    <row r="112" spans="10:11" x14ac:dyDescent="0.2">
      <c r="J112"/>
      <c r="K112"/>
    </row>
    <row r="113" spans="10:11" x14ac:dyDescent="0.2">
      <c r="J113"/>
      <c r="K113"/>
    </row>
  </sheetData>
  <phoneticPr fontId="0" type="noConversion"/>
  <pageMargins left="0.38" right="0.75" top="0.73" bottom="0.74" header="0.5" footer="0.5"/>
  <pageSetup scale="53" orientation="landscape" verticalDpi="300" r:id="rId1"/>
  <headerFooter alignWithMargins="0">
    <oddFooter>&amp;L&amp;Z&amp;F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BE286"/>
  <sheetViews>
    <sheetView zoomScale="90" zoomScaleNormal="90" workbookViewId="0">
      <pane xSplit="1" ySplit="2" topLeftCell="B3" activePane="bottomRight" state="frozen"/>
      <selection activeCell="M35" sqref="M35"/>
      <selection pane="topRight" activeCell="M35" sqref="M35"/>
      <selection pane="bottomLeft" activeCell="M35" sqref="M35"/>
      <selection pane="bottomRight" activeCell="F215" sqref="F215"/>
    </sheetView>
  </sheetViews>
  <sheetFormatPr defaultRowHeight="12.75" x14ac:dyDescent="0.2"/>
  <cols>
    <col min="1" max="1" width="11.85546875" style="42" customWidth="1"/>
    <col min="2" max="2" width="18" style="6" customWidth="1"/>
    <col min="3" max="3" width="11.7109375" style="1" customWidth="1"/>
    <col min="4" max="4" width="13.42578125" style="1" customWidth="1"/>
    <col min="5" max="5" width="10.140625" style="1" customWidth="1"/>
    <col min="6" max="6" width="12.42578125" style="1" customWidth="1"/>
    <col min="7" max="7" width="13" style="23" customWidth="1"/>
    <col min="8" max="8" width="14.85546875" style="23" customWidth="1"/>
    <col min="9" max="9" width="12.7109375" style="23" bestFit="1" customWidth="1"/>
    <col min="10" max="10" width="14.85546875" style="23" customWidth="1"/>
    <col min="11" max="11" width="12.28515625" style="33" hidden="1" customWidth="1"/>
    <col min="12" max="12" width="14.85546875" style="158" hidden="1" customWidth="1"/>
    <col min="13" max="13" width="12.42578125" style="158" hidden="1" customWidth="1"/>
    <col min="14" max="14" width="15.5703125" style="1" bestFit="1" customWidth="1"/>
    <col min="15" max="15" width="16" style="1" customWidth="1"/>
    <col min="16" max="17" width="8.42578125" style="1" customWidth="1"/>
    <col min="18" max="18" width="14.5703125" style="1" customWidth="1"/>
    <col min="19" max="19" width="8.42578125" style="1" customWidth="1"/>
    <col min="20" max="20" width="42.140625" customWidth="1"/>
    <col min="21" max="21" width="15.5703125" bestFit="1" customWidth="1"/>
    <col min="22" max="22" width="13.7109375" bestFit="1" customWidth="1"/>
    <col min="23" max="23" width="12.5703125" bestFit="1" customWidth="1"/>
    <col min="24" max="24" width="17.140625" customWidth="1"/>
    <col min="25" max="25" width="13.5703125" bestFit="1" customWidth="1"/>
    <col min="26" max="28" width="12.5703125" bestFit="1" customWidth="1"/>
    <col min="29" max="29" width="12.5703125" customWidth="1"/>
    <col min="30" max="31" width="42.42578125" bestFit="1" customWidth="1"/>
    <col min="32" max="32" width="15.5703125" bestFit="1" customWidth="1"/>
    <col min="33" max="33" width="26.140625" bestFit="1" customWidth="1"/>
    <col min="34" max="34" width="23" bestFit="1" customWidth="1"/>
    <col min="37" max="37" width="40.7109375" bestFit="1" customWidth="1"/>
    <col min="38" max="38" width="42.85546875" bestFit="1" customWidth="1"/>
  </cols>
  <sheetData>
    <row r="2" spans="1:25" ht="51" x14ac:dyDescent="0.2">
      <c r="A2" s="83"/>
      <c r="B2" s="84" t="s">
        <v>81</v>
      </c>
      <c r="C2" s="85" t="s">
        <v>4</v>
      </c>
      <c r="D2" s="86" t="s">
        <v>5</v>
      </c>
      <c r="E2" s="86" t="s">
        <v>6</v>
      </c>
      <c r="F2" s="85" t="s">
        <v>27</v>
      </c>
      <c r="G2" s="85" t="s">
        <v>7</v>
      </c>
      <c r="H2" s="85" t="s">
        <v>156</v>
      </c>
      <c r="I2" s="85" t="s">
        <v>228</v>
      </c>
      <c r="J2" s="85" t="s">
        <v>157</v>
      </c>
      <c r="K2" s="87" t="s">
        <v>8</v>
      </c>
      <c r="L2" s="85" t="s">
        <v>158</v>
      </c>
      <c r="M2" s="85" t="s">
        <v>82</v>
      </c>
      <c r="N2" s="85" t="s">
        <v>13</v>
      </c>
      <c r="O2" s="86" t="s">
        <v>14</v>
      </c>
      <c r="P2" s="85" t="s">
        <v>15</v>
      </c>
      <c r="Q2" s="85" t="s">
        <v>159</v>
      </c>
      <c r="R2"/>
      <c r="S2"/>
      <c r="T2" t="s">
        <v>28</v>
      </c>
    </row>
    <row r="3" spans="1:25" ht="13.5" thickBot="1" x14ac:dyDescent="0.25">
      <c r="A3" s="54">
        <v>35095</v>
      </c>
      <c r="B3" s="10">
        <v>105408735</v>
      </c>
      <c r="C3" s="1">
        <v>789.4</v>
      </c>
      <c r="D3" s="1">
        <v>0</v>
      </c>
      <c r="E3" s="10">
        <v>31</v>
      </c>
      <c r="F3" s="10">
        <v>0</v>
      </c>
      <c r="G3" s="16">
        <v>352</v>
      </c>
      <c r="H3" s="16">
        <v>463.1</v>
      </c>
      <c r="I3" s="16">
        <v>0</v>
      </c>
      <c r="J3" s="16">
        <v>40.817301414581038</v>
      </c>
      <c r="K3" s="162">
        <v>94.715305091666934</v>
      </c>
      <c r="L3" s="111">
        <f>L4-(L80-L68)/12</f>
        <v>39128.291666666824</v>
      </c>
      <c r="M3" s="10">
        <v>107063</v>
      </c>
      <c r="N3" s="10">
        <f>U18+U19*C3+U20*D3+U21*E3+U22*F3+U23*G3+U24*H3+U25*I3+U26*J3</f>
        <v>104167780.94324757</v>
      </c>
      <c r="O3" s="53">
        <f t="shared" ref="O3:O66" si="0">N3-B3</f>
        <v>-1240954.0567524284</v>
      </c>
      <c r="P3" s="171">
        <f t="shared" ref="P3:P66" si="1">O3/B3</f>
        <v>-1.1772781987682789E-2</v>
      </c>
      <c r="Q3" s="13">
        <f>ABS(P3)</f>
        <v>1.1772781987682789E-2</v>
      </c>
      <c r="R3" s="13"/>
      <c r="S3" s="13"/>
    </row>
    <row r="4" spans="1:25" x14ac:dyDescent="0.2">
      <c r="A4" s="54">
        <f>EOMONTH(A3,1)</f>
        <v>35124</v>
      </c>
      <c r="B4" s="10">
        <v>97941163</v>
      </c>
      <c r="C4" s="1">
        <v>712.6</v>
      </c>
      <c r="D4" s="1">
        <v>0</v>
      </c>
      <c r="E4" s="10">
        <v>29</v>
      </c>
      <c r="F4" s="10">
        <v>0</v>
      </c>
      <c r="G4" s="16">
        <v>336</v>
      </c>
      <c r="H4" s="16">
        <v>466.5</v>
      </c>
      <c r="I4" s="16">
        <v>0</v>
      </c>
      <c r="J4" s="16">
        <v>41.11697497279647</v>
      </c>
      <c r="K4" s="162">
        <v>94.800748405985075</v>
      </c>
      <c r="L4" s="111">
        <f>L5-(L80-L68)/12</f>
        <v>39177.583333333489</v>
      </c>
      <c r="M4" s="10">
        <v>107278</v>
      </c>
      <c r="N4" s="10">
        <f>U18+U19*C4+U20*D4+U21*E4+U22*F4+U23*G4+U24*H4+U25*I4+U26*J4</f>
        <v>98340366.838100418</v>
      </c>
      <c r="O4" s="53">
        <f t="shared" si="0"/>
        <v>399203.83810041845</v>
      </c>
      <c r="P4" s="171">
        <f t="shared" si="1"/>
        <v>4.0759556643249015E-3</v>
      </c>
      <c r="Q4" s="13">
        <f t="shared" ref="Q4:Q67" si="2">ABS(P4)</f>
        <v>4.0759556643249015E-3</v>
      </c>
      <c r="R4" s="13"/>
      <c r="S4" s="13"/>
      <c r="T4" s="37" t="s">
        <v>29</v>
      </c>
      <c r="U4" s="37"/>
    </row>
    <row r="5" spans="1:25" x14ac:dyDescent="0.2">
      <c r="A5" s="54">
        <f>EOMONTH(A4,1)</f>
        <v>35155</v>
      </c>
      <c r="B5" s="10">
        <v>98345544</v>
      </c>
      <c r="C5" s="1">
        <v>670.4</v>
      </c>
      <c r="D5" s="1">
        <v>0</v>
      </c>
      <c r="E5" s="10">
        <v>31</v>
      </c>
      <c r="F5" s="10">
        <v>1</v>
      </c>
      <c r="G5" s="16">
        <v>336</v>
      </c>
      <c r="H5" s="16">
        <v>469.1</v>
      </c>
      <c r="I5" s="16">
        <v>0</v>
      </c>
      <c r="J5" s="16">
        <v>41.346137105549474</v>
      </c>
      <c r="K5" s="162">
        <v>94.886268799292239</v>
      </c>
      <c r="L5" s="111">
        <f>L6-(L80-L68)/12</f>
        <v>39226.875000000153</v>
      </c>
      <c r="M5" s="10">
        <v>107493</v>
      </c>
      <c r="N5" s="10">
        <f>U18+U19*C5+U20*D5+U21*E5+U22*F5+U23*G5+U24*H5+U25*I5+U26*J5</f>
        <v>99598764.779709235</v>
      </c>
      <c r="O5" s="53">
        <f t="shared" si="0"/>
        <v>1253220.7797092348</v>
      </c>
      <c r="P5" s="171">
        <f t="shared" si="1"/>
        <v>1.2743035716079163E-2</v>
      </c>
      <c r="Q5" s="13">
        <f t="shared" si="2"/>
        <v>1.2743035716079163E-2</v>
      </c>
      <c r="R5" s="13"/>
      <c r="S5" s="13"/>
      <c r="T5" s="34" t="s">
        <v>30</v>
      </c>
      <c r="U5" s="166">
        <v>0.96304104576043503</v>
      </c>
    </row>
    <row r="6" spans="1:25" x14ac:dyDescent="0.2">
      <c r="A6" s="54">
        <f>EOMONTH(A5,1)</f>
        <v>35185</v>
      </c>
      <c r="B6" s="10">
        <v>88677350</v>
      </c>
      <c r="C6" s="1">
        <v>421.9</v>
      </c>
      <c r="D6" s="1">
        <v>0</v>
      </c>
      <c r="E6" s="10">
        <v>30</v>
      </c>
      <c r="F6" s="10">
        <v>1</v>
      </c>
      <c r="G6" s="16">
        <v>336</v>
      </c>
      <c r="H6" s="16">
        <v>472.4</v>
      </c>
      <c r="I6" s="16">
        <v>0</v>
      </c>
      <c r="J6" s="16">
        <v>41.636996735582102</v>
      </c>
      <c r="K6" s="162">
        <v>94.971866341121896</v>
      </c>
      <c r="L6" s="111">
        <f>L7-(L80-L68)/12</f>
        <v>39276.166666666817</v>
      </c>
      <c r="M6" s="10">
        <v>107708</v>
      </c>
      <c r="N6" s="10">
        <f>U18+U19*C6+U20*D6+U21*E6+U22*F6+U23*G6+U24*H6+U25*I6+U26*J6</f>
        <v>93259567.168654919</v>
      </c>
      <c r="O6" s="53">
        <f t="shared" si="0"/>
        <v>4582217.1686549187</v>
      </c>
      <c r="P6" s="171">
        <f t="shared" si="1"/>
        <v>5.1672914996387674E-2</v>
      </c>
      <c r="Q6" s="13">
        <f t="shared" si="2"/>
        <v>5.1672914996387674E-2</v>
      </c>
      <c r="R6" s="13"/>
      <c r="S6" s="13"/>
      <c r="T6" s="34" t="s">
        <v>31</v>
      </c>
      <c r="U6" s="166">
        <v>0.9274480558193523</v>
      </c>
    </row>
    <row r="7" spans="1:25" x14ac:dyDescent="0.2">
      <c r="A7" s="54">
        <f>EOMONTH(A6,1)</f>
        <v>35216</v>
      </c>
      <c r="B7" s="10">
        <v>86110774</v>
      </c>
      <c r="C7" s="1">
        <v>216.1</v>
      </c>
      <c r="D7" s="1">
        <v>10</v>
      </c>
      <c r="E7" s="10">
        <v>31</v>
      </c>
      <c r="F7" s="10">
        <v>1</v>
      </c>
      <c r="G7" s="16">
        <v>352</v>
      </c>
      <c r="H7" s="16">
        <v>479</v>
      </c>
      <c r="I7" s="16">
        <v>0</v>
      </c>
      <c r="J7" s="16">
        <v>42.218715995647472</v>
      </c>
      <c r="K7" s="162">
        <v>95.057541101070257</v>
      </c>
      <c r="L7" s="111">
        <f>L8-(L80-L68)/12</f>
        <v>39325.458333333481</v>
      </c>
      <c r="M7" s="10">
        <v>107923</v>
      </c>
      <c r="N7" s="10">
        <f>U18+U19*C7+U20*D7+U21*E7+U22*F7+U23*G7+U24*H7+U25*I7+U26*J7</f>
        <v>95172022.250508845</v>
      </c>
      <c r="O7" s="53">
        <f t="shared" si="0"/>
        <v>9061248.2505088449</v>
      </c>
      <c r="P7" s="171">
        <f t="shared" si="1"/>
        <v>0.10522781098807502</v>
      </c>
      <c r="Q7" s="13">
        <f t="shared" si="2"/>
        <v>0.10522781098807502</v>
      </c>
      <c r="R7" s="13"/>
      <c r="S7" s="13"/>
      <c r="T7" s="34" t="s">
        <v>32</v>
      </c>
      <c r="U7" s="166">
        <v>0.92447156580168466</v>
      </c>
    </row>
    <row r="8" spans="1:25" x14ac:dyDescent="0.2">
      <c r="A8" s="54">
        <f t="shared" ref="A8:A71" si="3">EOMONTH(A7,1)</f>
        <v>35246</v>
      </c>
      <c r="B8" s="10">
        <v>87353968</v>
      </c>
      <c r="C8" s="1">
        <v>29.4</v>
      </c>
      <c r="D8" s="1">
        <v>38.6</v>
      </c>
      <c r="E8" s="10">
        <v>30</v>
      </c>
      <c r="F8" s="10">
        <v>0</v>
      </c>
      <c r="G8" s="16">
        <v>320</v>
      </c>
      <c r="H8" s="16">
        <v>483.7</v>
      </c>
      <c r="I8" s="16">
        <v>0</v>
      </c>
      <c r="J8" s="16">
        <v>42.632970620239405</v>
      </c>
      <c r="K8" s="162">
        <v>95.143293148796303</v>
      </c>
      <c r="L8" s="111">
        <f>L9-(L80-L68)/12</f>
        <v>39374.750000000146</v>
      </c>
      <c r="M8" s="10">
        <v>108138</v>
      </c>
      <c r="N8" s="10">
        <f>U18+U19*C8+U20*D8+U21*E8+U22*F8+U23*G8+U24*H8+U25*I8+U26*J8</f>
        <v>94134890.36785388</v>
      </c>
      <c r="O8" s="53">
        <f t="shared" si="0"/>
        <v>6780922.3678538799</v>
      </c>
      <c r="P8" s="171">
        <f t="shared" si="1"/>
        <v>7.7625808227210463E-2</v>
      </c>
      <c r="Q8" s="13">
        <f t="shared" si="2"/>
        <v>7.7625808227210463E-2</v>
      </c>
      <c r="R8" s="13"/>
      <c r="S8" s="13"/>
      <c r="T8" s="34" t="s">
        <v>33</v>
      </c>
      <c r="U8" s="168">
        <v>3720532.0310815712</v>
      </c>
    </row>
    <row r="9" spans="1:25" ht="13.5" thickBot="1" x14ac:dyDescent="0.25">
      <c r="A9" s="54">
        <f t="shared" si="3"/>
        <v>35277</v>
      </c>
      <c r="B9" s="10">
        <v>89453162</v>
      </c>
      <c r="C9" s="1">
        <v>18.899999999999999</v>
      </c>
      <c r="D9" s="1">
        <v>41.9</v>
      </c>
      <c r="E9" s="10">
        <v>31</v>
      </c>
      <c r="F9" s="10">
        <v>0</v>
      </c>
      <c r="G9" s="16">
        <v>352</v>
      </c>
      <c r="H9" s="16">
        <v>487.9</v>
      </c>
      <c r="I9" s="16">
        <v>0</v>
      </c>
      <c r="J9" s="16">
        <v>43.003155603917321</v>
      </c>
      <c r="K9" s="162">
        <v>95.22912255402187</v>
      </c>
      <c r="L9" s="111">
        <f>L10-(L80-L68)/12</f>
        <v>39424.04166666681</v>
      </c>
      <c r="M9" s="10">
        <v>108353</v>
      </c>
      <c r="N9" s="10">
        <f>U18+U19*C9+U20*D9+U21*E9+U22*F9+U23*G9+U24*H9+U25*I9+U26*J9</f>
        <v>100172896.81903376</v>
      </c>
      <c r="O9" s="53">
        <f t="shared" si="0"/>
        <v>10719734.819033757</v>
      </c>
      <c r="P9" s="171">
        <f t="shared" si="1"/>
        <v>0.11983628727438117</v>
      </c>
      <c r="Q9" s="13">
        <f t="shared" si="2"/>
        <v>0.11983628727438117</v>
      </c>
      <c r="R9" s="13"/>
      <c r="S9" s="13"/>
      <c r="T9" s="35" t="s">
        <v>34</v>
      </c>
      <c r="U9" s="35">
        <v>204</v>
      </c>
    </row>
    <row r="10" spans="1:25" x14ac:dyDescent="0.2">
      <c r="A10" s="54">
        <f t="shared" si="3"/>
        <v>35308</v>
      </c>
      <c r="B10" s="10">
        <v>95522933</v>
      </c>
      <c r="C10" s="1">
        <v>6.2</v>
      </c>
      <c r="D10" s="1">
        <v>55.2</v>
      </c>
      <c r="E10" s="10">
        <v>31</v>
      </c>
      <c r="F10" s="10">
        <v>0</v>
      </c>
      <c r="G10" s="16">
        <v>336</v>
      </c>
      <c r="H10" s="16">
        <v>485.1</v>
      </c>
      <c r="I10" s="16">
        <v>0</v>
      </c>
      <c r="J10" s="16">
        <v>42.75636561479871</v>
      </c>
      <c r="K10" s="162">
        <v>95.315029386531663</v>
      </c>
      <c r="L10" s="111">
        <f>L11-(L80-L68)/12</f>
        <v>39473.333333333474</v>
      </c>
      <c r="M10" s="10">
        <v>108568</v>
      </c>
      <c r="N10" s="10">
        <f>U18+U19*C10+U20*D10+U21*E10+U22*F10+U23*G10+U24*H10+U25*I10+U26*J10</f>
        <v>100330377.49164499</v>
      </c>
      <c r="O10" s="53">
        <f t="shared" si="0"/>
        <v>4807444.4916449934</v>
      </c>
      <c r="P10" s="171">
        <f t="shared" si="1"/>
        <v>5.0327647410543741E-2</v>
      </c>
      <c r="Q10" s="13">
        <f t="shared" si="2"/>
        <v>5.0327647410543741E-2</v>
      </c>
      <c r="R10" s="13"/>
      <c r="S10" s="13"/>
    </row>
    <row r="11" spans="1:25" ht="13.5" thickBot="1" x14ac:dyDescent="0.25">
      <c r="A11" s="54">
        <f t="shared" si="3"/>
        <v>35338</v>
      </c>
      <c r="B11" s="10">
        <v>88605608</v>
      </c>
      <c r="C11" s="1">
        <v>102.2</v>
      </c>
      <c r="D11" s="1">
        <v>12.6</v>
      </c>
      <c r="E11" s="10">
        <v>30</v>
      </c>
      <c r="F11" s="10">
        <v>1</v>
      </c>
      <c r="G11" s="16">
        <v>320</v>
      </c>
      <c r="H11" s="16">
        <v>479.3</v>
      </c>
      <c r="I11" s="16">
        <v>0</v>
      </c>
      <c r="J11" s="16">
        <v>42.245157780195825</v>
      </c>
      <c r="K11" s="162">
        <v>95.401013716173367</v>
      </c>
      <c r="L11" s="111">
        <f>L12-(L80-L68)/12</f>
        <v>39522.625000000138</v>
      </c>
      <c r="M11" s="10">
        <v>108783</v>
      </c>
      <c r="N11" s="10">
        <f>U18+U19*C11+U20*D11+U21*E11+U22*F11+U23*G11+U24*H11+U25*I11+U26*J11</f>
        <v>88410978.91744408</v>
      </c>
      <c r="O11" s="53">
        <f t="shared" si="0"/>
        <v>-194629.08255591989</v>
      </c>
      <c r="P11" s="171">
        <f t="shared" si="1"/>
        <v>-2.1965774734700751E-3</v>
      </c>
      <c r="Q11" s="13">
        <f t="shared" si="2"/>
        <v>2.1965774734700751E-3</v>
      </c>
      <c r="R11" s="13"/>
      <c r="S11" s="13"/>
      <c r="T11" t="s">
        <v>35</v>
      </c>
    </row>
    <row r="12" spans="1:25" x14ac:dyDescent="0.2">
      <c r="A12" s="54">
        <f t="shared" si="3"/>
        <v>35369</v>
      </c>
      <c r="B12" s="10">
        <v>91849048</v>
      </c>
      <c r="C12" s="1">
        <v>301.39999999999998</v>
      </c>
      <c r="D12" s="1">
        <v>0</v>
      </c>
      <c r="E12" s="10">
        <v>31</v>
      </c>
      <c r="F12" s="10">
        <v>1</v>
      </c>
      <c r="G12" s="16">
        <v>352</v>
      </c>
      <c r="H12" s="16">
        <v>474.3</v>
      </c>
      <c r="I12" s="16">
        <v>0</v>
      </c>
      <c r="J12" s="16">
        <v>41.804461371055424</v>
      </c>
      <c r="K12" s="162">
        <v>95.487075612857652</v>
      </c>
      <c r="L12" s="111">
        <f>L13-(L80-L68)/12</f>
        <v>39571.916666666802</v>
      </c>
      <c r="M12" s="10">
        <v>108998</v>
      </c>
      <c r="N12" s="10">
        <f>U18+U19*C12+U20*D12+U21*E12+U22*F12+U23*G12+U24*H12+U25*I12+U26*J12</f>
        <v>94217082.979368389</v>
      </c>
      <c r="O12" s="53">
        <f t="shared" si="0"/>
        <v>2368034.9793683887</v>
      </c>
      <c r="P12" s="171">
        <f t="shared" si="1"/>
        <v>2.5781812995692547E-2</v>
      </c>
      <c r="Q12" s="13">
        <f t="shared" si="2"/>
        <v>2.5781812995692547E-2</v>
      </c>
      <c r="R12" s="13"/>
      <c r="S12" s="13"/>
      <c r="T12" s="36"/>
      <c r="U12" s="36" t="s">
        <v>39</v>
      </c>
      <c r="V12" s="36" t="s">
        <v>40</v>
      </c>
      <c r="W12" s="36" t="s">
        <v>41</v>
      </c>
      <c r="X12" s="36" t="s">
        <v>42</v>
      </c>
      <c r="Y12" s="36" t="s">
        <v>43</v>
      </c>
    </row>
    <row r="13" spans="1:25" x14ac:dyDescent="0.2">
      <c r="A13" s="54">
        <f t="shared" si="3"/>
        <v>35399</v>
      </c>
      <c r="B13" s="10">
        <v>97824062</v>
      </c>
      <c r="C13" s="1">
        <v>548.1</v>
      </c>
      <c r="D13" s="1">
        <v>0</v>
      </c>
      <c r="E13" s="10">
        <v>30</v>
      </c>
      <c r="F13" s="10">
        <v>1</v>
      </c>
      <c r="G13" s="16">
        <v>320</v>
      </c>
      <c r="H13" s="16">
        <v>471.4</v>
      </c>
      <c r="I13" s="16">
        <v>0</v>
      </c>
      <c r="J13" s="16">
        <v>41.548857453754067</v>
      </c>
      <c r="K13" s="162">
        <v>95.573215146558283</v>
      </c>
      <c r="L13" s="111">
        <f>L14-(L80-L68)/12</f>
        <v>39621.208333333467</v>
      </c>
      <c r="M13" s="10">
        <v>109213</v>
      </c>
      <c r="N13" s="10">
        <f>U18+U19*C13+U20*D13+U21*E13+U22*F13+U23*G13+U24*H13+U25*I13+U26*J13</f>
        <v>94159118.326332465</v>
      </c>
      <c r="O13" s="53">
        <f t="shared" si="0"/>
        <v>-3664943.6736675352</v>
      </c>
      <c r="P13" s="171">
        <f t="shared" si="1"/>
        <v>-3.7464644165640305E-2</v>
      </c>
      <c r="Q13" s="13">
        <f t="shared" si="2"/>
        <v>3.7464644165640305E-2</v>
      </c>
      <c r="R13" s="13"/>
      <c r="S13" s="13"/>
      <c r="T13" s="34" t="s">
        <v>36</v>
      </c>
      <c r="U13" s="34">
        <v>8</v>
      </c>
      <c r="V13" s="34">
        <v>3.4505255492310456E+16</v>
      </c>
      <c r="W13" s="34">
        <v>4313156936538807</v>
      </c>
      <c r="X13" s="34">
        <v>311.59118636860359</v>
      </c>
      <c r="Y13" s="34">
        <v>1.0751297383023111E-106</v>
      </c>
    </row>
    <row r="14" spans="1:25" x14ac:dyDescent="0.2">
      <c r="A14" s="54">
        <f t="shared" si="3"/>
        <v>35430</v>
      </c>
      <c r="B14" s="10">
        <v>99686246</v>
      </c>
      <c r="C14" s="1">
        <v>596.5</v>
      </c>
      <c r="D14" s="1">
        <v>0</v>
      </c>
      <c r="E14" s="10">
        <v>31</v>
      </c>
      <c r="F14" s="10">
        <v>0</v>
      </c>
      <c r="G14" s="16">
        <v>320</v>
      </c>
      <c r="H14" s="16">
        <v>473.9</v>
      </c>
      <c r="I14" s="16">
        <v>0</v>
      </c>
      <c r="J14" s="16">
        <v>41.769205658324267</v>
      </c>
      <c r="K14" s="162">
        <v>95.659432387312208</v>
      </c>
      <c r="L14" s="111">
        <f>L15-(L80-L68)/12</f>
        <v>39670.500000000131</v>
      </c>
      <c r="M14" s="10">
        <v>109428</v>
      </c>
      <c r="N14" s="10">
        <f>U18+U19*C14+U20*D14+U21*E14+U22*F14+U23*G14+U24*H14+U25*I14+U26*J14</f>
        <v>98672382.173782468</v>
      </c>
      <c r="O14" s="53">
        <f t="shared" si="0"/>
        <v>-1013863.8262175322</v>
      </c>
      <c r="P14" s="171">
        <f t="shared" si="1"/>
        <v>-1.0170548765749812E-2</v>
      </c>
      <c r="Q14" s="13">
        <f t="shared" si="2"/>
        <v>1.0170548765749812E-2</v>
      </c>
      <c r="R14" s="13"/>
      <c r="S14" s="13"/>
      <c r="T14" s="34" t="s">
        <v>37</v>
      </c>
      <c r="U14" s="34">
        <v>195</v>
      </c>
      <c r="V14" s="34">
        <v>2699259925889272.5</v>
      </c>
      <c r="W14" s="34">
        <v>13842358594303.961</v>
      </c>
      <c r="X14" s="34"/>
      <c r="Y14" s="34"/>
    </row>
    <row r="15" spans="1:25" ht="13.5" thickBot="1" x14ac:dyDescent="0.25">
      <c r="A15" s="54">
        <f t="shared" si="3"/>
        <v>35461</v>
      </c>
      <c r="B15" s="10">
        <v>108687484</v>
      </c>
      <c r="C15" s="1">
        <v>777.9</v>
      </c>
      <c r="D15" s="1">
        <v>0</v>
      </c>
      <c r="E15" s="10">
        <v>31</v>
      </c>
      <c r="F15" s="10">
        <v>0</v>
      </c>
      <c r="G15" s="16">
        <v>352</v>
      </c>
      <c r="H15" s="16">
        <v>475</v>
      </c>
      <c r="I15" s="16">
        <v>0</v>
      </c>
      <c r="J15" s="16">
        <v>39.069264069264023</v>
      </c>
      <c r="K15" s="162">
        <v>96.013834907485574</v>
      </c>
      <c r="L15" s="111">
        <f>L16-(L80-L68)/12</f>
        <v>39719.791666666795</v>
      </c>
      <c r="M15" s="10">
        <v>109495</v>
      </c>
      <c r="N15" s="10">
        <f>U18+U19*C15+U20*D15+U21*E15+U22*F15+U23*G15+U24*H15+U25*I15+U26*J15</f>
        <v>106993537.03268144</v>
      </c>
      <c r="O15" s="53">
        <f t="shared" si="0"/>
        <v>-1693946.9673185647</v>
      </c>
      <c r="P15" s="171">
        <f t="shared" si="1"/>
        <v>-1.5585483304761795E-2</v>
      </c>
      <c r="Q15" s="13">
        <f t="shared" si="2"/>
        <v>1.5585483304761795E-2</v>
      </c>
      <c r="R15" s="13"/>
      <c r="S15" s="13"/>
      <c r="T15" s="35" t="s">
        <v>12</v>
      </c>
      <c r="U15" s="35">
        <v>203</v>
      </c>
      <c r="V15" s="35">
        <v>3.7204515418199728E+16</v>
      </c>
      <c r="W15" s="35"/>
      <c r="X15" s="35"/>
      <c r="Y15" s="35"/>
    </row>
    <row r="16" spans="1:25" ht="13.5" thickBot="1" x14ac:dyDescent="0.25">
      <c r="A16" s="54">
        <f t="shared" si="3"/>
        <v>35489</v>
      </c>
      <c r="B16" s="10">
        <v>96889088</v>
      </c>
      <c r="C16" s="1">
        <v>615</v>
      </c>
      <c r="D16" s="1">
        <v>0</v>
      </c>
      <c r="E16" s="10">
        <v>29</v>
      </c>
      <c r="F16" s="10">
        <v>0</v>
      </c>
      <c r="G16" s="16">
        <v>320</v>
      </c>
      <c r="H16" s="16">
        <v>477.9</v>
      </c>
      <c r="I16" s="16">
        <v>0</v>
      </c>
      <c r="J16" s="16">
        <v>39.307792207792204</v>
      </c>
      <c r="K16" s="162">
        <v>96.369550430916135</v>
      </c>
      <c r="L16" s="111">
        <f>L17-(L80-L68)/12</f>
        <v>39769.083333333459</v>
      </c>
      <c r="M16" s="10">
        <v>109562</v>
      </c>
      <c r="N16" s="10">
        <f>U18+U19*C16+U20*D16+U21*E16+U22*F16+U23*G16+U24*H16+U25*I16+U26*J16</f>
        <v>97575931.2090379</v>
      </c>
      <c r="O16" s="53">
        <f t="shared" si="0"/>
        <v>686843.20903789997</v>
      </c>
      <c r="P16" s="171">
        <f t="shared" si="1"/>
        <v>7.0889635067872651E-3</v>
      </c>
      <c r="Q16" s="13">
        <f t="shared" si="2"/>
        <v>7.0889635067872651E-3</v>
      </c>
      <c r="R16" s="13"/>
      <c r="S16" s="13"/>
    </row>
    <row r="17" spans="1:28" x14ac:dyDescent="0.2">
      <c r="A17" s="54">
        <f t="shared" si="3"/>
        <v>35520</v>
      </c>
      <c r="B17" s="10">
        <v>101948722</v>
      </c>
      <c r="C17" s="1">
        <v>619.1</v>
      </c>
      <c r="D17" s="1">
        <v>0</v>
      </c>
      <c r="E17" s="10">
        <v>31</v>
      </c>
      <c r="F17" s="10">
        <v>1</v>
      </c>
      <c r="G17" s="16">
        <v>304</v>
      </c>
      <c r="H17" s="16">
        <v>477.4</v>
      </c>
      <c r="I17" s="16">
        <v>0</v>
      </c>
      <c r="J17" s="16">
        <v>39.266666666666652</v>
      </c>
      <c r="K17" s="162">
        <v>96.726583822065777</v>
      </c>
      <c r="L17" s="111">
        <f>L18-(L80-L68)/12</f>
        <v>39818.375000000124</v>
      </c>
      <c r="M17" s="10">
        <v>109629</v>
      </c>
      <c r="N17" s="10">
        <f>U18+U19*C17+U20*D17+U21*E17+U22*F17+U23*G17+U24*H17+U25*I17+U26*J17</f>
        <v>97625475.509581164</v>
      </c>
      <c r="O17" s="53">
        <f t="shared" si="0"/>
        <v>-4323246.4904188365</v>
      </c>
      <c r="P17" s="171">
        <f t="shared" si="1"/>
        <v>-4.2406088135355305E-2</v>
      </c>
      <c r="Q17" s="13">
        <f t="shared" si="2"/>
        <v>4.2406088135355305E-2</v>
      </c>
      <c r="R17" s="13"/>
      <c r="S17" s="13"/>
      <c r="T17" s="36"/>
      <c r="U17" s="36" t="s">
        <v>44</v>
      </c>
      <c r="V17" s="36" t="s">
        <v>33</v>
      </c>
      <c r="W17" s="36" t="s">
        <v>45</v>
      </c>
      <c r="X17" s="36" t="s">
        <v>46</v>
      </c>
      <c r="Y17" s="36" t="s">
        <v>47</v>
      </c>
      <c r="Z17" s="36" t="s">
        <v>48</v>
      </c>
      <c r="AA17" s="36" t="s">
        <v>49</v>
      </c>
      <c r="AB17" s="36" t="s">
        <v>50</v>
      </c>
    </row>
    <row r="18" spans="1:28" x14ac:dyDescent="0.2">
      <c r="A18" s="54">
        <f t="shared" si="3"/>
        <v>35550</v>
      </c>
      <c r="B18" s="10">
        <v>95686072</v>
      </c>
      <c r="C18" s="1">
        <v>391.9</v>
      </c>
      <c r="D18" s="1">
        <v>0</v>
      </c>
      <c r="E18" s="10">
        <v>30</v>
      </c>
      <c r="F18" s="10">
        <v>1</v>
      </c>
      <c r="G18" s="16">
        <v>352</v>
      </c>
      <c r="H18" s="16">
        <v>480.4</v>
      </c>
      <c r="I18" s="16">
        <v>0</v>
      </c>
      <c r="J18" s="16">
        <v>39.513419913419852</v>
      </c>
      <c r="K18" s="162">
        <v>97.084939963418421</v>
      </c>
      <c r="L18" s="111">
        <f>L19-(L80-L68)/12</f>
        <v>39867.666666666788</v>
      </c>
      <c r="M18" s="10">
        <v>109696</v>
      </c>
      <c r="N18" s="10">
        <f>U18+U19*C18+U20*D18+U21*E18+U22*F18+U23*G18+U24*H18+U25*I18+U26*J18</f>
        <v>96632686.270270914</v>
      </c>
      <c r="O18" s="53">
        <f t="shared" si="0"/>
        <v>946614.27027091384</v>
      </c>
      <c r="P18" s="171">
        <f t="shared" si="1"/>
        <v>9.8929159749698344E-3</v>
      </c>
      <c r="Q18" s="13">
        <f t="shared" si="2"/>
        <v>9.8929159749698344E-3</v>
      </c>
      <c r="R18" s="13"/>
      <c r="S18" s="13"/>
      <c r="T18" s="34" t="s">
        <v>38</v>
      </c>
      <c r="U18" s="168">
        <v>-81874563.181608841</v>
      </c>
      <c r="V18" s="34">
        <v>10999278.716601972</v>
      </c>
      <c r="W18" s="167">
        <v>-7.4436301953172537</v>
      </c>
      <c r="X18" s="34">
        <v>3.0669026844482073E-12</v>
      </c>
      <c r="Y18" s="34">
        <v>-103567385.22752205</v>
      </c>
      <c r="Z18" s="34">
        <v>-60181741.135695636</v>
      </c>
      <c r="AA18" s="34">
        <v>-103567385.22752205</v>
      </c>
      <c r="AB18" s="34">
        <v>-60181741.135695636</v>
      </c>
    </row>
    <row r="19" spans="1:28" x14ac:dyDescent="0.2">
      <c r="A19" s="54">
        <f t="shared" si="3"/>
        <v>35581</v>
      </c>
      <c r="B19" s="10">
        <v>93811439</v>
      </c>
      <c r="C19" s="1">
        <v>289</v>
      </c>
      <c r="D19" s="1">
        <v>0</v>
      </c>
      <c r="E19" s="10">
        <v>31</v>
      </c>
      <c r="F19" s="10">
        <v>1</v>
      </c>
      <c r="G19" s="16">
        <v>336</v>
      </c>
      <c r="H19" s="16">
        <v>483.9</v>
      </c>
      <c r="I19" s="16">
        <v>0</v>
      </c>
      <c r="J19" s="16">
        <v>39.80129870129872</v>
      </c>
      <c r="K19" s="162">
        <v>97.444623755546786</v>
      </c>
      <c r="L19" s="111">
        <f>L20-(L80-L68)/12</f>
        <v>39916.958333333452</v>
      </c>
      <c r="M19" s="10">
        <v>109763</v>
      </c>
      <c r="N19" s="10">
        <f>U18+U19*C19+U20*D19+U21*E19+U22*F19+U23*G19+U24*H19+U25*I19+U26*J19</f>
        <v>94977735.114658326</v>
      </c>
      <c r="O19" s="53">
        <f t="shared" si="0"/>
        <v>1166296.1146583259</v>
      </c>
      <c r="P19" s="171">
        <f t="shared" si="1"/>
        <v>1.2432344361099992E-2</v>
      </c>
      <c r="Q19" s="13">
        <f t="shared" si="2"/>
        <v>1.2432344361099992E-2</v>
      </c>
      <c r="R19" s="13"/>
      <c r="S19" s="13"/>
      <c r="T19" s="34" t="s">
        <v>4</v>
      </c>
      <c r="U19" s="168">
        <v>21602.132928655483</v>
      </c>
      <c r="V19" s="34">
        <v>1598.1925367162205</v>
      </c>
      <c r="W19" s="167">
        <v>13.516602306904163</v>
      </c>
      <c r="X19" s="34">
        <v>8.2881251902471755E-30</v>
      </c>
      <c r="Y19" s="34">
        <v>18450.171133036758</v>
      </c>
      <c r="Z19" s="34">
        <v>24754.094724274208</v>
      </c>
      <c r="AA19" s="34">
        <v>18450.171133036758</v>
      </c>
      <c r="AB19" s="34">
        <v>24754.094724274208</v>
      </c>
    </row>
    <row r="20" spans="1:28" x14ac:dyDescent="0.2">
      <c r="A20" s="54">
        <f t="shared" si="3"/>
        <v>35611</v>
      </c>
      <c r="B20" s="10">
        <v>99097140</v>
      </c>
      <c r="C20" s="1">
        <v>30.4</v>
      </c>
      <c r="D20" s="1">
        <v>50.4</v>
      </c>
      <c r="E20" s="10">
        <v>30</v>
      </c>
      <c r="F20" s="10">
        <v>0</v>
      </c>
      <c r="G20" s="16">
        <v>336</v>
      </c>
      <c r="H20" s="16">
        <v>492.2</v>
      </c>
      <c r="I20" s="16">
        <v>0</v>
      </c>
      <c r="J20" s="16">
        <v>40.483982683982674</v>
      </c>
      <c r="K20" s="162">
        <v>97.805640117179436</v>
      </c>
      <c r="L20" s="111">
        <f>L21-(L80-L68)/12</f>
        <v>39966.250000000116</v>
      </c>
      <c r="M20" s="10">
        <v>109830</v>
      </c>
      <c r="N20" s="10">
        <f>U18+U19*C20+U20*D20+U21*E20+U22*F20+U23*G20+U24*H20+U25*I20+U26*J20</f>
        <v>100584988.50103541</v>
      </c>
      <c r="O20" s="53">
        <f t="shared" si="0"/>
        <v>1487848.5010354072</v>
      </c>
      <c r="P20" s="171">
        <f t="shared" si="1"/>
        <v>1.5014040778930727E-2</v>
      </c>
      <c r="Q20" s="13">
        <f t="shared" si="2"/>
        <v>1.5014040778930727E-2</v>
      </c>
      <c r="R20" s="13"/>
      <c r="S20" s="13"/>
      <c r="T20" s="34" t="s">
        <v>5</v>
      </c>
      <c r="U20" s="168">
        <v>194391.6449872191</v>
      </c>
      <c r="V20" s="34">
        <v>15759.847308482875</v>
      </c>
      <c r="W20" s="167">
        <v>12.334614744813303</v>
      </c>
      <c r="X20" s="34">
        <v>3.2475164739701122E-26</v>
      </c>
      <c r="Y20" s="34">
        <v>163310.01027805707</v>
      </c>
      <c r="Z20" s="34">
        <v>225473.27969638113</v>
      </c>
      <c r="AA20" s="34">
        <v>163310.01027805707</v>
      </c>
      <c r="AB20" s="34">
        <v>225473.27969638113</v>
      </c>
    </row>
    <row r="21" spans="1:28" x14ac:dyDescent="0.2">
      <c r="A21" s="54">
        <f t="shared" si="3"/>
        <v>35642</v>
      </c>
      <c r="B21" s="10">
        <v>102898353</v>
      </c>
      <c r="C21" s="1">
        <v>22.1</v>
      </c>
      <c r="D21" s="1">
        <v>59.8</v>
      </c>
      <c r="E21" s="10">
        <v>31</v>
      </c>
      <c r="F21" s="10">
        <v>0</v>
      </c>
      <c r="G21" s="16">
        <v>352</v>
      </c>
      <c r="H21" s="16">
        <v>497.1</v>
      </c>
      <c r="I21" s="16">
        <v>0</v>
      </c>
      <c r="J21" s="16">
        <v>40.887012987013009</v>
      </c>
      <c r="K21" s="162">
        <v>98.167993985267998</v>
      </c>
      <c r="L21" s="111">
        <f>L22-(L80-L68)/12</f>
        <v>40015.541666666781</v>
      </c>
      <c r="M21" s="10">
        <v>109897</v>
      </c>
      <c r="N21" s="10">
        <f>U18+U19*C21+U20*D21+U21*E21+U22*F21+U23*G21+U24*H21+U25*I21+U26*J21</f>
        <v>106347865.71829103</v>
      </c>
      <c r="O21" s="53">
        <f t="shared" si="0"/>
        <v>3449512.7182910293</v>
      </c>
      <c r="P21" s="171">
        <f t="shared" si="1"/>
        <v>3.3523497876501766E-2</v>
      </c>
      <c r="Q21" s="13">
        <f t="shared" si="2"/>
        <v>3.3523497876501766E-2</v>
      </c>
      <c r="R21" s="13"/>
      <c r="S21" s="13"/>
      <c r="T21" s="34" t="s">
        <v>6</v>
      </c>
      <c r="U21" s="168">
        <v>1570463.2608946238</v>
      </c>
      <c r="V21" s="34">
        <v>353945.21369362535</v>
      </c>
      <c r="W21" s="167">
        <v>4.4370235848252362</v>
      </c>
      <c r="X21" s="34">
        <v>1.5234767461862234E-5</v>
      </c>
      <c r="Y21" s="34">
        <v>872411.0765209801</v>
      </c>
      <c r="Z21" s="34">
        <v>2268515.4452682678</v>
      </c>
      <c r="AA21" s="34">
        <v>872411.0765209801</v>
      </c>
      <c r="AB21" s="34">
        <v>2268515.4452682678</v>
      </c>
    </row>
    <row r="22" spans="1:28" x14ac:dyDescent="0.2">
      <c r="A22" s="54">
        <f t="shared" si="3"/>
        <v>35673</v>
      </c>
      <c r="B22" s="10">
        <v>97826498</v>
      </c>
      <c r="C22" s="1">
        <v>49.4</v>
      </c>
      <c r="D22" s="1">
        <v>21.9</v>
      </c>
      <c r="E22" s="10">
        <v>31</v>
      </c>
      <c r="F22" s="10">
        <v>0</v>
      </c>
      <c r="G22" s="16">
        <v>320</v>
      </c>
      <c r="H22" s="16">
        <v>500.9</v>
      </c>
      <c r="I22" s="16">
        <v>0</v>
      </c>
      <c r="J22" s="16">
        <v>41.199567099567048</v>
      </c>
      <c r="K22" s="162">
        <v>98.531690315054689</v>
      </c>
      <c r="L22" s="111">
        <f>L23-(L80-L68)/12</f>
        <v>40064.833333333445</v>
      </c>
      <c r="M22" s="10">
        <v>109964</v>
      </c>
      <c r="N22" s="10">
        <f>U18+U19*C22+U20*D22+U21*E22+U22*F22+U23*G22+U24*H22+U25*I22+U26*J22</f>
        <v>96977669.675020084</v>
      </c>
      <c r="O22" s="53">
        <f t="shared" si="0"/>
        <v>-848828.32497991621</v>
      </c>
      <c r="P22" s="171">
        <f t="shared" si="1"/>
        <v>-8.6768753081595158E-3</v>
      </c>
      <c r="Q22" s="13">
        <f t="shared" si="2"/>
        <v>8.6768753081595158E-3</v>
      </c>
      <c r="R22" s="13"/>
      <c r="S22" s="13"/>
      <c r="T22" s="34" t="s">
        <v>27</v>
      </c>
      <c r="U22" s="168">
        <v>-1443169.7144666414</v>
      </c>
      <c r="V22" s="34">
        <v>693989.76877500839</v>
      </c>
      <c r="W22" s="167">
        <v>-2.0795259230032213</v>
      </c>
      <c r="X22" s="34">
        <v>3.8876820321560632E-2</v>
      </c>
      <c r="Y22" s="34">
        <v>-2811859.147983565</v>
      </c>
      <c r="Z22" s="34">
        <v>-74480.280949717853</v>
      </c>
      <c r="AA22" s="34">
        <v>-2811859.147983565</v>
      </c>
      <c r="AB22" s="34">
        <v>-74480.280949717853</v>
      </c>
    </row>
    <row r="23" spans="1:28" x14ac:dyDescent="0.2">
      <c r="A23" s="54">
        <f t="shared" si="3"/>
        <v>35703</v>
      </c>
      <c r="B23" s="10">
        <v>95349179</v>
      </c>
      <c r="C23" s="1">
        <v>115.2</v>
      </c>
      <c r="D23" s="1">
        <v>5.4</v>
      </c>
      <c r="E23" s="10">
        <v>30</v>
      </c>
      <c r="F23" s="10">
        <v>1</v>
      </c>
      <c r="G23" s="16">
        <v>336</v>
      </c>
      <c r="H23" s="16">
        <v>502.3</v>
      </c>
      <c r="I23" s="16">
        <v>0</v>
      </c>
      <c r="J23" s="16">
        <v>41.314718614718629</v>
      </c>
      <c r="K23" s="162">
        <v>98.896734080140092</v>
      </c>
      <c r="L23" s="111">
        <f>L24-(L80-L68)/12</f>
        <v>40114.125000000109</v>
      </c>
      <c r="M23" s="10">
        <v>110031</v>
      </c>
      <c r="N23" s="10">
        <f>U18+U19*C23+U20*D23+U21*E23+U22*F23+U23*G23+U24*H23+U25*I23+U26*J23</f>
        <v>94079977.076430663</v>
      </c>
      <c r="O23" s="53">
        <f t="shared" si="0"/>
        <v>-1269201.9235693365</v>
      </c>
      <c r="P23" s="171">
        <f t="shared" si="1"/>
        <v>-1.3311094409835836E-2</v>
      </c>
      <c r="Q23" s="13">
        <f t="shared" si="2"/>
        <v>1.3311094409835836E-2</v>
      </c>
      <c r="R23" s="13"/>
      <c r="S23" s="13"/>
      <c r="T23" s="34" t="s">
        <v>7</v>
      </c>
      <c r="U23" s="168">
        <v>102812.6851613778</v>
      </c>
      <c r="V23" s="34">
        <v>16785.147496639991</v>
      </c>
      <c r="W23" s="167">
        <v>6.1252178559621582</v>
      </c>
      <c r="X23" s="34">
        <v>4.9032656662369992E-9</v>
      </c>
      <c r="Y23" s="34">
        <v>69708.949267365999</v>
      </c>
      <c r="Z23" s="34">
        <v>135916.4210553896</v>
      </c>
      <c r="AA23" s="34">
        <v>69708.949267365999</v>
      </c>
      <c r="AB23" s="34">
        <v>135916.4210553896</v>
      </c>
    </row>
    <row r="24" spans="1:28" ht="15" customHeight="1" x14ac:dyDescent="0.2">
      <c r="A24" s="54">
        <f t="shared" si="3"/>
        <v>35734</v>
      </c>
      <c r="B24" s="10">
        <v>100614082</v>
      </c>
      <c r="C24" s="1">
        <v>288.89999999999998</v>
      </c>
      <c r="D24" s="1">
        <v>1.6</v>
      </c>
      <c r="E24" s="10">
        <v>31</v>
      </c>
      <c r="F24" s="10">
        <v>1</v>
      </c>
      <c r="G24" s="16">
        <v>352</v>
      </c>
      <c r="H24" s="16">
        <v>506.9</v>
      </c>
      <c r="I24" s="16">
        <v>0</v>
      </c>
      <c r="J24" s="16">
        <v>41.693073593073564</v>
      </c>
      <c r="K24" s="162">
        <v>99.26313027255118</v>
      </c>
      <c r="L24" s="111">
        <f>L25-(L80-L68)/12</f>
        <v>40163.416666666773</v>
      </c>
      <c r="M24" s="10">
        <v>110098</v>
      </c>
      <c r="N24" s="10">
        <f>U18+U19*C24+U20*D24+U21*E24+U22*F24+U23*G24+U24*H24+U25*I24+U26*J24</f>
        <v>101153405.79934743</v>
      </c>
      <c r="O24" s="53">
        <f t="shared" si="0"/>
        <v>539323.79934743047</v>
      </c>
      <c r="P24" s="171">
        <f t="shared" si="1"/>
        <v>5.3603212256851922E-3</v>
      </c>
      <c r="Q24" s="13">
        <f t="shared" si="2"/>
        <v>5.3603212256851922E-3</v>
      </c>
      <c r="R24" s="13"/>
      <c r="S24" s="13"/>
      <c r="T24" s="34" t="s">
        <v>156</v>
      </c>
      <c r="U24" s="168">
        <v>210397.94990968483</v>
      </c>
      <c r="V24" s="34">
        <v>5013.1976261276704</v>
      </c>
      <c r="W24" s="167">
        <v>41.96881224333498</v>
      </c>
      <c r="X24" s="34">
        <v>1.3822370069349512E-99</v>
      </c>
      <c r="Y24" s="34">
        <v>200510.90124162647</v>
      </c>
      <c r="Z24" s="34">
        <v>220284.99857774319</v>
      </c>
      <c r="AA24" s="34">
        <v>200510.90124162647</v>
      </c>
      <c r="AB24" s="34">
        <v>220284.99857774319</v>
      </c>
    </row>
    <row r="25" spans="1:28" x14ac:dyDescent="0.2">
      <c r="A25" s="54">
        <f t="shared" si="3"/>
        <v>35764</v>
      </c>
      <c r="B25" s="10">
        <v>103052415</v>
      </c>
      <c r="C25" s="1">
        <v>471.4</v>
      </c>
      <c r="D25" s="1">
        <v>0</v>
      </c>
      <c r="E25" s="10">
        <v>30</v>
      </c>
      <c r="F25" s="10">
        <v>1</v>
      </c>
      <c r="G25" s="16">
        <v>304</v>
      </c>
      <c r="H25" s="16">
        <v>508.4</v>
      </c>
      <c r="I25" s="16">
        <v>0</v>
      </c>
      <c r="J25" s="16">
        <v>41.816450216450221</v>
      </c>
      <c r="K25" s="162">
        <v>99.630883902809558</v>
      </c>
      <c r="L25" s="111">
        <f>L26-(L80-L68)/12</f>
        <v>40212.708333333438</v>
      </c>
      <c r="M25" s="10">
        <v>110165</v>
      </c>
      <c r="N25" s="10">
        <f>U18+U19*C25+U20*D25+U21*E25+U22*F25+U23*G25+U24*H25+U25*I25+U26*J25</f>
        <v>98554631.145821109</v>
      </c>
      <c r="O25" s="53">
        <f t="shared" si="0"/>
        <v>-4497783.8541788906</v>
      </c>
      <c r="P25" s="171">
        <f t="shared" si="1"/>
        <v>-4.3645593887138796E-2</v>
      </c>
      <c r="Q25" s="13">
        <f t="shared" si="2"/>
        <v>4.3645593887138796E-2</v>
      </c>
      <c r="R25" s="13"/>
      <c r="S25" s="13"/>
      <c r="T25" s="34" t="s">
        <v>228</v>
      </c>
      <c r="U25" s="368">
        <v>-4.3474709179268824</v>
      </c>
      <c r="V25" s="34">
        <v>0.47049862549016458</v>
      </c>
      <c r="W25" s="167">
        <v>-9.240135214842967</v>
      </c>
      <c r="X25" s="34">
        <v>4.2922706359655878E-17</v>
      </c>
      <c r="Y25" s="34">
        <v>-5.2753902132348207</v>
      </c>
      <c r="Z25" s="34">
        <v>-3.4195516226189446</v>
      </c>
      <c r="AA25" s="34">
        <v>-5.2753902132348207</v>
      </c>
      <c r="AB25" s="34">
        <v>-3.4195516226189446</v>
      </c>
    </row>
    <row r="26" spans="1:28" ht="13.5" thickBot="1" x14ac:dyDescent="0.25">
      <c r="A26" s="54">
        <f t="shared" si="3"/>
        <v>35795</v>
      </c>
      <c r="B26" s="10">
        <v>106961772</v>
      </c>
      <c r="C26" s="1">
        <v>630.70000000000005</v>
      </c>
      <c r="D26" s="1">
        <v>0</v>
      </c>
      <c r="E26" s="10">
        <v>31</v>
      </c>
      <c r="F26" s="10">
        <v>0</v>
      </c>
      <c r="G26" s="16">
        <v>336</v>
      </c>
      <c r="H26" s="16">
        <v>507.5</v>
      </c>
      <c r="I26" s="16">
        <v>0</v>
      </c>
      <c r="J26" s="16">
        <v>41.742424242424249</v>
      </c>
      <c r="K26" s="162">
        <v>100</v>
      </c>
      <c r="L26" s="111">
        <f>L27-(L80-L68)/12</f>
        <v>40262.000000000102</v>
      </c>
      <c r="M26" s="10">
        <v>110232</v>
      </c>
      <c r="N26" s="10">
        <f>U18+U19*C26+U20*D26+U21*E26+U22*F26+U23*G26+U24*H26+U25*I26+U26*J26</f>
        <v>108134288.90131268</v>
      </c>
      <c r="O26" s="53">
        <f t="shared" si="0"/>
        <v>1172516.9013126791</v>
      </c>
      <c r="P26" s="171">
        <f t="shared" si="1"/>
        <v>1.0962018292971802E-2</v>
      </c>
      <c r="Q26" s="13">
        <f t="shared" si="2"/>
        <v>1.0962018292971802E-2</v>
      </c>
      <c r="R26" s="13"/>
      <c r="S26" s="13"/>
      <c r="T26" s="35" t="s">
        <v>157</v>
      </c>
      <c r="U26" s="367">
        <v>-326334.56929073925</v>
      </c>
      <c r="V26" s="35">
        <v>36977.562992094827</v>
      </c>
      <c r="W26" s="169">
        <v>-8.8252048779013386</v>
      </c>
      <c r="X26" s="35">
        <v>6.2194139410166024E-16</v>
      </c>
      <c r="Y26" s="35">
        <v>-399261.86882978282</v>
      </c>
      <c r="Z26" s="35">
        <v>-253407.26975169568</v>
      </c>
      <c r="AA26" s="35">
        <v>-399261.86882978282</v>
      </c>
      <c r="AB26" s="35">
        <v>-253407.26975169568</v>
      </c>
    </row>
    <row r="27" spans="1:28" x14ac:dyDescent="0.2">
      <c r="A27" s="54">
        <f t="shared" si="3"/>
        <v>35826</v>
      </c>
      <c r="B27" s="10">
        <v>110966443</v>
      </c>
      <c r="C27" s="1">
        <v>652.79999999999995</v>
      </c>
      <c r="D27" s="1">
        <v>0</v>
      </c>
      <c r="E27" s="10">
        <v>31</v>
      </c>
      <c r="F27" s="10">
        <v>0</v>
      </c>
      <c r="G27" s="16">
        <v>336.28800000000001</v>
      </c>
      <c r="H27" s="16">
        <v>501.4</v>
      </c>
      <c r="I27" s="16">
        <v>0</v>
      </c>
      <c r="J27" s="16">
        <v>34.856684491978626</v>
      </c>
      <c r="K27" s="162">
        <v>100.39254461560812</v>
      </c>
      <c r="L27" s="111">
        <f>L28-(L80-L68)/12</f>
        <v>40311.291666666766</v>
      </c>
      <c r="M27" s="10">
        <v>110327</v>
      </c>
      <c r="N27" s="10">
        <f>U18+U19*C27+U20*D27+U21*E27+U22*F27+U23*G27+U24*H27+U25*I27+U26*J27</f>
        <v>109604933.51362313</v>
      </c>
      <c r="O27" s="53">
        <f t="shared" si="0"/>
        <v>-1361509.4863768667</v>
      </c>
      <c r="P27" s="171">
        <f t="shared" si="1"/>
        <v>-1.2269560504673172E-2</v>
      </c>
      <c r="Q27" s="13">
        <f t="shared" si="2"/>
        <v>1.2269560504673172E-2</v>
      </c>
      <c r="R27" s="13"/>
      <c r="S27" s="13"/>
    </row>
    <row r="28" spans="1:28" x14ac:dyDescent="0.2">
      <c r="A28" s="54">
        <f t="shared" si="3"/>
        <v>35854</v>
      </c>
      <c r="B28" s="10">
        <v>100001015</v>
      </c>
      <c r="C28" s="1">
        <v>547.1</v>
      </c>
      <c r="D28" s="1">
        <v>0</v>
      </c>
      <c r="E28" s="10">
        <v>28</v>
      </c>
      <c r="F28" s="10">
        <v>0</v>
      </c>
      <c r="G28" s="16">
        <v>319.87200000000001</v>
      </c>
      <c r="H28" s="16">
        <v>498.5</v>
      </c>
      <c r="I28" s="16">
        <v>0</v>
      </c>
      <c r="J28" s="16">
        <v>34.655080213903716</v>
      </c>
      <c r="K28" s="162">
        <v>100.78663014396867</v>
      </c>
      <c r="L28" s="111">
        <f>L29-(L80-L68)/12</f>
        <v>40360.58333333343</v>
      </c>
      <c r="M28" s="10">
        <v>110422</v>
      </c>
      <c r="N28" s="10">
        <f>U18+U19*C28+U20*D28+U21*E28+U22*F28+U23*G28+U24*H28+U25*I28+U26*J28</f>
        <v>100378061.63128588</v>
      </c>
      <c r="O28" s="53">
        <f t="shared" si="0"/>
        <v>377046.63128587604</v>
      </c>
      <c r="P28" s="171">
        <f t="shared" si="1"/>
        <v>3.7704280430141237E-3</v>
      </c>
      <c r="Q28" s="13">
        <f t="shared" si="2"/>
        <v>3.7704280430141237E-3</v>
      </c>
      <c r="R28" s="13"/>
      <c r="S28" s="13"/>
    </row>
    <row r="29" spans="1:28" x14ac:dyDescent="0.2">
      <c r="A29" s="54">
        <f t="shared" si="3"/>
        <v>35885</v>
      </c>
      <c r="B29" s="10">
        <v>109738133</v>
      </c>
      <c r="C29" s="1">
        <v>505.1</v>
      </c>
      <c r="D29" s="1">
        <v>0</v>
      </c>
      <c r="E29" s="10">
        <v>31</v>
      </c>
      <c r="F29" s="10">
        <v>1</v>
      </c>
      <c r="G29" s="16">
        <v>351.91199999999998</v>
      </c>
      <c r="H29" s="16">
        <v>495.8</v>
      </c>
      <c r="I29" s="16">
        <v>0</v>
      </c>
      <c r="J29" s="16">
        <v>34.467379679144358</v>
      </c>
      <c r="K29" s="162">
        <v>101.18226263385168</v>
      </c>
      <c r="L29" s="111">
        <f>L30-(L80-L68)/12</f>
        <v>40409.875000000095</v>
      </c>
      <c r="M29" s="10">
        <v>110517</v>
      </c>
      <c r="N29" s="10">
        <f>U18+U19*C29+U20*D29+U21*E29+U22*F29+U23*G29+U24*H29+U25*I29+U26*J29</f>
        <v>105526289.25748032</v>
      </c>
      <c r="O29" s="53">
        <f t="shared" si="0"/>
        <v>-4211843.7425196767</v>
      </c>
      <c r="P29" s="171">
        <f t="shared" si="1"/>
        <v>-3.838085838875787E-2</v>
      </c>
      <c r="Q29" s="13">
        <f t="shared" si="2"/>
        <v>3.838085838875787E-2</v>
      </c>
      <c r="R29" s="13"/>
      <c r="S29" s="13"/>
    </row>
    <row r="30" spans="1:28" x14ac:dyDescent="0.2">
      <c r="A30" s="54">
        <f t="shared" si="3"/>
        <v>35915</v>
      </c>
      <c r="B30" s="10">
        <v>96753486</v>
      </c>
      <c r="C30" s="1">
        <v>312</v>
      </c>
      <c r="D30" s="1">
        <v>0</v>
      </c>
      <c r="E30" s="10">
        <v>30</v>
      </c>
      <c r="F30" s="10">
        <v>1</v>
      </c>
      <c r="G30" s="16">
        <v>336.24</v>
      </c>
      <c r="H30" s="16">
        <v>499.1</v>
      </c>
      <c r="I30" s="16">
        <v>0</v>
      </c>
      <c r="J30" s="16">
        <v>34.696791443850202</v>
      </c>
      <c r="K30" s="162">
        <v>101.57944815777132</v>
      </c>
      <c r="L30" s="111">
        <f>L31-(L80-L68)/12</f>
        <v>40459.166666666759</v>
      </c>
      <c r="M30" s="10">
        <v>110612</v>
      </c>
      <c r="N30" s="10">
        <f>U18+U19*C30+U20*D30+U21*E30+U22*F30+U23*G30+U24*H30+U25*I30+U26*J30</f>
        <v>98792621.971489638</v>
      </c>
      <c r="O30" s="53">
        <f t="shared" si="0"/>
        <v>2039135.9714896381</v>
      </c>
      <c r="P30" s="171">
        <f t="shared" si="1"/>
        <v>2.1075581416153191E-2</v>
      </c>
      <c r="Q30" s="13">
        <f t="shared" si="2"/>
        <v>2.1075581416153191E-2</v>
      </c>
      <c r="R30" s="13"/>
      <c r="S30" s="13"/>
      <c r="T30" t="s">
        <v>28</v>
      </c>
    </row>
    <row r="31" spans="1:28" ht="13.5" thickBot="1" x14ac:dyDescent="0.25">
      <c r="A31" s="54">
        <f t="shared" si="3"/>
        <v>35946</v>
      </c>
      <c r="B31" s="10">
        <v>101025669</v>
      </c>
      <c r="C31" s="1">
        <v>77.099999999999994</v>
      </c>
      <c r="D31" s="1">
        <v>16.8</v>
      </c>
      <c r="E31" s="10">
        <v>31</v>
      </c>
      <c r="F31" s="10">
        <v>1</v>
      </c>
      <c r="G31" s="16">
        <v>319.92</v>
      </c>
      <c r="H31" s="16">
        <v>502.9</v>
      </c>
      <c r="I31" s="16">
        <v>0</v>
      </c>
      <c r="J31" s="16">
        <v>34.960962566844842</v>
      </c>
      <c r="K31" s="162">
        <v>101.97819281207909</v>
      </c>
      <c r="L31" s="111">
        <f>L32-(L80-L68)/12</f>
        <v>40508.458333333423</v>
      </c>
      <c r="M31" s="10">
        <v>110707</v>
      </c>
      <c r="N31" s="10">
        <f>U18+U19*C31+U20*D31+U21*E31+U22*F31+U23*G31+U24*H31+U25*I31+U26*J31</f>
        <v>97589924.861409992</v>
      </c>
      <c r="O31" s="53">
        <f t="shared" si="0"/>
        <v>-3435744.138590008</v>
      </c>
      <c r="P31" s="171">
        <f t="shared" si="1"/>
        <v>-3.400862545725887E-2</v>
      </c>
      <c r="Q31" s="13">
        <f t="shared" si="2"/>
        <v>3.400862545725887E-2</v>
      </c>
      <c r="R31" s="13"/>
      <c r="S31" s="13"/>
    </row>
    <row r="32" spans="1:28" x14ac:dyDescent="0.2">
      <c r="A32" s="54">
        <f t="shared" si="3"/>
        <v>35976</v>
      </c>
      <c r="B32" s="10">
        <v>107622236</v>
      </c>
      <c r="C32" s="1">
        <v>66.7</v>
      </c>
      <c r="D32" s="1">
        <v>63.7</v>
      </c>
      <c r="E32" s="10">
        <v>30</v>
      </c>
      <c r="F32" s="10">
        <v>0</v>
      </c>
      <c r="G32" s="16">
        <v>352.08</v>
      </c>
      <c r="H32" s="16">
        <v>511.2</v>
      </c>
      <c r="I32" s="16">
        <v>0</v>
      </c>
      <c r="J32" s="16">
        <v>35.537967914438525</v>
      </c>
      <c r="K32" s="162">
        <v>102.37850271705736</v>
      </c>
      <c r="L32" s="111">
        <f>L33-(L80-L68)/12</f>
        <v>40557.750000000087</v>
      </c>
      <c r="M32" s="10">
        <v>110802</v>
      </c>
      <c r="N32" s="10">
        <f>U18+U19*C32+U20*D32+U21*E32+U22*F32+U23*G32+U24*H32+U25*I32+U26*J32</f>
        <v>111219399.42987941</v>
      </c>
      <c r="O32" s="53">
        <f t="shared" si="0"/>
        <v>3597163.4298794121</v>
      </c>
      <c r="P32" s="171">
        <f t="shared" si="1"/>
        <v>3.342397968649724E-2</v>
      </c>
      <c r="Q32" s="13">
        <f t="shared" si="2"/>
        <v>3.342397968649724E-2</v>
      </c>
      <c r="R32" s="13"/>
      <c r="S32" s="13"/>
      <c r="T32" s="37" t="s">
        <v>29</v>
      </c>
      <c r="U32" s="37"/>
    </row>
    <row r="33" spans="1:39" x14ac:dyDescent="0.2">
      <c r="A33" s="54">
        <f t="shared" si="3"/>
        <v>36007</v>
      </c>
      <c r="B33" s="10">
        <v>111259024</v>
      </c>
      <c r="C33" s="1">
        <v>6.9</v>
      </c>
      <c r="D33" s="1">
        <v>64.8</v>
      </c>
      <c r="E33" s="10">
        <v>31</v>
      </c>
      <c r="F33" s="10">
        <v>0</v>
      </c>
      <c r="G33" s="16">
        <v>351.91199999999998</v>
      </c>
      <c r="H33" s="16">
        <v>518.1</v>
      </c>
      <c r="I33" s="16">
        <v>0</v>
      </c>
      <c r="J33" s="16">
        <v>36.017647058823513</v>
      </c>
      <c r="K33" s="162">
        <v>102.78038401701338</v>
      </c>
      <c r="L33" s="111">
        <f>L34-(L80-L68)/12</f>
        <v>40607.041666666752</v>
      </c>
      <c r="M33" s="10">
        <v>110897</v>
      </c>
      <c r="N33" s="10">
        <f>U18+U19*C33+U20*D33+U21*E33+U22*F33+U23*G33+U24*H33+U25*I33+U26*J33</f>
        <v>112989823.38741547</v>
      </c>
      <c r="O33" s="53">
        <f t="shared" si="0"/>
        <v>1730799.3874154687</v>
      </c>
      <c r="P33" s="171">
        <f t="shared" si="1"/>
        <v>1.5556485444411849E-2</v>
      </c>
      <c r="Q33" s="13">
        <f t="shared" si="2"/>
        <v>1.5556485444411849E-2</v>
      </c>
      <c r="R33" s="13"/>
      <c r="S33" s="13"/>
      <c r="T33" s="34" t="s">
        <v>30</v>
      </c>
      <c r="U33" s="166">
        <v>0.96193269073081633</v>
      </c>
    </row>
    <row r="34" spans="1:39" x14ac:dyDescent="0.2">
      <c r="A34" s="54">
        <f t="shared" si="3"/>
        <v>36038</v>
      </c>
      <c r="B34" s="10">
        <v>110638583</v>
      </c>
      <c r="C34" s="1">
        <v>12.1</v>
      </c>
      <c r="D34" s="1">
        <v>83.1</v>
      </c>
      <c r="E34" s="10">
        <v>31</v>
      </c>
      <c r="F34" s="10">
        <v>0</v>
      </c>
      <c r="G34" s="16">
        <v>319.92</v>
      </c>
      <c r="H34" s="16">
        <v>523.9</v>
      </c>
      <c r="I34" s="16">
        <v>0</v>
      </c>
      <c r="J34" s="16">
        <v>36.42085561497322</v>
      </c>
      <c r="K34" s="162">
        <v>103.1838428803735</v>
      </c>
      <c r="L34" s="111">
        <f>L35-(L80-L68)/12</f>
        <v>40656.333333333416</v>
      </c>
      <c r="M34" s="10">
        <v>110992</v>
      </c>
      <c r="N34" s="10">
        <f>U18+U19*C34+U20*D34+U21*E34+U22*F34+U23*G34+U24*H34+U25*I34+U26*J34</f>
        <v>114459065.37719852</v>
      </c>
      <c r="O34" s="53">
        <f t="shared" si="0"/>
        <v>3820482.3771985173</v>
      </c>
      <c r="P34" s="171">
        <f t="shared" si="1"/>
        <v>3.4531194033807514E-2</v>
      </c>
      <c r="Q34" s="13">
        <f t="shared" si="2"/>
        <v>3.4531194033807514E-2</v>
      </c>
      <c r="R34" s="13"/>
      <c r="S34" s="13"/>
      <c r="T34" s="34" t="s">
        <v>31</v>
      </c>
      <c r="U34" s="166">
        <v>0.92531450149662842</v>
      </c>
    </row>
    <row r="35" spans="1:39" x14ac:dyDescent="0.2">
      <c r="A35" s="54">
        <f t="shared" si="3"/>
        <v>36068</v>
      </c>
      <c r="B35" s="10">
        <v>103118005</v>
      </c>
      <c r="C35" s="1">
        <v>63</v>
      </c>
      <c r="D35" s="1">
        <v>26</v>
      </c>
      <c r="E35" s="10">
        <v>30</v>
      </c>
      <c r="F35" s="10">
        <v>1</v>
      </c>
      <c r="G35" s="16">
        <v>336.24</v>
      </c>
      <c r="H35" s="16">
        <v>522.5</v>
      </c>
      <c r="I35" s="16">
        <v>0</v>
      </c>
      <c r="J35" s="16">
        <v>36.323529411764639</v>
      </c>
      <c r="K35" s="162">
        <v>103.58888549977794</v>
      </c>
      <c r="L35" s="111">
        <f>L36-(L80-L68)/12</f>
        <v>40705.62500000008</v>
      </c>
      <c r="M35" s="10">
        <v>111087</v>
      </c>
      <c r="N35" s="10">
        <f>U18+U19*C35+U20*D35+U21*E35+U22*F35+U23*G35+U24*H35+U25*I35+U26*J35</f>
        <v>102860324.8357005</v>
      </c>
      <c r="O35" s="53">
        <f t="shared" si="0"/>
        <v>-257680.16429950297</v>
      </c>
      <c r="P35" s="171">
        <f t="shared" si="1"/>
        <v>-2.498886244933685E-3</v>
      </c>
      <c r="Q35" s="13">
        <f t="shared" si="2"/>
        <v>2.498886244933685E-3</v>
      </c>
      <c r="R35" s="13"/>
      <c r="S35" s="13"/>
      <c r="T35" s="34" t="s">
        <v>32</v>
      </c>
      <c r="U35" s="166">
        <v>0.92184971032894625</v>
      </c>
    </row>
    <row r="36" spans="1:39" x14ac:dyDescent="0.2">
      <c r="A36" s="54">
        <f t="shared" si="3"/>
        <v>36099</v>
      </c>
      <c r="B36" s="10">
        <v>102878594</v>
      </c>
      <c r="C36" s="1">
        <v>257.60000000000002</v>
      </c>
      <c r="D36" s="1">
        <v>0</v>
      </c>
      <c r="E36" s="10">
        <v>31</v>
      </c>
      <c r="F36" s="10">
        <v>1</v>
      </c>
      <c r="G36" s="16">
        <v>336.28800000000001</v>
      </c>
      <c r="H36" s="16">
        <v>521.5</v>
      </c>
      <c r="I36" s="16">
        <v>0</v>
      </c>
      <c r="J36" s="16">
        <v>36.254010695187162</v>
      </c>
      <c r="K36" s="162">
        <v>103.99551809217577</v>
      </c>
      <c r="L36" s="111">
        <f>L37-(L80-L68)/12</f>
        <v>40754.916666666744</v>
      </c>
      <c r="M36" s="10">
        <v>111182</v>
      </c>
      <c r="N36" s="10">
        <f>U18+U19*C36+U20*D36+U21*E36+U22*F36+U23*G36+U24*H36+U25*I36+U26*J36</f>
        <v>103397603.81425381</v>
      </c>
      <c r="O36" s="53">
        <f t="shared" si="0"/>
        <v>519009.81425380707</v>
      </c>
      <c r="P36" s="171">
        <f t="shared" si="1"/>
        <v>5.0448766266557553E-3</v>
      </c>
      <c r="Q36" s="13">
        <f t="shared" si="2"/>
        <v>5.0448766266557553E-3</v>
      </c>
      <c r="R36" s="13"/>
      <c r="S36" s="13"/>
      <c r="T36" s="34" t="s">
        <v>33</v>
      </c>
      <c r="U36" s="168">
        <v>3770284.2018179595</v>
      </c>
    </row>
    <row r="37" spans="1:39" ht="13.5" thickBot="1" x14ac:dyDescent="0.25">
      <c r="A37" s="54">
        <f t="shared" si="3"/>
        <v>36129</v>
      </c>
      <c r="B37" s="10">
        <v>107345949</v>
      </c>
      <c r="C37" s="1">
        <v>440.1</v>
      </c>
      <c r="D37" s="1">
        <v>0</v>
      </c>
      <c r="E37" s="10">
        <v>30</v>
      </c>
      <c r="F37" s="10">
        <v>1</v>
      </c>
      <c r="G37" s="16">
        <v>336.24</v>
      </c>
      <c r="H37" s="16">
        <v>522.20000000000005</v>
      </c>
      <c r="I37" s="16">
        <v>0</v>
      </c>
      <c r="J37" s="16">
        <v>36.302673796791396</v>
      </c>
      <c r="K37" s="162">
        <v>104.40374689892037</v>
      </c>
      <c r="L37" s="111">
        <f>L38-(L80-L68)/12</f>
        <v>40804.208333333409</v>
      </c>
      <c r="M37" s="10">
        <v>111277</v>
      </c>
      <c r="N37" s="10">
        <f>U18+U19*C37+U20*D37+U21*E37+U22*F37+U23*G37+U24*H37+U25*I37+U26*J37</f>
        <v>105895992.91658548</v>
      </c>
      <c r="O37" s="53">
        <f t="shared" si="0"/>
        <v>-1449956.0834145248</v>
      </c>
      <c r="P37" s="171">
        <f t="shared" si="1"/>
        <v>-1.3507319995974182E-2</v>
      </c>
      <c r="Q37" s="13">
        <f t="shared" si="2"/>
        <v>1.3507319995974182E-2</v>
      </c>
      <c r="R37" s="13"/>
      <c r="S37" s="13"/>
      <c r="T37" s="35" t="s">
        <v>34</v>
      </c>
      <c r="U37" s="35">
        <v>204</v>
      </c>
    </row>
    <row r="38" spans="1:39" x14ac:dyDescent="0.2">
      <c r="A38" s="54">
        <f t="shared" si="3"/>
        <v>36160</v>
      </c>
      <c r="B38" s="10">
        <v>111204020</v>
      </c>
      <c r="C38" s="1">
        <v>572.1</v>
      </c>
      <c r="D38" s="1">
        <v>0</v>
      </c>
      <c r="E38" s="10">
        <v>31</v>
      </c>
      <c r="F38" s="10">
        <v>0</v>
      </c>
      <c r="G38" s="16">
        <v>336.28800000000001</v>
      </c>
      <c r="H38" s="16">
        <v>528.4</v>
      </c>
      <c r="I38" s="16">
        <v>0</v>
      </c>
      <c r="J38" s="16">
        <v>36.733689839572207</v>
      </c>
      <c r="K38" s="162">
        <v>104.81357818586534</v>
      </c>
      <c r="L38" s="111">
        <f>L39-(L80-L68)/12</f>
        <v>40853.500000000073</v>
      </c>
      <c r="M38" s="10">
        <v>111372</v>
      </c>
      <c r="N38" s="10">
        <f>U18+U19*C38+U20*D38+U21*E38+U22*F38+U23*G38+U24*H38+U25*I38+U26*J38</f>
        <v>112929854.30217877</v>
      </c>
      <c r="O38" s="53">
        <f t="shared" si="0"/>
        <v>1725834.3021787703</v>
      </c>
      <c r="P38" s="171">
        <f t="shared" si="1"/>
        <v>1.5519531597677586E-2</v>
      </c>
      <c r="Q38" s="13">
        <f t="shared" si="2"/>
        <v>1.5519531597677586E-2</v>
      </c>
      <c r="R38" s="13"/>
      <c r="S38" s="13"/>
    </row>
    <row r="39" spans="1:39" ht="13.5" thickBot="1" x14ac:dyDescent="0.25">
      <c r="A39" s="54">
        <f t="shared" si="3"/>
        <v>36191</v>
      </c>
      <c r="B39" s="10">
        <v>120632212.69999999</v>
      </c>
      <c r="C39" s="1">
        <v>789.6</v>
      </c>
      <c r="D39" s="1">
        <v>0</v>
      </c>
      <c r="E39" s="10">
        <v>31</v>
      </c>
      <c r="F39" s="10">
        <v>0</v>
      </c>
      <c r="G39" s="16">
        <v>319.92</v>
      </c>
      <c r="H39" s="16">
        <v>528.4</v>
      </c>
      <c r="I39" s="16">
        <v>0</v>
      </c>
      <c r="J39" s="16">
        <v>30.753439153439217</v>
      </c>
      <c r="K39" s="162">
        <v>105.44819844915847</v>
      </c>
      <c r="L39" s="111">
        <f>L40-(L80-L68)/12</f>
        <v>40902.791666666737</v>
      </c>
      <c r="M39" s="10">
        <v>111593</v>
      </c>
      <c r="N39" s="10">
        <f>U18+U19*C39+U20*D39+U21*E39+U22*F39+U23*G39+U24*H39+U25*I39+U26*J39</f>
        <v>117897042.71534976</v>
      </c>
      <c r="O39" s="53">
        <f t="shared" si="0"/>
        <v>-2735169.9846502244</v>
      </c>
      <c r="P39" s="171">
        <f t="shared" si="1"/>
        <v>-2.2673628572596222E-2</v>
      </c>
      <c r="Q39" s="13">
        <f t="shared" si="2"/>
        <v>2.2673628572596222E-2</v>
      </c>
      <c r="R39" s="13"/>
      <c r="S39" s="13"/>
      <c r="T39" t="s">
        <v>35</v>
      </c>
    </row>
    <row r="40" spans="1:39" x14ac:dyDescent="0.2">
      <c r="A40" s="54">
        <f t="shared" si="3"/>
        <v>36219</v>
      </c>
      <c r="B40" s="10">
        <v>107060675.09999999</v>
      </c>
      <c r="C40" s="1">
        <v>578.4</v>
      </c>
      <c r="D40" s="1">
        <v>0</v>
      </c>
      <c r="E40" s="10">
        <v>28</v>
      </c>
      <c r="F40" s="10">
        <v>0</v>
      </c>
      <c r="G40" s="16">
        <v>319.87200000000001</v>
      </c>
      <c r="H40" s="16">
        <v>528.1</v>
      </c>
      <c r="I40" s="16">
        <v>0</v>
      </c>
      <c r="J40" s="16">
        <v>30.735978835978813</v>
      </c>
      <c r="K40" s="162">
        <v>106.08666118100913</v>
      </c>
      <c r="L40" s="111">
        <f>L41-(L80-L68)/12</f>
        <v>40952.083333333401</v>
      </c>
      <c r="M40" s="10">
        <v>111814</v>
      </c>
      <c r="N40" s="10">
        <f>U18+U19*C40+U20*D40+U21*E40+U22*F40+U23*G40+U24*H40+U25*I40+U26*J40</f>
        <v>108560925.96945135</v>
      </c>
      <c r="O40" s="53">
        <f t="shared" si="0"/>
        <v>1500250.8694513589</v>
      </c>
      <c r="P40" s="171">
        <f t="shared" si="1"/>
        <v>1.4013089942222483E-2</v>
      </c>
      <c r="Q40" s="13">
        <f t="shared" si="2"/>
        <v>1.4013089942222483E-2</v>
      </c>
      <c r="R40" s="13"/>
      <c r="S40" s="13"/>
      <c r="T40" s="36"/>
      <c r="U40" s="36" t="s">
        <v>39</v>
      </c>
      <c r="V40" s="36" t="s">
        <v>40</v>
      </c>
      <c r="W40" s="36" t="s">
        <v>41</v>
      </c>
      <c r="X40" s="36" t="s">
        <v>42</v>
      </c>
      <c r="Y40" s="36" t="s">
        <v>43</v>
      </c>
    </row>
    <row r="41" spans="1:39" x14ac:dyDescent="0.2">
      <c r="A41" s="54">
        <f t="shared" si="3"/>
        <v>36250</v>
      </c>
      <c r="B41" s="10">
        <v>116079398.90000001</v>
      </c>
      <c r="C41" s="1">
        <v>592.5</v>
      </c>
      <c r="D41" s="1">
        <v>0</v>
      </c>
      <c r="E41" s="10">
        <v>31</v>
      </c>
      <c r="F41" s="10">
        <v>1</v>
      </c>
      <c r="G41" s="16">
        <v>368.28</v>
      </c>
      <c r="H41" s="16">
        <v>525.5</v>
      </c>
      <c r="I41" s="16">
        <v>0</v>
      </c>
      <c r="J41" s="16">
        <v>30.584656084656103</v>
      </c>
      <c r="K41" s="162">
        <v>106.72898964661303</v>
      </c>
      <c r="L41" s="111">
        <f>L42-(L80-L68)/12</f>
        <v>41001.375000000065</v>
      </c>
      <c r="M41" s="10">
        <v>112035</v>
      </c>
      <c r="N41" s="10">
        <f>U18+U19*C41+U20*D41+U21*E41+U22*F41+U23*G41+U24*H41+U25*I41+U26*J41</f>
        <v>116613039.75036618</v>
      </c>
      <c r="O41" s="53">
        <f t="shared" si="0"/>
        <v>533640.85036617517</v>
      </c>
      <c r="P41" s="171">
        <f t="shared" si="1"/>
        <v>4.5972054940247899E-3</v>
      </c>
      <c r="Q41" s="13">
        <f t="shared" si="2"/>
        <v>4.5972054940247899E-3</v>
      </c>
      <c r="R41" s="13"/>
      <c r="S41" s="13"/>
      <c r="T41" s="34" t="s">
        <v>36</v>
      </c>
      <c r="U41" s="34">
        <v>9</v>
      </c>
      <c r="V41" s="34">
        <v>3.4166696578252684E+16</v>
      </c>
      <c r="W41" s="34">
        <v>3796299619805854</v>
      </c>
      <c r="X41" s="34">
        <v>267.06212776328118</v>
      </c>
      <c r="Y41" s="34">
        <v>3.2361244901689729E-104</v>
      </c>
    </row>
    <row r="42" spans="1:39" x14ac:dyDescent="0.2">
      <c r="A42" s="54">
        <f t="shared" si="3"/>
        <v>36280</v>
      </c>
      <c r="B42" s="10">
        <v>102563424.80000001</v>
      </c>
      <c r="C42" s="1">
        <v>332.6</v>
      </c>
      <c r="D42" s="1">
        <v>0</v>
      </c>
      <c r="E42" s="10">
        <v>30</v>
      </c>
      <c r="F42" s="10">
        <v>1</v>
      </c>
      <c r="G42" s="16">
        <v>336.24</v>
      </c>
      <c r="H42" s="16">
        <v>528.79999999999995</v>
      </c>
      <c r="I42" s="16">
        <v>0</v>
      </c>
      <c r="J42" s="16">
        <v>30.776719576719643</v>
      </c>
      <c r="K42" s="162">
        <v>107.37520725203085</v>
      </c>
      <c r="L42" s="111">
        <f>L43-(L80-L68)/12</f>
        <v>41050.66666666673</v>
      </c>
      <c r="M42" s="10">
        <v>112256</v>
      </c>
      <c r="N42" s="10">
        <f>U18+U19*C42+U20*D42+U21*E42+U22*F42+U23*G42+U24*H42+U25*I42+U26*J42</f>
        <v>106765699.98648638</v>
      </c>
      <c r="O42" s="53">
        <f t="shared" si="0"/>
        <v>4202275.1864863634</v>
      </c>
      <c r="P42" s="171">
        <f t="shared" si="1"/>
        <v>4.0972453822411388E-2</v>
      </c>
      <c r="Q42" s="13">
        <f t="shared" si="2"/>
        <v>4.0972453822411388E-2</v>
      </c>
      <c r="R42" s="13"/>
      <c r="S42" s="13"/>
      <c r="T42" s="34" t="s">
        <v>37</v>
      </c>
      <c r="U42" s="34">
        <v>194</v>
      </c>
      <c r="V42" s="34">
        <v>2757718334720749</v>
      </c>
      <c r="W42" s="34">
        <v>14215042962478.088</v>
      </c>
      <c r="X42" s="34"/>
      <c r="Y42" s="34"/>
    </row>
    <row r="43" spans="1:39" ht="13.5" thickBot="1" x14ac:dyDescent="0.25">
      <c r="A43" s="54">
        <f t="shared" si="3"/>
        <v>36311</v>
      </c>
      <c r="B43" s="10">
        <v>104198219</v>
      </c>
      <c r="C43" s="1">
        <v>126.7</v>
      </c>
      <c r="D43" s="1">
        <v>10.5</v>
      </c>
      <c r="E43" s="10">
        <v>31</v>
      </c>
      <c r="F43" s="10">
        <v>1</v>
      </c>
      <c r="G43" s="16">
        <v>319.92</v>
      </c>
      <c r="H43" s="16">
        <v>532.5</v>
      </c>
      <c r="I43" s="16">
        <v>0</v>
      </c>
      <c r="J43" s="16">
        <v>30.992063492063494</v>
      </c>
      <c r="K43" s="162">
        <v>108.02533754504118</v>
      </c>
      <c r="L43" s="111">
        <f>L44-(L80-L68)/12</f>
        <v>41099.958333333394</v>
      </c>
      <c r="M43" s="10">
        <v>112477</v>
      </c>
      <c r="N43" s="10">
        <f>U18+U19*C43+U20*D43+U21*E43+U22*F43+U23*G43+U24*H43+U25*I43+U26*J43</f>
        <v>104959691.57870567</v>
      </c>
      <c r="O43" s="53">
        <f t="shared" si="0"/>
        <v>761472.57870566845</v>
      </c>
      <c r="P43" s="171">
        <f t="shared" si="1"/>
        <v>7.3079231681077821E-3</v>
      </c>
      <c r="Q43" s="13">
        <f t="shared" si="2"/>
        <v>7.3079231681077821E-3</v>
      </c>
      <c r="R43" s="13"/>
      <c r="S43" s="13"/>
      <c r="T43" s="35" t="s">
        <v>12</v>
      </c>
      <c r="U43" s="35">
        <v>203</v>
      </c>
      <c r="V43" s="35">
        <v>3.6924414912973432E+16</v>
      </c>
      <c r="W43" s="35"/>
      <c r="X43" s="35"/>
      <c r="Y43" s="35"/>
    </row>
    <row r="44" spans="1:39" ht="13.5" thickBot="1" x14ac:dyDescent="0.25">
      <c r="A44" s="54">
        <f t="shared" si="3"/>
        <v>36341</v>
      </c>
      <c r="B44" s="10">
        <v>116697000.7</v>
      </c>
      <c r="C44" s="1">
        <v>44.4</v>
      </c>
      <c r="D44" s="1">
        <v>76.5</v>
      </c>
      <c r="E44" s="10">
        <v>30</v>
      </c>
      <c r="F44" s="10">
        <v>0</v>
      </c>
      <c r="G44" s="16">
        <v>352.08</v>
      </c>
      <c r="H44" s="16">
        <v>540.1</v>
      </c>
      <c r="I44" s="16">
        <v>0</v>
      </c>
      <c r="J44" s="16">
        <v>31.43439153439158</v>
      </c>
      <c r="K44" s="162">
        <v>108.6794042159986</v>
      </c>
      <c r="L44" s="111">
        <f>L45-(L80-L68)/12</f>
        <v>41149.250000000058</v>
      </c>
      <c r="M44" s="10">
        <v>112698</v>
      </c>
      <c r="N44" s="10">
        <f>U18+U19*C44+U20*D44+U21*E44+U22*F44+U23*G44+U24*H44+U25*I44+U26*J44</f>
        <v>120645524.50433098</v>
      </c>
      <c r="O44" s="53">
        <f t="shared" si="0"/>
        <v>3948523.8043309748</v>
      </c>
      <c r="P44" s="171">
        <f t="shared" si="1"/>
        <v>3.3835692268404417E-2</v>
      </c>
      <c r="Q44" s="13">
        <f t="shared" si="2"/>
        <v>3.3835692268404417E-2</v>
      </c>
      <c r="R44" s="13"/>
      <c r="S44" s="13"/>
    </row>
    <row r="45" spans="1:39" ht="13.5" thickBot="1" x14ac:dyDescent="0.25">
      <c r="A45" s="54">
        <f t="shared" si="3"/>
        <v>36372</v>
      </c>
      <c r="B45" s="10">
        <v>119845846.3</v>
      </c>
      <c r="C45" s="1">
        <v>3.2</v>
      </c>
      <c r="D45" s="1">
        <v>138.9</v>
      </c>
      <c r="E45" s="10">
        <v>31</v>
      </c>
      <c r="F45" s="10">
        <v>0</v>
      </c>
      <c r="G45" s="16">
        <v>336.28800000000001</v>
      </c>
      <c r="H45" s="16">
        <v>548.1</v>
      </c>
      <c r="I45" s="16">
        <v>0</v>
      </c>
      <c r="J45" s="16">
        <v>31.899999999999977</v>
      </c>
      <c r="K45" s="162">
        <v>109.33743109869688</v>
      </c>
      <c r="L45" s="111">
        <f>L46-(L80-L68)/12</f>
        <v>41198.541666666722</v>
      </c>
      <c r="M45" s="10">
        <v>112919</v>
      </c>
      <c r="N45" s="10">
        <f>U18+U19*C45+U20*D45+U21*E45+U22*F45+U23*G45+U24*H45+U25*I45+U26*J45</f>
        <v>133363640.07289404</v>
      </c>
      <c r="O45" s="53">
        <f t="shared" si="0"/>
        <v>13517793.77289404</v>
      </c>
      <c r="P45" s="171">
        <f t="shared" si="1"/>
        <v>0.11279317715405912</v>
      </c>
      <c r="Q45" s="13">
        <f t="shared" si="2"/>
        <v>0.11279317715405912</v>
      </c>
      <c r="R45" s="13"/>
      <c r="S45" s="13"/>
      <c r="T45" s="36"/>
      <c r="U45" s="36" t="s">
        <v>44</v>
      </c>
      <c r="V45" s="36" t="s">
        <v>33</v>
      </c>
      <c r="W45" s="36" t="s">
        <v>45</v>
      </c>
      <c r="X45" s="36" t="s">
        <v>46</v>
      </c>
      <c r="Y45" s="36" t="s">
        <v>47</v>
      </c>
      <c r="Z45" s="36" t="s">
        <v>48</v>
      </c>
      <c r="AA45" s="36" t="s">
        <v>49</v>
      </c>
      <c r="AB45" s="36" t="s">
        <v>50</v>
      </c>
    </row>
    <row r="46" spans="1:39" x14ac:dyDescent="0.2">
      <c r="A46" s="54">
        <f t="shared" si="3"/>
        <v>36403</v>
      </c>
      <c r="B46" s="10">
        <v>114278129.30000001</v>
      </c>
      <c r="C46" s="1">
        <v>28.8</v>
      </c>
      <c r="D46" s="1">
        <v>30.9</v>
      </c>
      <c r="E46" s="10">
        <v>31</v>
      </c>
      <c r="F46" s="10">
        <v>0</v>
      </c>
      <c r="G46" s="16">
        <v>336.28800000000001</v>
      </c>
      <c r="H46" s="16">
        <v>553.20000000000005</v>
      </c>
      <c r="I46" s="16">
        <v>0</v>
      </c>
      <c r="J46" s="16">
        <v>32.196825396825375</v>
      </c>
      <c r="K46" s="162">
        <v>109.99944217123755</v>
      </c>
      <c r="L46" s="111">
        <f>L47-(L80-L68)/12</f>
        <v>41247.833333333387</v>
      </c>
      <c r="M46" s="10">
        <v>113140</v>
      </c>
      <c r="N46" s="10">
        <f>U18+U19*C46+U20*D46+U21*E46+U22*F46+U23*G46+U24*H46+U25*I46+U26*J46</f>
        <v>113898522.17375977</v>
      </c>
      <c r="O46" s="53">
        <f t="shared" si="0"/>
        <v>-379607.12624023855</v>
      </c>
      <c r="P46" s="171">
        <f t="shared" si="1"/>
        <v>-3.3217828167601839E-3</v>
      </c>
      <c r="Q46" s="13">
        <f t="shared" si="2"/>
        <v>3.3217828167601839E-3</v>
      </c>
      <c r="R46" s="13"/>
      <c r="S46" s="13"/>
      <c r="T46" s="34" t="s">
        <v>38</v>
      </c>
      <c r="U46" s="168">
        <v>-88748467.793523639</v>
      </c>
      <c r="V46" s="34">
        <v>11226365.466966664</v>
      </c>
      <c r="W46" s="167">
        <v>-7.9053606489708601</v>
      </c>
      <c r="X46" s="34">
        <v>1.966202110308314E-13</v>
      </c>
      <c r="Y46" s="34">
        <v>-110889863.91292329</v>
      </c>
      <c r="Z46" s="34">
        <v>-66607071.674123988</v>
      </c>
      <c r="AA46" s="34">
        <v>-110889863.91292329</v>
      </c>
      <c r="AB46" s="34">
        <v>-66607071.674123988</v>
      </c>
      <c r="AD46" s="36"/>
      <c r="AE46" s="36" t="s">
        <v>4</v>
      </c>
      <c r="AF46" s="36" t="s">
        <v>5</v>
      </c>
      <c r="AG46" s="36" t="s">
        <v>8</v>
      </c>
      <c r="AH46" s="36" t="s">
        <v>6</v>
      </c>
      <c r="AI46" s="36" t="s">
        <v>27</v>
      </c>
      <c r="AJ46" s="36" t="s">
        <v>7</v>
      </c>
      <c r="AK46" s="36" t="s">
        <v>156</v>
      </c>
      <c r="AL46" s="36" t="s">
        <v>157</v>
      </c>
      <c r="AM46" s="36" t="s">
        <v>109</v>
      </c>
    </row>
    <row r="47" spans="1:39" x14ac:dyDescent="0.2">
      <c r="A47" s="54">
        <f t="shared" si="3"/>
        <v>36433</v>
      </c>
      <c r="B47" s="10">
        <v>109787767.09999999</v>
      </c>
      <c r="C47" s="1">
        <v>88.9</v>
      </c>
      <c r="D47" s="1">
        <v>27.7</v>
      </c>
      <c r="E47" s="10">
        <v>30</v>
      </c>
      <c r="F47" s="10">
        <v>1</v>
      </c>
      <c r="G47" s="16">
        <v>336.24</v>
      </c>
      <c r="H47" s="16">
        <v>554.9</v>
      </c>
      <c r="I47" s="16">
        <v>0</v>
      </c>
      <c r="J47" s="16">
        <v>32.295767195767212</v>
      </c>
      <c r="K47" s="162">
        <v>110.66546155690358</v>
      </c>
      <c r="L47" s="111">
        <f>L48-(L80-L68)/12</f>
        <v>41297.125000000051</v>
      </c>
      <c r="M47" s="10">
        <v>113361</v>
      </c>
      <c r="N47" s="10">
        <f>U18+U19*C47+U20*D47+U21*E47+U22*F47+U23*G47+U24*H47+U25*I47+U26*J47</f>
        <v>111881577.50006779</v>
      </c>
      <c r="O47" s="53">
        <f t="shared" si="0"/>
        <v>2093810.4000677913</v>
      </c>
      <c r="P47" s="171">
        <f t="shared" si="1"/>
        <v>1.9071436238981415E-2</v>
      </c>
      <c r="Q47" s="13">
        <f t="shared" si="2"/>
        <v>1.9071436238981415E-2</v>
      </c>
      <c r="R47" s="13"/>
      <c r="S47" s="13"/>
      <c r="T47" s="34" t="s">
        <v>4</v>
      </c>
      <c r="U47" s="168">
        <v>18949.953151648544</v>
      </c>
      <c r="V47" s="34">
        <v>1555.3772471274481</v>
      </c>
      <c r="W47" s="167">
        <v>12.183509297597292</v>
      </c>
      <c r="X47" s="34">
        <v>9.9650454553217516E-26</v>
      </c>
      <c r="Y47" s="34">
        <v>15882.333106222095</v>
      </c>
      <c r="Z47" s="34">
        <v>22017.573197074991</v>
      </c>
      <c r="AA47" s="34">
        <v>15882.333106222095</v>
      </c>
      <c r="AB47" s="34">
        <v>22017.573197074991</v>
      </c>
      <c r="AD47" s="34" t="s">
        <v>4</v>
      </c>
      <c r="AE47" s="34">
        <v>1</v>
      </c>
      <c r="AF47" s="34"/>
      <c r="AG47" s="34"/>
      <c r="AH47" s="34"/>
      <c r="AI47" s="34"/>
      <c r="AJ47" s="34"/>
      <c r="AK47" s="34"/>
      <c r="AL47" s="34"/>
      <c r="AM47" s="34"/>
    </row>
    <row r="48" spans="1:39" x14ac:dyDescent="0.2">
      <c r="A48" s="54">
        <f t="shared" si="3"/>
        <v>36464</v>
      </c>
      <c r="B48" s="10">
        <v>108457636.09999999</v>
      </c>
      <c r="C48" s="1">
        <v>319</v>
      </c>
      <c r="D48" s="1">
        <v>0</v>
      </c>
      <c r="E48" s="10">
        <v>31</v>
      </c>
      <c r="F48" s="10">
        <v>1</v>
      </c>
      <c r="G48" s="16">
        <v>319.92</v>
      </c>
      <c r="H48" s="16">
        <v>552.6</v>
      </c>
      <c r="I48" s="16">
        <v>0</v>
      </c>
      <c r="J48" s="16">
        <v>32.161904761904793</v>
      </c>
      <c r="K48" s="162">
        <v>111.33551352503846</v>
      </c>
      <c r="L48" s="111">
        <f>L49-(L80-L68)/12</f>
        <v>41346.416666666715</v>
      </c>
      <c r="M48" s="10">
        <v>113582</v>
      </c>
      <c r="N48" s="10">
        <f>U18+U19*C48+U20*D48+U21*E48+U22*F48+U23*G48+U24*H48+U25*I48+U26*J48</f>
        <v>110919908.6147728</v>
      </c>
      <c r="O48" s="53">
        <f t="shared" si="0"/>
        <v>2462272.5147728026</v>
      </c>
      <c r="P48" s="171">
        <f t="shared" si="1"/>
        <v>2.270262015025425E-2</v>
      </c>
      <c r="Q48" s="13">
        <f t="shared" si="2"/>
        <v>2.270262015025425E-2</v>
      </c>
      <c r="R48" s="13"/>
      <c r="S48" s="13"/>
      <c r="T48" s="34" t="s">
        <v>5</v>
      </c>
      <c r="U48" s="168">
        <v>173062.1941932168</v>
      </c>
      <c r="V48" s="34">
        <v>14948.133300527186</v>
      </c>
      <c r="W48" s="167">
        <v>11.577512102271211</v>
      </c>
      <c r="X48" s="34">
        <v>6.6175940969912104E-24</v>
      </c>
      <c r="Y48" s="34">
        <v>143580.47621187716</v>
      </c>
      <c r="Z48" s="34">
        <v>202543.91217455643</v>
      </c>
      <c r="AA48" s="34">
        <v>143580.47621187716</v>
      </c>
      <c r="AB48" s="34">
        <v>202543.91217455643</v>
      </c>
      <c r="AD48" s="34" t="s">
        <v>5</v>
      </c>
      <c r="AE48" s="166">
        <v>-0.65732569222408876</v>
      </c>
      <c r="AF48" s="166">
        <v>1</v>
      </c>
      <c r="AG48" s="166"/>
      <c r="AH48" s="166"/>
      <c r="AI48" s="166"/>
      <c r="AJ48" s="166"/>
      <c r="AK48" s="166"/>
      <c r="AL48" s="166"/>
      <c r="AM48" s="166"/>
    </row>
    <row r="49" spans="1:39" x14ac:dyDescent="0.2">
      <c r="A49" s="54">
        <f t="shared" si="3"/>
        <v>36494</v>
      </c>
      <c r="B49" s="10">
        <v>113412855.90000001</v>
      </c>
      <c r="C49" s="1">
        <v>405.1</v>
      </c>
      <c r="D49" s="1">
        <v>0</v>
      </c>
      <c r="E49" s="10">
        <v>30</v>
      </c>
      <c r="F49" s="10">
        <v>1</v>
      </c>
      <c r="G49" s="16">
        <v>352.08</v>
      </c>
      <c r="H49" s="16">
        <v>549.6</v>
      </c>
      <c r="I49" s="16">
        <v>0</v>
      </c>
      <c r="J49" s="16">
        <v>31.987301587301658</v>
      </c>
      <c r="K49" s="162">
        <v>112.00962249193054</v>
      </c>
      <c r="L49" s="111">
        <f>L50-(L80-L68)/12</f>
        <v>41395.708333333379</v>
      </c>
      <c r="M49" s="10">
        <v>113803</v>
      </c>
      <c r="N49" s="10">
        <f>U18+U19*C49+U20*D49+U21*E49+U22*F49+U23*G49+U24*H49+U25*I49+U26*J49</f>
        <v>113941630.15587719</v>
      </c>
      <c r="O49" s="53">
        <f t="shared" si="0"/>
        <v>528774.25587718189</v>
      </c>
      <c r="P49" s="171">
        <f t="shared" si="1"/>
        <v>4.6623837454849056E-3</v>
      </c>
      <c r="Q49" s="13">
        <f t="shared" si="2"/>
        <v>4.6623837454849056E-3</v>
      </c>
      <c r="R49" s="13"/>
      <c r="S49" s="13"/>
      <c r="T49" s="34" t="s">
        <v>8</v>
      </c>
      <c r="U49" s="168">
        <v>290192.82755770802</v>
      </c>
      <c r="V49" s="34">
        <v>102674.13644032195</v>
      </c>
      <c r="W49" s="167">
        <v>2.8263478770661874</v>
      </c>
      <c r="X49" s="34">
        <v>5.2013243425917234E-3</v>
      </c>
      <c r="Y49" s="34">
        <v>87691.961820552591</v>
      </c>
      <c r="Z49" s="34">
        <v>492693.69329486345</v>
      </c>
      <c r="AA49" s="34">
        <v>87691.961820552591</v>
      </c>
      <c r="AB49" s="34">
        <v>492693.69329486345</v>
      </c>
      <c r="AD49" s="34" t="s">
        <v>8</v>
      </c>
      <c r="AE49" s="166">
        <v>-2.7697218286445859E-2</v>
      </c>
      <c r="AF49" s="166">
        <v>1.9956897811351324E-2</v>
      </c>
      <c r="AG49" s="166">
        <v>1</v>
      </c>
      <c r="AH49" s="166"/>
      <c r="AI49" s="166"/>
      <c r="AJ49" s="166"/>
      <c r="AK49" s="166"/>
      <c r="AL49" s="166"/>
      <c r="AM49" s="166"/>
    </row>
    <row r="50" spans="1:39" x14ac:dyDescent="0.2">
      <c r="A50" s="54">
        <f t="shared" si="3"/>
        <v>36525</v>
      </c>
      <c r="B50" s="10">
        <v>117802224.19999999</v>
      </c>
      <c r="C50" s="1">
        <v>623.70000000000005</v>
      </c>
      <c r="D50" s="1">
        <v>0</v>
      </c>
      <c r="E50" s="10">
        <v>31</v>
      </c>
      <c r="F50" s="10">
        <v>0</v>
      </c>
      <c r="G50" s="16">
        <v>336.28800000000001</v>
      </c>
      <c r="H50" s="16">
        <v>548.1</v>
      </c>
      <c r="I50" s="16">
        <v>0</v>
      </c>
      <c r="J50" s="16">
        <v>31.899999999999977</v>
      </c>
      <c r="K50" s="162">
        <v>112.68781302170287</v>
      </c>
      <c r="L50" s="111">
        <f>L51-(L80-L68)/12</f>
        <v>41445.000000000044</v>
      </c>
      <c r="M50" s="10">
        <v>114024</v>
      </c>
      <c r="N50" s="10">
        <f>U18+U19*C50+U20*D50+U21*E50+U22*F50+U23*G50+U24*H50+U25*I50+U26*J50</f>
        <v>119766764.06640002</v>
      </c>
      <c r="O50" s="53">
        <f t="shared" si="0"/>
        <v>1964539.8664000332</v>
      </c>
      <c r="P50" s="171">
        <f t="shared" si="1"/>
        <v>1.6676594009504563E-2</v>
      </c>
      <c r="Q50" s="13">
        <f t="shared" si="2"/>
        <v>1.6676594009504563E-2</v>
      </c>
      <c r="R50" s="13"/>
      <c r="S50" s="13"/>
      <c r="T50" s="34" t="s">
        <v>6</v>
      </c>
      <c r="U50" s="168">
        <v>1714025.6439336045</v>
      </c>
      <c r="V50" s="34">
        <v>359405.25352124718</v>
      </c>
      <c r="W50" s="167">
        <v>4.7690611841105861</v>
      </c>
      <c r="X50" s="34">
        <v>3.6285285416756419E-6</v>
      </c>
      <c r="Y50" s="34">
        <v>1005182.3313741969</v>
      </c>
      <c r="Z50" s="34">
        <v>2422868.9564930121</v>
      </c>
      <c r="AA50" s="34">
        <v>1005182.3313741969</v>
      </c>
      <c r="AB50" s="34">
        <v>2422868.9564930121</v>
      </c>
      <c r="AD50" s="34" t="s">
        <v>6</v>
      </c>
      <c r="AE50" s="166">
        <v>-0.16287731173737979</v>
      </c>
      <c r="AF50" s="166">
        <v>0.17657599493150186</v>
      </c>
      <c r="AG50" s="166">
        <v>4.7529899368226811E-3</v>
      </c>
      <c r="AH50" s="166">
        <v>1</v>
      </c>
      <c r="AI50" s="166"/>
      <c r="AJ50" s="166"/>
      <c r="AK50" s="166"/>
      <c r="AL50" s="166"/>
      <c r="AM50" s="166"/>
    </row>
    <row r="51" spans="1:39" x14ac:dyDescent="0.2">
      <c r="A51" s="54">
        <f>EOMONTH(A50,1)</f>
        <v>36556</v>
      </c>
      <c r="B51" s="10">
        <v>124909563.80000001</v>
      </c>
      <c r="C51" s="1">
        <v>773</v>
      </c>
      <c r="D51" s="1">
        <v>0</v>
      </c>
      <c r="E51" s="10">
        <v>31</v>
      </c>
      <c r="F51" s="10">
        <v>0</v>
      </c>
      <c r="G51" s="16">
        <v>319.92</v>
      </c>
      <c r="H51" s="16">
        <v>542.79999999999995</v>
      </c>
      <c r="I51" s="16">
        <v>0</v>
      </c>
      <c r="J51" s="16">
        <v>30.984355179704039</v>
      </c>
      <c r="K51" s="162">
        <v>113.20550742744629</v>
      </c>
      <c r="L51" s="111">
        <f>L52-(L80-L68)/12</f>
        <v>41494.291666666708</v>
      </c>
      <c r="M51" s="10">
        <v>114285</v>
      </c>
      <c r="N51" s="10">
        <f>U18+U19*C51+U20*D51+U21*E51+U22*F51+U23*G51+U24*H51+U25*I51+U26*J51</f>
        <v>120492821.90546007</v>
      </c>
      <c r="O51" s="53">
        <f t="shared" si="0"/>
        <v>-4416741.8945399374</v>
      </c>
      <c r="P51" s="171">
        <f t="shared" si="1"/>
        <v>-3.5359517399418991E-2</v>
      </c>
      <c r="Q51" s="13">
        <f t="shared" si="2"/>
        <v>3.5359517399418991E-2</v>
      </c>
      <c r="R51" s="13"/>
      <c r="S51" s="13"/>
      <c r="T51" s="34" t="s">
        <v>27</v>
      </c>
      <c r="U51" s="168">
        <v>-2489208.5878322618</v>
      </c>
      <c r="V51" s="34">
        <v>683819.8319294611</v>
      </c>
      <c r="W51" s="167">
        <v>-3.6401526712214953</v>
      </c>
      <c r="X51" s="34">
        <v>3.4941421313711645E-4</v>
      </c>
      <c r="Y51" s="34">
        <v>-3837884.2404825115</v>
      </c>
      <c r="Z51" s="34">
        <v>-1140532.9351820122</v>
      </c>
      <c r="AA51" s="34">
        <v>-3837884.2404825115</v>
      </c>
      <c r="AB51" s="34">
        <v>-1140532.9351820122</v>
      </c>
      <c r="AD51" s="34" t="s">
        <v>27</v>
      </c>
      <c r="AE51" s="166">
        <v>-6.1882653897409629E-2</v>
      </c>
      <c r="AF51" s="166">
        <v>-0.41763573420816941</v>
      </c>
      <c r="AG51" s="166">
        <v>7.9718391525257642E-3</v>
      </c>
      <c r="AH51" s="166">
        <v>6.7964712445596029E-2</v>
      </c>
      <c r="AI51" s="166">
        <v>1</v>
      </c>
      <c r="AJ51" s="166"/>
      <c r="AK51" s="166"/>
      <c r="AL51" s="166"/>
      <c r="AM51" s="166"/>
    </row>
    <row r="52" spans="1:39" x14ac:dyDescent="0.2">
      <c r="A52" s="54">
        <f t="shared" si="3"/>
        <v>36585</v>
      </c>
      <c r="B52" s="10">
        <v>116693943</v>
      </c>
      <c r="C52" s="1">
        <v>643.79999999999995</v>
      </c>
      <c r="D52" s="1">
        <v>0</v>
      </c>
      <c r="E52" s="10">
        <v>28</v>
      </c>
      <c r="F52" s="10">
        <v>0</v>
      </c>
      <c r="G52" s="16">
        <v>336.16799999999995</v>
      </c>
      <c r="H52" s="16">
        <v>537.20000000000005</v>
      </c>
      <c r="I52" s="16">
        <v>0</v>
      </c>
      <c r="J52" s="16">
        <v>30.664693446088791</v>
      </c>
      <c r="K52" s="162">
        <v>113.72558015157706</v>
      </c>
      <c r="L52" s="111">
        <f>L53-(L80-L68)/12</f>
        <v>41543.583333333372</v>
      </c>
      <c r="M52" s="10">
        <v>114546</v>
      </c>
      <c r="N52" s="10">
        <f>U18+U19*C52+U20*D52+U21*E52+U22*F52+U23*G52+U24*H52+U25*I52+U26*J52</f>
        <v>113587025.21155983</v>
      </c>
      <c r="O52" s="53">
        <f t="shared" si="0"/>
        <v>-3106917.7884401679</v>
      </c>
      <c r="P52" s="171">
        <f t="shared" si="1"/>
        <v>-2.6624499169079992E-2</v>
      </c>
      <c r="Q52" s="13">
        <f t="shared" si="2"/>
        <v>2.6624499169079992E-2</v>
      </c>
      <c r="R52" s="13"/>
      <c r="S52" s="13"/>
      <c r="T52" s="34" t="s">
        <v>7</v>
      </c>
      <c r="U52" s="168">
        <v>104896.86392670045</v>
      </c>
      <c r="V52" s="34">
        <v>17032.491559475213</v>
      </c>
      <c r="W52" s="167">
        <v>6.1586329610330024</v>
      </c>
      <c r="X52" s="34">
        <v>4.1434508563821344E-9</v>
      </c>
      <c r="Y52" s="34">
        <v>71304.233824968192</v>
      </c>
      <c r="Z52" s="34">
        <v>138489.4940284327</v>
      </c>
      <c r="AA52" s="34">
        <v>71304.233824968192</v>
      </c>
      <c r="AB52" s="34">
        <v>138489.4940284327</v>
      </c>
      <c r="AD52" s="34" t="s">
        <v>7</v>
      </c>
      <c r="AE52" s="166">
        <v>-0.12368205799370263</v>
      </c>
      <c r="AF52" s="166">
        <v>8.1861162715436989E-2</v>
      </c>
      <c r="AG52" s="166">
        <v>-1.3369122804556006E-2</v>
      </c>
      <c r="AH52" s="166">
        <v>0.30549054751919025</v>
      </c>
      <c r="AI52" s="166">
        <v>7.6123307934771497E-2</v>
      </c>
      <c r="AJ52" s="166">
        <v>1</v>
      </c>
      <c r="AK52" s="166"/>
      <c r="AL52" s="166"/>
      <c r="AM52" s="166"/>
    </row>
    <row r="53" spans="1:39" x14ac:dyDescent="0.2">
      <c r="A53" s="54">
        <f t="shared" si="3"/>
        <v>36616</v>
      </c>
      <c r="B53" s="10">
        <v>116756801</v>
      </c>
      <c r="C53" s="1">
        <v>446.9</v>
      </c>
      <c r="D53" s="1">
        <v>0</v>
      </c>
      <c r="E53" s="10">
        <v>31</v>
      </c>
      <c r="F53" s="10">
        <v>1</v>
      </c>
      <c r="G53" s="16">
        <v>368.28</v>
      </c>
      <c r="H53" s="16">
        <v>534.70000000000005</v>
      </c>
      <c r="I53" s="16">
        <v>0</v>
      </c>
      <c r="J53" s="16">
        <v>30.52198731501062</v>
      </c>
      <c r="K53" s="162">
        <v>114.24804212022897</v>
      </c>
      <c r="L53" s="111">
        <f>L54-(L80-L68)/12</f>
        <v>41592.875000000036</v>
      </c>
      <c r="M53" s="10">
        <v>114807</v>
      </c>
      <c r="N53" s="10">
        <f>U18+U19*C53+U20*D53+U21*E53+U22*F53+U23*G53+U24*H53+U25*I53+U26*J53</f>
        <v>115423881.32107329</v>
      </c>
      <c r="O53" s="53">
        <f t="shared" si="0"/>
        <v>-1332919.6789267063</v>
      </c>
      <c r="P53" s="171">
        <f t="shared" si="1"/>
        <v>-1.1416205887027568E-2</v>
      </c>
      <c r="Q53" s="13">
        <f t="shared" si="2"/>
        <v>1.1416205887027568E-2</v>
      </c>
      <c r="R53" s="13"/>
      <c r="S53" s="13"/>
      <c r="T53" s="34" t="s">
        <v>156</v>
      </c>
      <c r="U53" s="168">
        <v>151079.96939816684</v>
      </c>
      <c r="V53" s="34">
        <v>24573.386725247641</v>
      </c>
      <c r="W53" s="167">
        <v>6.148113448397468</v>
      </c>
      <c r="X53" s="34">
        <v>4.3799599185656708E-9</v>
      </c>
      <c r="Y53" s="34">
        <v>102614.67659437604</v>
      </c>
      <c r="Z53" s="34">
        <v>199545.26220195764</v>
      </c>
      <c r="AA53" s="34">
        <v>102614.67659437604</v>
      </c>
      <c r="AB53" s="34">
        <v>199545.26220195764</v>
      </c>
      <c r="AD53" s="34" t="s">
        <v>156</v>
      </c>
      <c r="AE53" s="166">
        <v>-8.0739758940797171E-2</v>
      </c>
      <c r="AF53" s="166">
        <v>7.4657114768289012E-2</v>
      </c>
      <c r="AG53" s="166">
        <v>0.98079282836982606</v>
      </c>
      <c r="AH53" s="166">
        <v>2.7864746520187028E-2</v>
      </c>
      <c r="AI53" s="166">
        <v>-2.2589348937134778E-2</v>
      </c>
      <c r="AJ53" s="166">
        <v>-1.2368563068060062E-2</v>
      </c>
      <c r="AK53" s="166">
        <v>1</v>
      </c>
      <c r="AL53" s="166"/>
      <c r="AM53" s="166"/>
    </row>
    <row r="54" spans="1:39" x14ac:dyDescent="0.2">
      <c r="A54" s="54">
        <f t="shared" si="3"/>
        <v>36646</v>
      </c>
      <c r="B54" s="10">
        <v>106597677</v>
      </c>
      <c r="C54" s="1">
        <v>358.3</v>
      </c>
      <c r="D54" s="1">
        <v>0</v>
      </c>
      <c r="E54" s="10">
        <v>30</v>
      </c>
      <c r="F54" s="10">
        <v>1</v>
      </c>
      <c r="G54" s="16">
        <v>303.83999999999997</v>
      </c>
      <c r="H54" s="16">
        <v>538.6</v>
      </c>
      <c r="I54" s="16">
        <v>0</v>
      </c>
      <c r="J54" s="16">
        <v>30.744608879492603</v>
      </c>
      <c r="K54" s="162">
        <v>114.77290430973115</v>
      </c>
      <c r="L54" s="111">
        <f>L55-(L80-L68)/12</f>
        <v>41642.166666666701</v>
      </c>
      <c r="M54" s="10">
        <v>115068</v>
      </c>
      <c r="N54" s="10">
        <f>U18+U19*C54+U20*D54+U21*E54+U22*F54+U23*G54+U24*H54+U25*I54+U26*J54</f>
        <v>106062122.54318832</v>
      </c>
      <c r="O54" s="53">
        <f t="shared" si="0"/>
        <v>-535554.45681168139</v>
      </c>
      <c r="P54" s="171">
        <f t="shared" si="1"/>
        <v>-5.0240724927962683E-3</v>
      </c>
      <c r="Q54" s="13">
        <f t="shared" si="2"/>
        <v>5.0240724927962683E-3</v>
      </c>
      <c r="R54" s="13"/>
      <c r="S54" s="13"/>
      <c r="T54" s="34" t="s">
        <v>157</v>
      </c>
      <c r="U54" s="168">
        <v>-230790.50874357007</v>
      </c>
      <c r="V54" s="34">
        <v>41090.307115278476</v>
      </c>
      <c r="W54" s="167">
        <v>-5.6166654606909958</v>
      </c>
      <c r="X54" s="34">
        <v>6.6788726104223383E-8</v>
      </c>
      <c r="Y54" s="34">
        <v>-311831.5873708626</v>
      </c>
      <c r="Z54" s="34">
        <v>-149749.43011627757</v>
      </c>
      <c r="AA54" s="34">
        <v>-311831.5873708626</v>
      </c>
      <c r="AB54" s="34">
        <v>-149749.43011627757</v>
      </c>
      <c r="AD54" s="34" t="s">
        <v>157</v>
      </c>
      <c r="AE54" s="166">
        <v>-4.3083411192005761E-2</v>
      </c>
      <c r="AF54" s="166">
        <v>1.3305690253802916E-2</v>
      </c>
      <c r="AG54" s="166">
        <v>0.39439226848867642</v>
      </c>
      <c r="AH54" s="166">
        <v>3.0610729498771975E-2</v>
      </c>
      <c r="AI54" s="166">
        <v>-1.1162071069360319E-2</v>
      </c>
      <c r="AJ54" s="166">
        <v>-3.0531419563429946E-2</v>
      </c>
      <c r="AK54" s="166">
        <v>0.45368917035487888</v>
      </c>
      <c r="AL54" s="166">
        <v>1</v>
      </c>
      <c r="AM54" s="166"/>
    </row>
    <row r="55" spans="1:39" ht="13.5" thickBot="1" x14ac:dyDescent="0.25">
      <c r="A55" s="54">
        <f t="shared" si="3"/>
        <v>36677</v>
      </c>
      <c r="B55" s="10">
        <v>111500528</v>
      </c>
      <c r="C55" s="1">
        <v>152.4</v>
      </c>
      <c r="D55" s="1">
        <v>18.7</v>
      </c>
      <c r="E55" s="10">
        <v>31</v>
      </c>
      <c r="F55" s="10">
        <v>1</v>
      </c>
      <c r="G55" s="16">
        <v>351.91199999999998</v>
      </c>
      <c r="H55" s="16">
        <v>548.29999999999995</v>
      </c>
      <c r="I55" s="16">
        <v>0</v>
      </c>
      <c r="J55" s="16">
        <v>31.298308668076174</v>
      </c>
      <c r="K55" s="162">
        <v>115.30017774683859</v>
      </c>
      <c r="L55" s="111">
        <f>L56-(L80-L68)/12</f>
        <v>41691.458333333365</v>
      </c>
      <c r="M55" s="10">
        <v>115329</v>
      </c>
      <c r="N55" s="10">
        <f>U18+U19*C55+U20*D55+U21*E55+U22*F55+U23*G55+U24*H55+U25*I55+U26*J55</f>
        <v>113622410.52851166</v>
      </c>
      <c r="O55" s="53">
        <f t="shared" si="0"/>
        <v>2121882.5285116583</v>
      </c>
      <c r="P55" s="171">
        <f t="shared" si="1"/>
        <v>1.9030246462255842E-2</v>
      </c>
      <c r="Q55" s="13">
        <f t="shared" si="2"/>
        <v>1.9030246462255842E-2</v>
      </c>
      <c r="R55" s="13"/>
      <c r="S55" s="13"/>
      <c r="T55" s="35" t="s">
        <v>109</v>
      </c>
      <c r="U55" s="169">
        <v>-5.1293820921034179</v>
      </c>
      <c r="V55" s="35">
        <v>0.50447410100820478</v>
      </c>
      <c r="W55" s="169">
        <v>-10.167780827305529</v>
      </c>
      <c r="X55" s="35">
        <v>9.7239306755624662E-20</v>
      </c>
      <c r="Y55" s="35">
        <v>-6.1243399825504614</v>
      </c>
      <c r="Z55" s="35">
        <v>-4.1344242016563744</v>
      </c>
      <c r="AA55" s="35">
        <v>-6.1243399825504614</v>
      </c>
      <c r="AB55" s="35">
        <v>-4.1344242016563744</v>
      </c>
      <c r="AD55" s="35" t="s">
        <v>109</v>
      </c>
      <c r="AE55" s="170">
        <v>-5.7236904325073584E-2</v>
      </c>
      <c r="AF55" s="170">
        <v>4.0971179305515679E-2</v>
      </c>
      <c r="AG55" s="170">
        <v>0.60781086621628</v>
      </c>
      <c r="AH55" s="170">
        <v>1.7607388238735183E-2</v>
      </c>
      <c r="AI55" s="170">
        <v>7.0914186493471172E-3</v>
      </c>
      <c r="AJ55" s="170">
        <v>-6.9874771318675817E-3</v>
      </c>
      <c r="AK55" s="170">
        <v>0.67167574586567824</v>
      </c>
      <c r="AL55" s="170">
        <v>0.74035545484753995</v>
      </c>
      <c r="AM55" s="170">
        <v>1</v>
      </c>
    </row>
    <row r="56" spans="1:39" x14ac:dyDescent="0.2">
      <c r="A56" s="54">
        <f t="shared" si="3"/>
        <v>36707</v>
      </c>
      <c r="B56" s="10">
        <v>115580544</v>
      </c>
      <c r="C56" s="1">
        <v>41.1</v>
      </c>
      <c r="D56" s="1">
        <v>35.4</v>
      </c>
      <c r="E56" s="10">
        <v>30</v>
      </c>
      <c r="F56" s="10">
        <v>0</v>
      </c>
      <c r="G56" s="16">
        <v>352.08</v>
      </c>
      <c r="H56" s="16">
        <v>554.1</v>
      </c>
      <c r="I56" s="16">
        <v>0</v>
      </c>
      <c r="J56" s="16">
        <v>31.629386892177649</v>
      </c>
      <c r="K56" s="162">
        <v>115.82987350896386</v>
      </c>
      <c r="L56" s="111">
        <f>L57-(L80-L68)/12</f>
        <v>41740.750000000029</v>
      </c>
      <c r="M56" s="10">
        <v>115590</v>
      </c>
      <c r="N56" s="10">
        <f>U18+U19*C56+U20*D56+U21*E56+U22*F56+U23*G56+U24*H56+U25*I56+U26*J56</f>
        <v>115466678.42933047</v>
      </c>
      <c r="O56" s="53">
        <f t="shared" si="0"/>
        <v>-113865.57066953182</v>
      </c>
      <c r="P56" s="171">
        <f t="shared" si="1"/>
        <v>-9.8516209328043843E-4</v>
      </c>
      <c r="Q56" s="13">
        <f t="shared" si="2"/>
        <v>9.8516209328043843E-4</v>
      </c>
      <c r="R56" s="13"/>
      <c r="S56" s="13"/>
    </row>
    <row r="57" spans="1:39" x14ac:dyDescent="0.2">
      <c r="A57" s="54">
        <f t="shared" si="3"/>
        <v>36738</v>
      </c>
      <c r="B57" s="10">
        <v>113052205</v>
      </c>
      <c r="C57" s="1">
        <v>18.600000000000001</v>
      </c>
      <c r="D57" s="1">
        <v>44.8</v>
      </c>
      <c r="E57" s="10">
        <v>31</v>
      </c>
      <c r="F57" s="10">
        <v>0</v>
      </c>
      <c r="G57" s="16">
        <v>319.92</v>
      </c>
      <c r="H57" s="16">
        <v>557.4</v>
      </c>
      <c r="I57" s="16">
        <v>0</v>
      </c>
      <c r="J57" s="16">
        <v>31.81775898520084</v>
      </c>
      <c r="K57" s="162">
        <v>116.36200272440982</v>
      </c>
      <c r="L57" s="111">
        <f>L58-(L80-L68)/12</f>
        <v>41790.041666666693</v>
      </c>
      <c r="M57" s="10">
        <v>115851</v>
      </c>
      <c r="N57" s="10">
        <f>U18+U19*C57+U20*D57+U21*E57+U22*F57+U23*G57+U24*H57+U25*I57+U26*J57</f>
        <v>115704760.11627916</v>
      </c>
      <c r="O57" s="53">
        <f t="shared" si="0"/>
        <v>2652555.116279155</v>
      </c>
      <c r="P57" s="171">
        <f t="shared" si="1"/>
        <v>2.3463099337860373E-2</v>
      </c>
      <c r="Q57" s="13">
        <f t="shared" si="2"/>
        <v>2.3463099337860373E-2</v>
      </c>
      <c r="R57" s="13"/>
      <c r="S57" s="13"/>
    </row>
    <row r="58" spans="1:39" x14ac:dyDescent="0.2">
      <c r="A58" s="54">
        <f t="shared" si="3"/>
        <v>36769</v>
      </c>
      <c r="B58" s="10">
        <v>120498144</v>
      </c>
      <c r="C58" s="1">
        <v>29.7</v>
      </c>
      <c r="D58" s="1">
        <v>46.3</v>
      </c>
      <c r="E58" s="10">
        <v>31</v>
      </c>
      <c r="F58" s="10">
        <v>0</v>
      </c>
      <c r="G58" s="16">
        <v>351.91199999999998</v>
      </c>
      <c r="H58" s="16">
        <v>556.6</v>
      </c>
      <c r="I58" s="16">
        <v>0</v>
      </c>
      <c r="J58" s="16">
        <v>31.77209302325582</v>
      </c>
      <c r="K58" s="162">
        <v>116.89657657260338</v>
      </c>
      <c r="L58" s="111">
        <f>L59-(L80-L68)/12</f>
        <v>41839.333333333358</v>
      </c>
      <c r="M58" s="10">
        <v>116112</v>
      </c>
      <c r="N58" s="10">
        <f>U18+U19*C58+U20*D58+U21*E58+U22*F58+U23*G58+U24*H58+U25*I58+U26*J58</f>
        <v>119371898.70504569</v>
      </c>
      <c r="O58" s="53">
        <f t="shared" si="0"/>
        <v>-1126245.2949543148</v>
      </c>
      <c r="P58" s="171">
        <f t="shared" si="1"/>
        <v>-9.3465779435931793E-3</v>
      </c>
      <c r="Q58" s="13">
        <f t="shared" si="2"/>
        <v>9.3465779435931793E-3</v>
      </c>
      <c r="R58" s="13"/>
      <c r="S58" s="13"/>
    </row>
    <row r="59" spans="1:39" x14ac:dyDescent="0.2">
      <c r="A59" s="54">
        <f t="shared" si="3"/>
        <v>36799</v>
      </c>
      <c r="B59" s="10">
        <v>111937721</v>
      </c>
      <c r="C59" s="1">
        <v>134</v>
      </c>
      <c r="D59" s="1">
        <v>23.8</v>
      </c>
      <c r="E59" s="10">
        <v>30</v>
      </c>
      <c r="F59" s="10">
        <v>1</v>
      </c>
      <c r="G59" s="16">
        <v>319.68</v>
      </c>
      <c r="H59" s="16">
        <v>553.6</v>
      </c>
      <c r="I59" s="16">
        <v>0</v>
      </c>
      <c r="J59" s="16">
        <v>31.60084566596197</v>
      </c>
      <c r="K59" s="162">
        <v>117.43360628433041</v>
      </c>
      <c r="L59" s="111">
        <f>L60-(L80-L68)/12</f>
        <v>41888.625000000022</v>
      </c>
      <c r="M59" s="10">
        <v>116373</v>
      </c>
      <c r="N59" s="10">
        <f>U18+U19*C59+U20*D59+U21*E59+U22*F59+U23*G59+U24*H59+U25*I59+U26*J59</f>
        <v>110348387.79666485</v>
      </c>
      <c r="O59" s="53">
        <f t="shared" si="0"/>
        <v>-1589333.2033351511</v>
      </c>
      <c r="P59" s="171">
        <f t="shared" si="1"/>
        <v>-1.4198370211013596E-2</v>
      </c>
      <c r="Q59" s="13">
        <f t="shared" si="2"/>
        <v>1.4198370211013596E-2</v>
      </c>
      <c r="R59" s="13"/>
      <c r="S59" s="13"/>
      <c r="T59" s="63"/>
      <c r="U59" s="63"/>
      <c r="V59" s="63"/>
      <c r="W59" s="63"/>
      <c r="X59" s="63"/>
      <c r="Y59" s="63"/>
      <c r="Z59" s="63"/>
      <c r="AA59" s="63"/>
      <c r="AB59" s="63"/>
    </row>
    <row r="60" spans="1:39" x14ac:dyDescent="0.2">
      <c r="A60" s="54">
        <f t="shared" si="3"/>
        <v>36830</v>
      </c>
      <c r="B60" s="10">
        <v>112766680</v>
      </c>
      <c r="C60" s="1">
        <v>251.6</v>
      </c>
      <c r="D60" s="1">
        <v>0</v>
      </c>
      <c r="E60" s="10">
        <v>31</v>
      </c>
      <c r="F60" s="10">
        <v>1</v>
      </c>
      <c r="G60" s="16">
        <v>336.28800000000001</v>
      </c>
      <c r="H60" s="16">
        <v>552.9</v>
      </c>
      <c r="I60" s="16">
        <v>0</v>
      </c>
      <c r="J60" s="16">
        <v>31.560887949260064</v>
      </c>
      <c r="K60" s="162">
        <v>117.97310314197166</v>
      </c>
      <c r="L60" s="111">
        <f>L61-(L80-L68)/12</f>
        <v>41937.916666666686</v>
      </c>
      <c r="M60" s="10">
        <v>116634</v>
      </c>
      <c r="N60" s="10">
        <f>U18+U19*C60+U20*D60+U21*E60+U22*F60+U23*G60+U24*H60+U25*I60+U26*J60</f>
        <v>111406014.83376665</v>
      </c>
      <c r="O60" s="53">
        <f t="shared" si="0"/>
        <v>-1360665.1662333459</v>
      </c>
      <c r="P60" s="171">
        <f t="shared" si="1"/>
        <v>-1.20661986877094E-2</v>
      </c>
      <c r="Q60" s="13">
        <f t="shared" si="2"/>
        <v>1.20661986877094E-2</v>
      </c>
      <c r="R60" s="13"/>
      <c r="S60" s="13"/>
      <c r="T60" s="63"/>
      <c r="U60" s="63"/>
      <c r="V60" s="63"/>
      <c r="W60" s="63"/>
      <c r="X60" s="63"/>
      <c r="Y60" s="63"/>
      <c r="Z60" s="63"/>
      <c r="AA60" s="63"/>
      <c r="AB60" s="63"/>
    </row>
    <row r="61" spans="1:39" x14ac:dyDescent="0.2">
      <c r="A61" s="54">
        <f t="shared" si="3"/>
        <v>36860</v>
      </c>
      <c r="B61" s="10">
        <v>117889023</v>
      </c>
      <c r="C61" s="1">
        <v>470.9</v>
      </c>
      <c r="D61" s="1">
        <v>0</v>
      </c>
      <c r="E61" s="10">
        <v>30</v>
      </c>
      <c r="F61" s="10">
        <v>1</v>
      </c>
      <c r="G61" s="16">
        <v>352.08</v>
      </c>
      <c r="H61" s="16">
        <v>556.9</v>
      </c>
      <c r="I61" s="16">
        <v>0</v>
      </c>
      <c r="J61" s="16">
        <v>31.789217758985274</v>
      </c>
      <c r="K61" s="162">
        <v>118.51507847973981</v>
      </c>
      <c r="L61" s="111">
        <f>L62-(L80-L68)/12</f>
        <v>41987.20833333335</v>
      </c>
      <c r="M61" s="10">
        <v>116895</v>
      </c>
      <c r="N61" s="10">
        <f>U18+U19*C61+U20*D61+U21*E61+U22*F61+U23*G61+U24*H61+U25*I61+U26*J61</f>
        <v>116963597.1377205</v>
      </c>
      <c r="O61" s="53">
        <f t="shared" si="0"/>
        <v>-925425.86227950454</v>
      </c>
      <c r="P61" s="171">
        <f t="shared" si="1"/>
        <v>-7.8499748214853268E-3</v>
      </c>
      <c r="Q61" s="13">
        <f t="shared" si="2"/>
        <v>7.8499748214853268E-3</v>
      </c>
      <c r="R61" s="13"/>
      <c r="S61" s="13"/>
      <c r="T61" s="287"/>
      <c r="U61" s="287"/>
      <c r="V61" s="63"/>
      <c r="W61" s="63"/>
      <c r="X61" s="63"/>
      <c r="Y61" s="63"/>
      <c r="Z61" s="63"/>
      <c r="AA61" s="63"/>
      <c r="AB61" s="63"/>
    </row>
    <row r="62" spans="1:39" x14ac:dyDescent="0.2">
      <c r="A62" s="54">
        <f t="shared" si="3"/>
        <v>36891</v>
      </c>
      <c r="B62" s="10">
        <v>123990762</v>
      </c>
      <c r="C62" s="1">
        <v>826.5</v>
      </c>
      <c r="D62" s="1">
        <v>0</v>
      </c>
      <c r="E62" s="10">
        <v>31</v>
      </c>
      <c r="F62" s="10">
        <v>0</v>
      </c>
      <c r="G62" s="16">
        <v>304.29599999999999</v>
      </c>
      <c r="H62" s="16">
        <v>561.29999999999995</v>
      </c>
      <c r="I62" s="16">
        <v>0</v>
      </c>
      <c r="J62" s="16">
        <v>32.040380549682936</v>
      </c>
      <c r="K62" s="162">
        <v>119.05954368391765</v>
      </c>
      <c r="L62" s="111">
        <f>L63-(L80-L68)/12</f>
        <v>42036.500000000015</v>
      </c>
      <c r="M62" s="10">
        <v>117156</v>
      </c>
      <c r="N62" s="10">
        <f>U18+U19*C62+U20*D62+U21*E62+U22*F62+U23*G62+U24*H62+U25*I62+U26*J62</f>
        <v>123589935.11323878</v>
      </c>
      <c r="O62" s="53">
        <f t="shared" si="0"/>
        <v>-400826.88676121831</v>
      </c>
      <c r="P62" s="171">
        <f t="shared" si="1"/>
        <v>-3.2327157305575582E-3</v>
      </c>
      <c r="Q62" s="13">
        <f t="shared" si="2"/>
        <v>3.2327157305575582E-3</v>
      </c>
      <c r="R62" s="13"/>
      <c r="S62" s="13"/>
      <c r="T62" s="34"/>
      <c r="U62" s="34"/>
      <c r="V62" s="63"/>
      <c r="W62" s="63"/>
      <c r="X62" s="63"/>
      <c r="Y62" s="63"/>
      <c r="Z62" s="63"/>
      <c r="AA62" s="63"/>
      <c r="AB62" s="63"/>
    </row>
    <row r="63" spans="1:39" x14ac:dyDescent="0.2">
      <c r="A63" s="54">
        <f t="shared" si="3"/>
        <v>36922</v>
      </c>
      <c r="B63" s="10">
        <v>127737949</v>
      </c>
      <c r="C63" s="1">
        <v>715</v>
      </c>
      <c r="D63" s="1">
        <v>0</v>
      </c>
      <c r="E63" s="10">
        <v>31</v>
      </c>
      <c r="F63" s="10">
        <v>0</v>
      </c>
      <c r="G63" s="16">
        <v>351.91199999999998</v>
      </c>
      <c r="H63" s="16">
        <v>560.70000000000005</v>
      </c>
      <c r="I63" s="16">
        <v>0</v>
      </c>
      <c r="J63" s="16">
        <v>32.633333333333326</v>
      </c>
      <c r="K63" s="162">
        <v>119.23206305749976</v>
      </c>
      <c r="L63" s="111">
        <f>L64-(L80-L68)/12</f>
        <v>42085.791666666679</v>
      </c>
      <c r="M63" s="10">
        <v>117347</v>
      </c>
      <c r="N63" s="10">
        <f>U18+U19*C63+U20*D63+U21*E63+U22*F63+U23*G63+U24*H63+U25*I63+U26*J63</f>
        <v>125757086.34712978</v>
      </c>
      <c r="O63" s="53">
        <f t="shared" si="0"/>
        <v>-1980862.6528702229</v>
      </c>
      <c r="P63" s="171">
        <f t="shared" si="1"/>
        <v>-1.5507237030009171E-2</v>
      </c>
      <c r="Q63" s="13">
        <f t="shared" si="2"/>
        <v>1.5507237030009171E-2</v>
      </c>
      <c r="R63" s="13"/>
      <c r="S63" s="13"/>
      <c r="T63" s="34"/>
      <c r="U63" s="34"/>
      <c r="V63" s="63"/>
      <c r="W63" s="63"/>
      <c r="X63" s="63"/>
      <c r="Y63" s="63"/>
      <c r="Z63" s="63"/>
      <c r="AA63" s="63"/>
      <c r="AB63" s="63"/>
    </row>
    <row r="64" spans="1:39" x14ac:dyDescent="0.2">
      <c r="A64" s="54">
        <f t="shared" si="3"/>
        <v>36950</v>
      </c>
      <c r="B64" s="10">
        <v>114030713</v>
      </c>
      <c r="C64" s="1">
        <v>620.20000000000005</v>
      </c>
      <c r="D64" s="1">
        <v>0</v>
      </c>
      <c r="E64" s="10">
        <v>29</v>
      </c>
      <c r="F64" s="10">
        <v>0</v>
      </c>
      <c r="G64" s="16">
        <v>319.87200000000001</v>
      </c>
      <c r="H64" s="16">
        <v>555.6</v>
      </c>
      <c r="I64" s="16">
        <v>0</v>
      </c>
      <c r="J64" s="16">
        <v>32.336507936507928</v>
      </c>
      <c r="K64" s="162">
        <v>119.40483241468957</v>
      </c>
      <c r="L64" s="111">
        <f>L65-(L80-L68)/12</f>
        <v>42135.083333333343</v>
      </c>
      <c r="M64" s="10">
        <v>117538</v>
      </c>
      <c r="N64" s="10">
        <f>U18+U19*C64+U20*D64+U21*E64+U22*F64+U23*G64+U24*H64+U25*I64+U26*J64</f>
        <v>116297994.03462163</v>
      </c>
      <c r="O64" s="53">
        <f t="shared" si="0"/>
        <v>2267281.0346216261</v>
      </c>
      <c r="P64" s="171">
        <f t="shared" si="1"/>
        <v>1.9883073384112104E-2</v>
      </c>
      <c r="Q64" s="13">
        <f t="shared" si="2"/>
        <v>1.9883073384112104E-2</v>
      </c>
      <c r="R64" s="13"/>
      <c r="S64" s="13"/>
      <c r="T64" s="34"/>
      <c r="U64" s="34"/>
      <c r="V64" s="63"/>
      <c r="W64" s="63"/>
      <c r="X64" s="63"/>
      <c r="Y64" s="63"/>
      <c r="Z64" s="63"/>
      <c r="AA64" s="63"/>
      <c r="AB64" s="63"/>
    </row>
    <row r="65" spans="1:57" x14ac:dyDescent="0.2">
      <c r="A65" s="54">
        <f t="shared" si="3"/>
        <v>36981</v>
      </c>
      <c r="B65" s="10">
        <v>122670396</v>
      </c>
      <c r="C65" s="1">
        <v>618.70000000000005</v>
      </c>
      <c r="D65" s="1">
        <v>0</v>
      </c>
      <c r="E65" s="10">
        <v>31</v>
      </c>
      <c r="F65" s="10">
        <v>1</v>
      </c>
      <c r="G65" s="16">
        <v>351.91199999999998</v>
      </c>
      <c r="H65" s="16">
        <v>552.20000000000005</v>
      </c>
      <c r="I65" s="16">
        <v>0</v>
      </c>
      <c r="J65" s="16">
        <v>32.138624338624368</v>
      </c>
      <c r="K65" s="162">
        <v>119.57785211771773</v>
      </c>
      <c r="L65" s="111">
        <f>L66-(L80-L68)/12</f>
        <v>42184.375000000007</v>
      </c>
      <c r="M65" s="10">
        <v>117729</v>
      </c>
      <c r="N65" s="10">
        <f>U18+U19*C65+U20*D65+U21*E65+U22*F65+U23*G65+U24*H65+U25*I65+U26*J65</f>
        <v>120606689.30411389</v>
      </c>
      <c r="O65" s="53">
        <f t="shared" si="0"/>
        <v>-2063706.6958861053</v>
      </c>
      <c r="P65" s="171">
        <f t="shared" si="1"/>
        <v>-1.6823184428997075E-2</v>
      </c>
      <c r="Q65" s="13">
        <f t="shared" si="2"/>
        <v>1.6823184428997075E-2</v>
      </c>
      <c r="R65" s="13"/>
      <c r="S65" s="13"/>
      <c r="T65" s="34"/>
      <c r="U65" s="34"/>
      <c r="V65" s="63"/>
      <c r="W65" s="63"/>
      <c r="X65" s="63"/>
      <c r="Y65" s="63"/>
      <c r="Z65" s="63"/>
      <c r="AA65" s="63"/>
      <c r="AB65" s="63"/>
    </row>
    <row r="66" spans="1:57" x14ac:dyDescent="0.2">
      <c r="A66" s="54">
        <f t="shared" si="3"/>
        <v>37011</v>
      </c>
      <c r="B66" s="10">
        <v>108161574</v>
      </c>
      <c r="C66" s="1">
        <v>324.60000000000002</v>
      </c>
      <c r="D66" s="1">
        <v>0</v>
      </c>
      <c r="E66" s="10">
        <v>30</v>
      </c>
      <c r="F66" s="10">
        <v>1</v>
      </c>
      <c r="G66" s="16">
        <v>319.68</v>
      </c>
      <c r="H66" s="16">
        <v>556.20000000000005</v>
      </c>
      <c r="I66" s="16">
        <v>0</v>
      </c>
      <c r="J66" s="16">
        <v>32.371428571428623</v>
      </c>
      <c r="K66" s="162">
        <v>119.75112252933975</v>
      </c>
      <c r="L66" s="111">
        <f>L67-(L80-L68)/12</f>
        <v>42233.666666666672</v>
      </c>
      <c r="M66" s="10">
        <v>117920</v>
      </c>
      <c r="N66" s="10">
        <f>U18+U19*C66+U20*D66+U21*E66+U22*F66+U23*G66+U24*H66+U25*I66+U26*J66</f>
        <v>110134800.01137769</v>
      </c>
      <c r="O66" s="53">
        <f t="shared" si="0"/>
        <v>1973226.0113776922</v>
      </c>
      <c r="P66" s="171">
        <f t="shared" si="1"/>
        <v>1.8243318198916857E-2</v>
      </c>
      <c r="Q66" s="13">
        <f t="shared" si="2"/>
        <v>1.8243318198916857E-2</v>
      </c>
      <c r="R66" s="13"/>
      <c r="S66" s="13"/>
      <c r="T66" s="34"/>
      <c r="U66" s="34"/>
      <c r="V66" s="63"/>
      <c r="W66" s="63"/>
      <c r="X66" s="63"/>
      <c r="Y66" s="63"/>
      <c r="Z66" s="63"/>
      <c r="AA66" s="63"/>
      <c r="AB66" s="63"/>
    </row>
    <row r="67" spans="1:57" x14ac:dyDescent="0.2">
      <c r="A67" s="54">
        <f t="shared" si="3"/>
        <v>37042</v>
      </c>
      <c r="B67" s="10">
        <v>110929304</v>
      </c>
      <c r="C67" s="1">
        <v>140.30000000000001</v>
      </c>
      <c r="D67" s="1">
        <v>7.7</v>
      </c>
      <c r="E67" s="10">
        <v>31</v>
      </c>
      <c r="F67" s="10">
        <v>1</v>
      </c>
      <c r="G67" s="16">
        <v>351.91199999999998</v>
      </c>
      <c r="H67" s="16">
        <v>562</v>
      </c>
      <c r="I67" s="16">
        <v>0</v>
      </c>
      <c r="J67" s="16">
        <v>32.708994708994737</v>
      </c>
      <c r="K67" s="162">
        <v>119.92464401283681</v>
      </c>
      <c r="L67" s="111">
        <f>L68-(L80-L68)/12</f>
        <v>42282.958333333336</v>
      </c>
      <c r="M67" s="10">
        <v>118111</v>
      </c>
      <c r="N67" s="10">
        <f>U18+U19*C67+U20*D67+U21*E67+U22*F67+U23*G67+U24*H67+U25*I67+U26*J67</f>
        <v>113644812.9174106</v>
      </c>
      <c r="O67" s="53">
        <f t="shared" ref="O67:O130" si="4">N67-B67</f>
        <v>2715508.9174105972</v>
      </c>
      <c r="P67" s="171">
        <f t="shared" ref="P67:P130" si="5">O67/B67</f>
        <v>2.4479635402838165E-2</v>
      </c>
      <c r="Q67" s="13">
        <f t="shared" si="2"/>
        <v>2.4479635402838165E-2</v>
      </c>
      <c r="R67" s="13"/>
      <c r="S67" s="13"/>
      <c r="T67" s="63"/>
      <c r="U67" s="63"/>
      <c r="V67" s="63"/>
      <c r="W67" s="63"/>
      <c r="X67" s="63"/>
      <c r="Y67" s="63"/>
      <c r="Z67" s="63"/>
      <c r="AA67" s="63"/>
      <c r="AB67" s="63"/>
    </row>
    <row r="68" spans="1:57" x14ac:dyDescent="0.2">
      <c r="A68" s="54">
        <f t="shared" si="3"/>
        <v>37072</v>
      </c>
      <c r="B68" s="10">
        <v>120266540</v>
      </c>
      <c r="C68" s="1">
        <v>47</v>
      </c>
      <c r="D68" s="1">
        <v>62.4</v>
      </c>
      <c r="E68" s="10">
        <v>30</v>
      </c>
      <c r="F68" s="10">
        <v>0</v>
      </c>
      <c r="G68" s="16">
        <v>336.24</v>
      </c>
      <c r="H68" s="16">
        <v>566.29999999999995</v>
      </c>
      <c r="I68" s="16">
        <v>0</v>
      </c>
      <c r="J68" s="16">
        <v>32.959259259259284</v>
      </c>
      <c r="K68" s="162">
        <v>120.09841693201646</v>
      </c>
      <c r="L68" s="111">
        <f>'Rate Class Customer Model'!N5</f>
        <v>42332.25</v>
      </c>
      <c r="M68" s="10">
        <v>118302</v>
      </c>
      <c r="N68" s="10">
        <f>U18+U19*C68+U20*D68+U21*E68+U22*F68+U23*G68+U24*H68+U25*I68+U26*J68</f>
        <v>121347024.15808316</v>
      </c>
      <c r="O68" s="53">
        <f t="shared" si="4"/>
        <v>1080484.1580831558</v>
      </c>
      <c r="P68" s="171">
        <f t="shared" si="5"/>
        <v>8.9840795127485648E-3</v>
      </c>
      <c r="Q68" s="13">
        <f t="shared" ref="Q68:Q131" si="6">ABS(P68)</f>
        <v>8.9840795127485648E-3</v>
      </c>
      <c r="R68" s="13"/>
      <c r="S68" s="13"/>
      <c r="T68" s="63"/>
      <c r="U68" s="63"/>
      <c r="V68" s="63"/>
      <c r="W68" s="63"/>
      <c r="X68" s="63"/>
      <c r="Y68" s="63"/>
      <c r="Z68" s="63"/>
      <c r="AA68" s="63"/>
      <c r="AB68" s="63"/>
    </row>
    <row r="69" spans="1:57" x14ac:dyDescent="0.2">
      <c r="A69" s="54">
        <f t="shared" si="3"/>
        <v>37103</v>
      </c>
      <c r="B69" s="10">
        <v>119101349</v>
      </c>
      <c r="C69" s="1">
        <v>22.3</v>
      </c>
      <c r="D69" s="1">
        <v>65.7</v>
      </c>
      <c r="E69" s="10">
        <v>31</v>
      </c>
      <c r="F69" s="10">
        <v>0</v>
      </c>
      <c r="G69" s="16">
        <v>336.28800000000001</v>
      </c>
      <c r="H69" s="16">
        <v>565.79999999999995</v>
      </c>
      <c r="I69" s="16">
        <v>0</v>
      </c>
      <c r="J69" s="16">
        <v>32.930158730158723</v>
      </c>
      <c r="K69" s="162">
        <v>120.27244165121344</v>
      </c>
      <c r="L69" s="111">
        <f>L68+(L80-L68)/12</f>
        <v>42381.541666666664</v>
      </c>
      <c r="M69" s="10">
        <v>118493</v>
      </c>
      <c r="N69" s="10">
        <f>U18+U19*C69+U20*D69+U21*E69+U22*F69+U23*G69+U24*H69+U25*I69+U26*J69</f>
        <v>122934639.70666087</v>
      </c>
      <c r="O69" s="53">
        <f t="shared" si="4"/>
        <v>3833290.7066608667</v>
      </c>
      <c r="P69" s="171">
        <f t="shared" si="5"/>
        <v>3.2185115776151844E-2</v>
      </c>
      <c r="Q69" s="13">
        <f t="shared" si="6"/>
        <v>3.2185115776151844E-2</v>
      </c>
      <c r="R69" s="13"/>
      <c r="S69" s="13"/>
      <c r="T69" s="288"/>
      <c r="U69" s="288"/>
      <c r="V69" s="288"/>
      <c r="W69" s="288"/>
      <c r="X69" s="288"/>
      <c r="Y69" s="288"/>
      <c r="Z69" s="63"/>
      <c r="AA69" s="63"/>
      <c r="AB69" s="63"/>
    </row>
    <row r="70" spans="1:57" x14ac:dyDescent="0.2">
      <c r="A70" s="54">
        <f t="shared" si="3"/>
        <v>37134</v>
      </c>
      <c r="B70" s="10">
        <v>132583402</v>
      </c>
      <c r="C70" s="1">
        <v>2.2999999999999998</v>
      </c>
      <c r="D70" s="1">
        <v>94.2</v>
      </c>
      <c r="E70" s="10">
        <v>31</v>
      </c>
      <c r="F70" s="10">
        <v>0</v>
      </c>
      <c r="G70" s="16">
        <v>351.91199999999998</v>
      </c>
      <c r="H70" s="16">
        <v>562.5</v>
      </c>
      <c r="I70" s="16">
        <v>0</v>
      </c>
      <c r="J70" s="16">
        <v>32.738095238095298</v>
      </c>
      <c r="K70" s="162">
        <v>120.4467185352904</v>
      </c>
      <c r="L70" s="111">
        <f>L69+(L80-L68)/12</f>
        <v>42430.833333333328</v>
      </c>
      <c r="M70" s="10">
        <v>118684</v>
      </c>
      <c r="N70" s="10">
        <f>U18+U19*C70+U20*D70+U21*E70+U22*F70+U23*G70+U24*H70+U25*I70+U26*J70</f>
        <v>129017468.04544191</v>
      </c>
      <c r="O70" s="53">
        <f t="shared" si="4"/>
        <v>-3565933.9545580894</v>
      </c>
      <c r="P70" s="171">
        <f t="shared" si="5"/>
        <v>-2.6895779567928792E-2</v>
      </c>
      <c r="Q70" s="13">
        <f t="shared" si="6"/>
        <v>2.6895779567928792E-2</v>
      </c>
      <c r="R70" s="13"/>
      <c r="S70" s="13"/>
      <c r="T70" s="34"/>
      <c r="U70" s="34"/>
      <c r="V70" s="34"/>
      <c r="W70" s="34"/>
      <c r="X70" s="34"/>
      <c r="Y70" s="34"/>
      <c r="Z70" s="63"/>
      <c r="AA70" s="63"/>
      <c r="AB70" s="63"/>
    </row>
    <row r="71" spans="1:57" x14ac:dyDescent="0.2">
      <c r="A71" s="54">
        <f t="shared" si="3"/>
        <v>37164</v>
      </c>
      <c r="B71" s="10">
        <v>113406955</v>
      </c>
      <c r="C71" s="1">
        <v>118.8</v>
      </c>
      <c r="D71" s="1">
        <v>19.2</v>
      </c>
      <c r="E71" s="10">
        <v>30</v>
      </c>
      <c r="F71" s="10">
        <v>1</v>
      </c>
      <c r="G71" s="16">
        <v>303.83999999999997</v>
      </c>
      <c r="H71" s="16">
        <v>559.70000000000005</v>
      </c>
      <c r="I71" s="16">
        <v>0</v>
      </c>
      <c r="J71" s="16">
        <v>32.575132275132319</v>
      </c>
      <c r="K71" s="162">
        <v>120.62124794963869</v>
      </c>
      <c r="L71" s="111">
        <f>L70+(L80-L68)/12</f>
        <v>42480.124999999993</v>
      </c>
      <c r="M71" s="10">
        <v>118875</v>
      </c>
      <c r="N71" s="10">
        <f>U18+U19*C71+U20*D71+U21*E71+U22*F71+U23*G71+U24*H71+U25*I71+U26*J71</f>
        <v>108462764.96973158</v>
      </c>
      <c r="O71" s="53">
        <f t="shared" si="4"/>
        <v>-4944190.0302684158</v>
      </c>
      <c r="P71" s="171">
        <f t="shared" si="5"/>
        <v>-4.3596885484390405E-2</v>
      </c>
      <c r="Q71" s="13">
        <f t="shared" si="6"/>
        <v>4.3596885484390405E-2</v>
      </c>
      <c r="R71" s="13"/>
      <c r="S71" s="13"/>
      <c r="T71" s="34"/>
      <c r="U71" s="34"/>
      <c r="V71" s="34"/>
      <c r="W71" s="34"/>
      <c r="X71" s="34"/>
      <c r="Y71" s="34"/>
      <c r="Z71" s="63"/>
      <c r="AA71" s="63"/>
      <c r="AB71" s="63"/>
    </row>
    <row r="72" spans="1:57" x14ac:dyDescent="0.2">
      <c r="A72" s="54">
        <f t="shared" ref="A72:A135" si="7">EOMONTH(A71,1)</f>
        <v>37195</v>
      </c>
      <c r="B72" s="10">
        <v>118039640</v>
      </c>
      <c r="C72" s="1">
        <v>276.7</v>
      </c>
      <c r="D72" s="1">
        <v>0</v>
      </c>
      <c r="E72" s="10">
        <v>31</v>
      </c>
      <c r="F72" s="10">
        <v>1</v>
      </c>
      <c r="G72" s="16">
        <v>351.91199999999998</v>
      </c>
      <c r="H72" s="16">
        <v>560</v>
      </c>
      <c r="I72" s="16">
        <v>0</v>
      </c>
      <c r="J72" s="16">
        <v>32.592592592592609</v>
      </c>
      <c r="K72" s="162">
        <v>120.79603026017911</v>
      </c>
      <c r="L72" s="111">
        <f>L71+(L80-L68)/12</f>
        <v>42529.416666666657</v>
      </c>
      <c r="M72" s="10">
        <v>119066</v>
      </c>
      <c r="N72" s="10">
        <f>U18+U19*C72+U20*D72+U21*E72+U22*F72+U23*G72+U24*H72+U25*I72+U26*J72</f>
        <v>114711718.31717888</v>
      </c>
      <c r="O72" s="53">
        <f t="shared" si="4"/>
        <v>-3327921.6828211248</v>
      </c>
      <c r="P72" s="171">
        <f t="shared" si="5"/>
        <v>-2.8193255103295171E-2</v>
      </c>
      <c r="Q72" s="13">
        <f t="shared" si="6"/>
        <v>2.8193255103295171E-2</v>
      </c>
      <c r="R72" s="13"/>
      <c r="S72" s="13"/>
      <c r="T72" s="34"/>
      <c r="U72" s="34"/>
      <c r="V72" s="34"/>
      <c r="W72" s="34"/>
      <c r="X72" s="34"/>
      <c r="Y72" s="34"/>
      <c r="Z72" s="63"/>
      <c r="AA72" s="63"/>
      <c r="AB72" s="63"/>
    </row>
    <row r="73" spans="1:57" x14ac:dyDescent="0.2">
      <c r="A73" s="54">
        <f t="shared" si="7"/>
        <v>37225</v>
      </c>
      <c r="B73" s="10">
        <v>117162207</v>
      </c>
      <c r="C73" s="1">
        <v>370.8</v>
      </c>
      <c r="D73" s="1">
        <v>0</v>
      </c>
      <c r="E73" s="10">
        <v>30</v>
      </c>
      <c r="F73" s="10">
        <v>1</v>
      </c>
      <c r="G73" s="16">
        <v>352.08</v>
      </c>
      <c r="H73" s="16">
        <v>561.1</v>
      </c>
      <c r="I73" s="16">
        <v>0</v>
      </c>
      <c r="J73" s="16">
        <v>32.656613756613751</v>
      </c>
      <c r="K73" s="162">
        <v>120.9710658333627</v>
      </c>
      <c r="L73" s="111">
        <f>L72+(L80-L68)/12</f>
        <v>42578.708333333321</v>
      </c>
      <c r="M73" s="10">
        <v>119257</v>
      </c>
      <c r="N73" s="10">
        <f>U18+U19*C73+U20*D73+U21*E73+U22*F73+U23*G73+U24*H73+U25*I73+U26*J73</f>
        <v>115401833.72189215</v>
      </c>
      <c r="O73" s="53">
        <f t="shared" si="4"/>
        <v>-1760373.2781078517</v>
      </c>
      <c r="P73" s="171">
        <f t="shared" si="5"/>
        <v>-1.5025094893508209E-2</v>
      </c>
      <c r="Q73" s="13">
        <f t="shared" si="6"/>
        <v>1.5025094893508209E-2</v>
      </c>
      <c r="R73" s="13"/>
      <c r="S73" s="13"/>
      <c r="T73" s="63"/>
      <c r="U73" s="63"/>
      <c r="V73" s="63"/>
      <c r="W73" s="63"/>
      <c r="X73" s="63"/>
      <c r="Y73" s="63"/>
      <c r="Z73" s="63"/>
      <c r="AA73" s="63"/>
      <c r="AB73" s="63"/>
    </row>
    <row r="74" spans="1:57" x14ac:dyDescent="0.2">
      <c r="A74" s="54">
        <f t="shared" si="7"/>
        <v>37256</v>
      </c>
      <c r="B74" s="10">
        <v>116887701</v>
      </c>
      <c r="C74" s="1">
        <v>563.29999999999995</v>
      </c>
      <c r="D74" s="1">
        <v>0</v>
      </c>
      <c r="E74" s="10">
        <v>31</v>
      </c>
      <c r="F74" s="10">
        <v>0</v>
      </c>
      <c r="G74" s="16">
        <v>304.29599999999999</v>
      </c>
      <c r="H74" s="16">
        <v>564.29999999999995</v>
      </c>
      <c r="I74" s="16">
        <v>0</v>
      </c>
      <c r="J74" s="16">
        <v>32.842857142857156</v>
      </c>
      <c r="K74" s="162">
        <v>121.1463550361714</v>
      </c>
      <c r="L74" s="111">
        <f>L73+(L80-L68)/12</f>
        <v>42627.999999999985</v>
      </c>
      <c r="M74" s="10">
        <v>119448</v>
      </c>
      <c r="N74" s="10">
        <f>U18+U19*C74+U20*D74+U21*E74+U22*F74+U23*G74+U24*H74+U25*I74+U26*J74</f>
        <v>118273571.72274633</v>
      </c>
      <c r="O74" s="53">
        <f t="shared" si="4"/>
        <v>1385870.7227463275</v>
      </c>
      <c r="P74" s="171">
        <f t="shared" si="5"/>
        <v>1.1856428956082622E-2</v>
      </c>
      <c r="Q74" s="13">
        <f t="shared" si="6"/>
        <v>1.1856428956082622E-2</v>
      </c>
      <c r="R74" s="13"/>
      <c r="S74" s="13"/>
      <c r="T74" s="288"/>
      <c r="U74" s="288"/>
      <c r="V74" s="288"/>
      <c r="W74" s="288"/>
      <c r="X74" s="288"/>
      <c r="Y74" s="288"/>
      <c r="Z74" s="288"/>
      <c r="AA74" s="288"/>
      <c r="AB74" s="288"/>
    </row>
    <row r="75" spans="1:57" s="14" customFormat="1" x14ac:dyDescent="0.2">
      <c r="A75" s="54">
        <f t="shared" si="7"/>
        <v>37287</v>
      </c>
      <c r="B75" s="10">
        <v>128380096</v>
      </c>
      <c r="C75" s="1">
        <v>625.70000000000005</v>
      </c>
      <c r="D75" s="1">
        <v>0</v>
      </c>
      <c r="E75" s="10">
        <v>31</v>
      </c>
      <c r="F75" s="10">
        <v>0</v>
      </c>
      <c r="G75" s="16">
        <v>351.91199999999998</v>
      </c>
      <c r="H75" s="16">
        <v>564.9</v>
      </c>
      <c r="I75" s="16">
        <v>0</v>
      </c>
      <c r="J75" s="16">
        <v>34.145599151643751</v>
      </c>
      <c r="K75" s="162">
        <v>121.50450639216388</v>
      </c>
      <c r="L75" s="111">
        <f>L74+(L80-L68)/12</f>
        <v>42677.29166666665</v>
      </c>
      <c r="M75" s="10">
        <v>119682</v>
      </c>
      <c r="N75" s="10">
        <f>U18+U19*C75+U20*D75+U21*E75+U22*F75+U23*G75+U24*H75+U25*I75+U26*J75</f>
        <v>124218182.65175007</v>
      </c>
      <c r="O75" s="53">
        <f t="shared" si="4"/>
        <v>-4161913.3482499272</v>
      </c>
      <c r="P75" s="171">
        <f t="shared" si="5"/>
        <v>-3.2418680760683709E-2</v>
      </c>
      <c r="Q75" s="13">
        <f t="shared" si="6"/>
        <v>3.2418680760683709E-2</v>
      </c>
      <c r="R75" s="13"/>
      <c r="S75" s="13"/>
      <c r="T75" s="34"/>
      <c r="U75" s="34"/>
      <c r="V75" s="34"/>
      <c r="W75" s="34"/>
      <c r="X75" s="34"/>
      <c r="Y75" s="34"/>
      <c r="Z75" s="34"/>
      <c r="AA75" s="34"/>
      <c r="AB75" s="34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</row>
    <row r="76" spans="1:57" x14ac:dyDescent="0.2">
      <c r="A76" s="54">
        <f t="shared" si="7"/>
        <v>37315</v>
      </c>
      <c r="B76" s="10">
        <v>117791339</v>
      </c>
      <c r="C76" s="1">
        <v>592</v>
      </c>
      <c r="D76" s="1">
        <v>0</v>
      </c>
      <c r="E76" s="10">
        <v>28</v>
      </c>
      <c r="F76" s="10">
        <v>0</v>
      </c>
      <c r="G76" s="16">
        <v>319.87200000000001</v>
      </c>
      <c r="H76" s="16">
        <v>567.20000000000005</v>
      </c>
      <c r="I76" s="16">
        <v>0</v>
      </c>
      <c r="J76" s="16">
        <v>34.28462354188764</v>
      </c>
      <c r="K76" s="162">
        <v>121.86371656989111</v>
      </c>
      <c r="L76" s="111">
        <f>L75+(L80-L68)/12</f>
        <v>42726.583333333314</v>
      </c>
      <c r="M76" s="10">
        <v>119916</v>
      </c>
      <c r="N76" s="10">
        <f>U18+U19*C76+U20*D76+U21*E76+U22*F76+U23*G76+U24*H76+U25*I76+U26*J76</f>
        <v>115923229.37708113</v>
      </c>
      <c r="O76" s="53">
        <f t="shared" si="4"/>
        <v>-1868109.622918874</v>
      </c>
      <c r="P76" s="171">
        <f t="shared" si="5"/>
        <v>-1.585948201946218E-2</v>
      </c>
      <c r="Q76" s="13">
        <f t="shared" si="6"/>
        <v>1.585948201946218E-2</v>
      </c>
      <c r="R76" s="13"/>
      <c r="S76" s="13"/>
      <c r="T76" s="34"/>
      <c r="U76" s="34"/>
      <c r="V76" s="34"/>
      <c r="W76" s="34"/>
      <c r="X76" s="34"/>
      <c r="Y76" s="34"/>
      <c r="Z76" s="34"/>
      <c r="AA76" s="34"/>
      <c r="AB76" s="34"/>
    </row>
    <row r="77" spans="1:57" x14ac:dyDescent="0.2">
      <c r="A77" s="54">
        <f t="shared" si="7"/>
        <v>37346</v>
      </c>
      <c r="B77" s="10">
        <v>125657099</v>
      </c>
      <c r="C77" s="1">
        <v>581.20000000000005</v>
      </c>
      <c r="D77" s="1">
        <v>0</v>
      </c>
      <c r="E77" s="10">
        <v>31</v>
      </c>
      <c r="F77" s="10">
        <v>1</v>
      </c>
      <c r="G77" s="16">
        <v>319.92</v>
      </c>
      <c r="H77" s="16">
        <v>568.9</v>
      </c>
      <c r="I77" s="16">
        <v>0</v>
      </c>
      <c r="J77" s="16">
        <v>34.387380699894038</v>
      </c>
      <c r="K77" s="162">
        <v>122.22398869960362</v>
      </c>
      <c r="L77" s="111">
        <f>L76+(L80-L68)/12</f>
        <v>42775.874999999978</v>
      </c>
      <c r="M77" s="10">
        <v>120150</v>
      </c>
      <c r="N77" s="10">
        <f>U18+U19*C77+U20*D77+U21*E77+U22*F77+U23*G77+U24*H77+U25*I77+U26*J77</f>
        <v>119287224.72050349</v>
      </c>
      <c r="O77" s="53">
        <f t="shared" si="4"/>
        <v>-6369874.2794965059</v>
      </c>
      <c r="P77" s="171">
        <f t="shared" si="5"/>
        <v>-5.0692514232693733E-2</v>
      </c>
      <c r="Q77" s="13">
        <f t="shared" si="6"/>
        <v>5.0692514232693733E-2</v>
      </c>
      <c r="R77" s="13"/>
      <c r="S77" s="13"/>
      <c r="T77" s="34"/>
      <c r="U77" s="34"/>
      <c r="V77" s="34"/>
      <c r="W77" s="34"/>
      <c r="X77" s="34"/>
      <c r="Y77" s="34"/>
      <c r="Z77" s="34"/>
      <c r="AA77" s="34"/>
      <c r="AB77" s="34"/>
    </row>
    <row r="78" spans="1:57" x14ac:dyDescent="0.2">
      <c r="A78" s="54">
        <f t="shared" si="7"/>
        <v>37376</v>
      </c>
      <c r="B78" s="10">
        <v>119793772</v>
      </c>
      <c r="C78" s="1">
        <v>356.2</v>
      </c>
      <c r="D78" s="1">
        <v>6.6</v>
      </c>
      <c r="E78" s="10">
        <v>30</v>
      </c>
      <c r="F78" s="10">
        <v>1</v>
      </c>
      <c r="G78" s="16">
        <v>352.08</v>
      </c>
      <c r="H78" s="16">
        <v>572.6</v>
      </c>
      <c r="I78" s="16">
        <v>0</v>
      </c>
      <c r="J78" s="16">
        <v>34.611028632025523</v>
      </c>
      <c r="K78" s="162">
        <v>122.58532592080604</v>
      </c>
      <c r="L78" s="111">
        <f>L77+(L80-L68)/12</f>
        <v>42825.166666666642</v>
      </c>
      <c r="M78" s="10">
        <v>120384</v>
      </c>
      <c r="N78" s="10">
        <f>U18+U19*C78+U20*D78+U21*E78+U22*F78+U23*G78+U24*H78+U25*I78+U26*J78</f>
        <v>118151210.7254279</v>
      </c>
      <c r="O78" s="53">
        <f t="shared" si="4"/>
        <v>-1642561.2745721042</v>
      </c>
      <c r="P78" s="171">
        <f t="shared" si="5"/>
        <v>-1.3711574876965258E-2</v>
      </c>
      <c r="Q78" s="13">
        <f t="shared" si="6"/>
        <v>1.3711574876965258E-2</v>
      </c>
      <c r="R78" s="13"/>
      <c r="S78" s="13"/>
      <c r="T78" s="34"/>
      <c r="U78" s="34"/>
      <c r="V78" s="34"/>
      <c r="W78" s="34"/>
      <c r="X78" s="34"/>
      <c r="Y78" s="34"/>
      <c r="Z78" s="34"/>
      <c r="AA78" s="34"/>
      <c r="AB78" s="34"/>
    </row>
    <row r="79" spans="1:57" x14ac:dyDescent="0.2">
      <c r="A79" s="54">
        <f t="shared" si="7"/>
        <v>37407</v>
      </c>
      <c r="B79" s="10">
        <v>120443399.99999999</v>
      </c>
      <c r="C79" s="1">
        <v>266.8</v>
      </c>
      <c r="D79" s="1">
        <v>5.3</v>
      </c>
      <c r="E79" s="10">
        <v>31</v>
      </c>
      <c r="F79" s="10">
        <v>1</v>
      </c>
      <c r="G79" s="16">
        <v>351.91199999999998</v>
      </c>
      <c r="H79" s="16">
        <v>576.70000000000005</v>
      </c>
      <c r="I79" s="16">
        <v>0</v>
      </c>
      <c r="J79" s="16">
        <v>34.858854718982002</v>
      </c>
      <c r="K79" s="162">
        <v>122.9477313822845</v>
      </c>
      <c r="L79" s="111">
        <f>L78+(L80-L68)/12</f>
        <v>42874.458333333307</v>
      </c>
      <c r="M79" s="10">
        <v>120618</v>
      </c>
      <c r="N79" s="10">
        <f>U18+U19*C79+U20*D79+U21*E79+U22*F79+U23*G79+U24*H79+U25*I79+U26*J79</f>
        <v>118302219.008194</v>
      </c>
      <c r="O79" s="53">
        <f t="shared" si="4"/>
        <v>-2141180.9918059856</v>
      </c>
      <c r="P79" s="171">
        <f t="shared" si="5"/>
        <v>-1.7777487116819899E-2</v>
      </c>
      <c r="Q79" s="13">
        <f t="shared" si="6"/>
        <v>1.7777487116819899E-2</v>
      </c>
      <c r="R79" s="13"/>
      <c r="S79" s="13"/>
      <c r="T79" s="34"/>
      <c r="U79" s="34"/>
      <c r="V79" s="34"/>
      <c r="W79" s="34"/>
      <c r="X79" s="34"/>
      <c r="Y79" s="34"/>
      <c r="Z79" s="34"/>
      <c r="AA79" s="34"/>
      <c r="AB79" s="34"/>
    </row>
    <row r="80" spans="1:57" x14ac:dyDescent="0.2">
      <c r="A80" s="54">
        <f t="shared" si="7"/>
        <v>37437</v>
      </c>
      <c r="B80" s="10">
        <v>125484770</v>
      </c>
      <c r="C80" s="1">
        <v>53.1</v>
      </c>
      <c r="D80" s="1">
        <v>54.5</v>
      </c>
      <c r="E80" s="10">
        <v>30</v>
      </c>
      <c r="F80" s="10">
        <v>0</v>
      </c>
      <c r="G80" s="16">
        <v>319.68</v>
      </c>
      <c r="H80" s="16">
        <v>581.79999999999995</v>
      </c>
      <c r="I80" s="16">
        <v>0</v>
      </c>
      <c r="J80" s="16">
        <v>35.167126193001081</v>
      </c>
      <c r="K80" s="162">
        <v>123.31120824213403</v>
      </c>
      <c r="L80" s="111">
        <f>'Rate Class Customer Model'!N6</f>
        <v>42923.75</v>
      </c>
      <c r="M80" s="10">
        <v>120852</v>
      </c>
      <c r="N80" s="10">
        <f>U18+U19*C80+U20*D80+U21*E80+U22*F80+U23*G80+U24*H80+U25*I80+U26*J80</f>
        <v>120781190.02600272</v>
      </c>
      <c r="O80" s="53">
        <f t="shared" si="4"/>
        <v>-4703579.97399728</v>
      </c>
      <c r="P80" s="171">
        <f t="shared" si="5"/>
        <v>-3.7483273659403286E-2</v>
      </c>
      <c r="Q80" s="13">
        <f t="shared" si="6"/>
        <v>3.7483273659403286E-2</v>
      </c>
      <c r="R80" s="13"/>
      <c r="S80" s="13"/>
      <c r="T80" s="34"/>
      <c r="U80" s="34"/>
      <c r="V80" s="34"/>
      <c r="W80" s="34"/>
      <c r="X80" s="34"/>
      <c r="Y80" s="34"/>
      <c r="Z80" s="34"/>
      <c r="AA80" s="34"/>
      <c r="AB80" s="34"/>
    </row>
    <row r="81" spans="1:43" x14ac:dyDescent="0.2">
      <c r="A81" s="54">
        <f t="shared" si="7"/>
        <v>37468</v>
      </c>
      <c r="B81" s="10">
        <v>140900710</v>
      </c>
      <c r="C81" s="1">
        <v>4.7</v>
      </c>
      <c r="D81" s="1">
        <v>129</v>
      </c>
      <c r="E81" s="10">
        <v>31</v>
      </c>
      <c r="F81" s="10">
        <v>0</v>
      </c>
      <c r="G81" s="16">
        <v>351.91199999999998</v>
      </c>
      <c r="H81" s="16">
        <v>584.70000000000005</v>
      </c>
      <c r="I81" s="16">
        <v>0</v>
      </c>
      <c r="J81" s="16">
        <v>35.342417815482577</v>
      </c>
      <c r="K81" s="162">
        <v>123.67575966778612</v>
      </c>
      <c r="L81" s="111">
        <f>L80+(L92-L80)/12</f>
        <v>43022.5</v>
      </c>
      <c r="M81" s="10">
        <v>121086</v>
      </c>
      <c r="N81" s="10">
        <f>U18+U19*C81+U20*D81+U21*E81+U22*F81+U23*G81+U24*H81+U25*I81+U26*J81</f>
        <v>139655096.41143507</v>
      </c>
      <c r="O81" s="53">
        <f t="shared" si="4"/>
        <v>-1245613.5885649323</v>
      </c>
      <c r="P81" s="171">
        <f t="shared" si="5"/>
        <v>-8.8403641725079488E-3</v>
      </c>
      <c r="Q81" s="13">
        <f t="shared" si="6"/>
        <v>8.8403641725079488E-3</v>
      </c>
      <c r="R81" s="13"/>
      <c r="S81" s="13"/>
      <c r="T81" s="34"/>
      <c r="U81" s="34"/>
      <c r="V81" s="34"/>
      <c r="W81" s="34"/>
      <c r="X81" s="34"/>
      <c r="Y81" s="34"/>
      <c r="Z81" s="34"/>
      <c r="AA81" s="34"/>
      <c r="AB81" s="34"/>
    </row>
    <row r="82" spans="1:43" x14ac:dyDescent="0.2">
      <c r="A82" s="54">
        <f t="shared" si="7"/>
        <v>37499</v>
      </c>
      <c r="B82" s="10">
        <v>136973540</v>
      </c>
      <c r="C82" s="1">
        <v>11</v>
      </c>
      <c r="D82" s="1">
        <v>72.3</v>
      </c>
      <c r="E82" s="10">
        <v>31</v>
      </c>
      <c r="F82" s="10">
        <v>0</v>
      </c>
      <c r="G82" s="16">
        <v>336.28800000000001</v>
      </c>
      <c r="H82" s="16">
        <v>586.6</v>
      </c>
      <c r="I82" s="16">
        <v>0</v>
      </c>
      <c r="J82" s="16">
        <v>35.457264050901358</v>
      </c>
      <c r="K82" s="162">
        <v>124.04138883603632</v>
      </c>
      <c r="L82" s="111">
        <f>L81+(L92-L80)/12</f>
        <v>43121.25</v>
      </c>
      <c r="M82" s="10">
        <v>121320</v>
      </c>
      <c r="N82" s="10">
        <f>U18+U19*C82+U20*D82+U21*E82+U22*F82+U23*G82+U24*H82+U25*I82+U26*J82</f>
        <v>127525115.99320731</v>
      </c>
      <c r="O82" s="53">
        <f t="shared" si="4"/>
        <v>-9448424.0067926943</v>
      </c>
      <c r="P82" s="171">
        <f t="shared" si="5"/>
        <v>-6.897992128109337E-2</v>
      </c>
      <c r="Q82" s="13">
        <f t="shared" si="6"/>
        <v>6.897992128109337E-2</v>
      </c>
      <c r="R82" s="13"/>
      <c r="S82" s="13"/>
      <c r="T82" s="34"/>
      <c r="U82" s="34"/>
      <c r="V82" s="34"/>
      <c r="W82" s="34"/>
      <c r="X82" s="34"/>
      <c r="Y82" s="34"/>
      <c r="Z82" s="34"/>
      <c r="AA82" s="34"/>
      <c r="AB82" s="34"/>
    </row>
    <row r="83" spans="1:43" x14ac:dyDescent="0.2">
      <c r="A83" s="54">
        <f t="shared" si="7"/>
        <v>37529</v>
      </c>
      <c r="B83" s="10">
        <v>126481700</v>
      </c>
      <c r="C83" s="1">
        <v>50.2</v>
      </c>
      <c r="D83" s="1">
        <v>47</v>
      </c>
      <c r="E83" s="10">
        <v>30</v>
      </c>
      <c r="F83" s="10">
        <v>1</v>
      </c>
      <c r="G83" s="16">
        <v>319.68</v>
      </c>
      <c r="H83" s="16">
        <v>583.20000000000005</v>
      </c>
      <c r="I83" s="16">
        <v>0</v>
      </c>
      <c r="J83" s="16">
        <v>35.251749734888676</v>
      </c>
      <c r="K83" s="162">
        <v>124.40809893307186</v>
      </c>
      <c r="L83" s="111">
        <f>L82+(L92-L80)/12</f>
        <v>43220</v>
      </c>
      <c r="M83" s="10">
        <v>121554</v>
      </c>
      <c r="N83" s="10">
        <f>U18+U19*C83+U20*D83+U21*E83+U22*F83+U23*G83+U24*H83+U25*I83+U26*J83</f>
        <v>118084378.33141866</v>
      </c>
      <c r="O83" s="53">
        <f t="shared" si="4"/>
        <v>-8397321.6685813367</v>
      </c>
      <c r="P83" s="171">
        <f t="shared" si="5"/>
        <v>-6.6391593950597891E-2</v>
      </c>
      <c r="Q83" s="13">
        <f t="shared" si="6"/>
        <v>6.6391593950597891E-2</v>
      </c>
      <c r="R83" s="13"/>
      <c r="S83" s="13"/>
      <c r="T83" s="34"/>
      <c r="U83" s="34"/>
      <c r="V83" s="34"/>
      <c r="W83" s="34"/>
      <c r="X83" s="34"/>
      <c r="Y83" s="34"/>
      <c r="Z83" s="34"/>
      <c r="AA83" s="34"/>
      <c r="AB83" s="34"/>
    </row>
    <row r="84" spans="1:43" x14ac:dyDescent="0.2">
      <c r="A84" s="54">
        <f t="shared" si="7"/>
        <v>37560</v>
      </c>
      <c r="B84" s="10">
        <v>124987330</v>
      </c>
      <c r="C84" s="1">
        <v>345.6</v>
      </c>
      <c r="D84" s="1">
        <v>6.3</v>
      </c>
      <c r="E84" s="10">
        <v>31</v>
      </c>
      <c r="F84" s="10">
        <v>1</v>
      </c>
      <c r="G84" s="16">
        <v>351.91199999999998</v>
      </c>
      <c r="H84" s="16">
        <v>582.9</v>
      </c>
      <c r="I84" s="16">
        <v>0</v>
      </c>
      <c r="J84" s="16">
        <v>35.233616118769874</v>
      </c>
      <c r="K84" s="162">
        <v>124.7758931544995</v>
      </c>
      <c r="L84" s="111">
        <f>L83+(L92-L80)/12</f>
        <v>43318.75</v>
      </c>
      <c r="M84" s="10">
        <v>121788</v>
      </c>
      <c r="N84" s="10">
        <f>U18+U19*C84+U20*D84+U21*E84+U22*F84+U23*G84+U24*H84+U25*I84+U26*J84</f>
        <v>121381028.4174127</v>
      </c>
      <c r="O84" s="53">
        <f t="shared" si="4"/>
        <v>-3606301.5825873017</v>
      </c>
      <c r="P84" s="171">
        <f t="shared" si="5"/>
        <v>-2.8853337234960551E-2</v>
      </c>
      <c r="Q84" s="13">
        <f t="shared" si="6"/>
        <v>2.8853337234960551E-2</v>
      </c>
      <c r="R84" s="13"/>
      <c r="S84" s="13"/>
    </row>
    <row r="85" spans="1:43" x14ac:dyDescent="0.2">
      <c r="A85" s="54">
        <f t="shared" si="7"/>
        <v>37590</v>
      </c>
      <c r="B85" s="10">
        <v>124898770</v>
      </c>
      <c r="C85" s="1">
        <v>486.4</v>
      </c>
      <c r="D85" s="1">
        <v>0</v>
      </c>
      <c r="E85" s="10">
        <v>30</v>
      </c>
      <c r="F85" s="10">
        <v>1</v>
      </c>
      <c r="G85" s="16">
        <v>336.24</v>
      </c>
      <c r="H85" s="16">
        <v>583.5</v>
      </c>
      <c r="I85" s="16">
        <v>0</v>
      </c>
      <c r="J85" s="16">
        <v>35.269883351007479</v>
      </c>
      <c r="K85" s="162">
        <v>125.14477470537335</v>
      </c>
      <c r="L85" s="111">
        <f>L84+(L92-L80)/12</f>
        <v>43417.5</v>
      </c>
      <c r="M85" s="10">
        <v>122022</v>
      </c>
      <c r="N85" s="10">
        <f>U18+U19*C85+U20*D85+U21*E85+U22*F85+U23*G85+U24*H85+U25*I85+U26*J85</f>
        <v>120130601.22593838</v>
      </c>
      <c r="O85" s="53">
        <f t="shared" si="4"/>
        <v>-4768168.7740616202</v>
      </c>
      <c r="P85" s="171">
        <f t="shared" si="5"/>
        <v>-3.8176266860447228E-2</v>
      </c>
      <c r="Q85" s="13">
        <f t="shared" si="6"/>
        <v>3.8176266860447228E-2</v>
      </c>
      <c r="R85" s="13"/>
      <c r="S85" s="13"/>
    </row>
    <row r="86" spans="1:43" s="32" customFormat="1" x14ac:dyDescent="0.2">
      <c r="A86" s="54">
        <f t="shared" si="7"/>
        <v>37621</v>
      </c>
      <c r="B86" s="10">
        <v>127352230</v>
      </c>
      <c r="C86" s="1">
        <v>675.6</v>
      </c>
      <c r="D86" s="1">
        <v>0</v>
      </c>
      <c r="E86" s="10">
        <v>31</v>
      </c>
      <c r="F86" s="10">
        <v>0</v>
      </c>
      <c r="G86" s="16">
        <v>319.92</v>
      </c>
      <c r="H86" s="16">
        <v>591.79999999999995</v>
      </c>
      <c r="I86" s="16">
        <v>0</v>
      </c>
      <c r="J86" s="16">
        <v>35.771580063626743</v>
      </c>
      <c r="K86" s="162">
        <v>125.51474680022261</v>
      </c>
      <c r="L86" s="111">
        <f>L85+(L92-L80)/12</f>
        <v>43516.25</v>
      </c>
      <c r="M86" s="10">
        <v>122256</v>
      </c>
      <c r="N86" s="10">
        <f>U18+U19*C86+U20*D86+U21*E86+U22*F86+U23*G86+U24*H86+U25*I86+U26*J86</f>
        <v>127136036.73319077</v>
      </c>
      <c r="O86" s="53">
        <f t="shared" si="4"/>
        <v>-216193.26680922508</v>
      </c>
      <c r="P86" s="171">
        <f t="shared" si="5"/>
        <v>-1.697600951386757E-3</v>
      </c>
      <c r="Q86" s="13">
        <f t="shared" si="6"/>
        <v>1.697600951386757E-3</v>
      </c>
      <c r="R86" s="13"/>
      <c r="S86" s="13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</row>
    <row r="87" spans="1:43" x14ac:dyDescent="0.2">
      <c r="A87" s="54">
        <f t="shared" si="7"/>
        <v>37652</v>
      </c>
      <c r="B87" s="10">
        <v>136012740</v>
      </c>
      <c r="C87" s="1">
        <v>868.4</v>
      </c>
      <c r="D87" s="1">
        <v>0</v>
      </c>
      <c r="E87" s="10">
        <v>31</v>
      </c>
      <c r="F87" s="10">
        <v>0</v>
      </c>
      <c r="G87" s="16">
        <v>351.91199999999998</v>
      </c>
      <c r="H87" s="16">
        <v>591.29999999999995</v>
      </c>
      <c r="I87" s="16">
        <v>0</v>
      </c>
      <c r="J87" s="16">
        <v>34.414285714285711</v>
      </c>
      <c r="K87" s="162">
        <v>125.66024937363977</v>
      </c>
      <c r="L87" s="111">
        <f>L86+(L92-L80)/12</f>
        <v>43615</v>
      </c>
      <c r="M87" s="10">
        <v>122425</v>
      </c>
      <c r="N87" s="10">
        <f>U18+U19*C87+U20*D87+U21*E87+U22*F87+U23*G87+U24*H87+U25*I87+U26*J87</f>
        <v>134927844.47745648</v>
      </c>
      <c r="O87" s="53">
        <f t="shared" si="4"/>
        <v>-1084895.5225435197</v>
      </c>
      <c r="P87" s="171">
        <f t="shared" si="5"/>
        <v>-7.9764257564660466E-3</v>
      </c>
      <c r="Q87" s="13">
        <f t="shared" si="6"/>
        <v>7.9764257564660466E-3</v>
      </c>
      <c r="R87" s="13"/>
      <c r="S87" s="13"/>
    </row>
    <row r="88" spans="1:43" x14ac:dyDescent="0.2">
      <c r="A88" s="54">
        <f t="shared" si="7"/>
        <v>37680</v>
      </c>
      <c r="B88" s="10">
        <v>124189300</v>
      </c>
      <c r="C88" s="1">
        <v>755.9</v>
      </c>
      <c r="D88" s="1">
        <v>0</v>
      </c>
      <c r="E88" s="10">
        <v>28</v>
      </c>
      <c r="F88" s="10">
        <v>0</v>
      </c>
      <c r="G88" s="16">
        <v>319.87200000000001</v>
      </c>
      <c r="H88" s="16">
        <v>588.4</v>
      </c>
      <c r="I88" s="16">
        <v>0</v>
      </c>
      <c r="J88" s="16">
        <v>34.245502645502711</v>
      </c>
      <c r="K88" s="162">
        <v>125.80592062045517</v>
      </c>
      <c r="L88" s="111">
        <f>L87+(L92-L80)/12</f>
        <v>43713.75</v>
      </c>
      <c r="M88" s="10">
        <v>122594</v>
      </c>
      <c r="N88" s="10">
        <f>U18+U19*C88+U20*D88+U21*E88+U22*F88+U23*G88+U24*H88+U25*I88+U26*J88</f>
        <v>123937022.0030451</v>
      </c>
      <c r="O88" s="53">
        <f t="shared" si="4"/>
        <v>-252277.99695490301</v>
      </c>
      <c r="P88" s="171">
        <f t="shared" si="5"/>
        <v>-2.0313988157989698E-3</v>
      </c>
      <c r="Q88" s="13">
        <f t="shared" si="6"/>
        <v>2.0313988157989698E-3</v>
      </c>
      <c r="R88" s="13"/>
      <c r="S88" s="13"/>
    </row>
    <row r="89" spans="1:43" x14ac:dyDescent="0.2">
      <c r="A89" s="54">
        <f t="shared" si="7"/>
        <v>37711</v>
      </c>
      <c r="B89" s="10">
        <v>130304230</v>
      </c>
      <c r="C89" s="1">
        <v>638.70000000000005</v>
      </c>
      <c r="D89" s="1">
        <v>0</v>
      </c>
      <c r="E89" s="10">
        <v>31</v>
      </c>
      <c r="F89" s="10">
        <v>1</v>
      </c>
      <c r="G89" s="16">
        <v>336.28800000000001</v>
      </c>
      <c r="H89" s="16">
        <v>584.5</v>
      </c>
      <c r="I89" s="16">
        <v>0</v>
      </c>
      <c r="J89" s="16">
        <v>34.01851851851859</v>
      </c>
      <c r="K89" s="162">
        <v>125.9517607362029</v>
      </c>
      <c r="L89" s="111">
        <f>L88+(L92-L80)/12</f>
        <v>43812.5</v>
      </c>
      <c r="M89" s="10">
        <v>122763</v>
      </c>
      <c r="N89" s="10">
        <f>U18+U19*C89+U20*D89+U21*E89+U22*F89+U23*G89+U24*H89+U25*I89+U26*J89</f>
        <v>125614765.89430049</v>
      </c>
      <c r="O89" s="53">
        <f t="shared" si="4"/>
        <v>-4689464.1056995094</v>
      </c>
      <c r="P89" s="171">
        <f t="shared" si="5"/>
        <v>-3.5988579232612089E-2</v>
      </c>
      <c r="Q89" s="13">
        <f t="shared" si="6"/>
        <v>3.5988579232612089E-2</v>
      </c>
      <c r="R89" s="13"/>
      <c r="S89" s="13"/>
    </row>
    <row r="90" spans="1:43" x14ac:dyDescent="0.2">
      <c r="A90" s="54">
        <f t="shared" si="7"/>
        <v>37741</v>
      </c>
      <c r="B90" s="10">
        <v>119866539.99999999</v>
      </c>
      <c r="C90" s="1">
        <v>397.4</v>
      </c>
      <c r="D90" s="1">
        <v>0.7</v>
      </c>
      <c r="E90" s="10">
        <v>30</v>
      </c>
      <c r="F90" s="10">
        <v>1</v>
      </c>
      <c r="G90" s="16">
        <v>336.24</v>
      </c>
      <c r="H90" s="16">
        <v>587.79999999999995</v>
      </c>
      <c r="I90" s="16">
        <v>0</v>
      </c>
      <c r="J90" s="16">
        <v>34.210582010582016</v>
      </c>
      <c r="K90" s="162">
        <v>126.09776991664374</v>
      </c>
      <c r="L90" s="111">
        <f>L89+(L92-L80)/12</f>
        <v>43911.25</v>
      </c>
      <c r="M90" s="10">
        <v>122932</v>
      </c>
      <c r="N90" s="10">
        <f>U18+U19*C90+U20*D90+U21*E90+U22*F90+U23*G90+U24*H90+U25*I90+U26*J90</f>
        <v>119594483.37806758</v>
      </c>
      <c r="O90" s="53">
        <f t="shared" si="4"/>
        <v>-272056.62193240225</v>
      </c>
      <c r="P90" s="171">
        <f t="shared" si="5"/>
        <v>-2.2696627593688972E-3</v>
      </c>
      <c r="Q90" s="13">
        <f t="shared" si="6"/>
        <v>2.2696627593688972E-3</v>
      </c>
      <c r="R90" s="13"/>
      <c r="S90" s="13"/>
    </row>
    <row r="91" spans="1:43" x14ac:dyDescent="0.2">
      <c r="A91" s="54">
        <f t="shared" si="7"/>
        <v>37772</v>
      </c>
      <c r="B91" s="10">
        <v>118911520</v>
      </c>
      <c r="C91" s="1">
        <v>217</v>
      </c>
      <c r="D91" s="1">
        <v>0</v>
      </c>
      <c r="E91" s="10">
        <v>31</v>
      </c>
      <c r="F91" s="10">
        <v>1</v>
      </c>
      <c r="G91" s="16">
        <v>336.28800000000001</v>
      </c>
      <c r="H91" s="16">
        <v>596.4</v>
      </c>
      <c r="I91" s="16">
        <v>0</v>
      </c>
      <c r="J91" s="16">
        <v>34.711111111111109</v>
      </c>
      <c r="K91" s="162">
        <v>126.2439483577654</v>
      </c>
      <c r="L91" s="111">
        <f>L90+(L92-L80)/12</f>
        <v>44010</v>
      </c>
      <c r="M91" s="10">
        <v>123101</v>
      </c>
      <c r="N91" s="10">
        <f>U18+U19*C91+U20*D91+U21*E91+U22*F91+U23*G91+U24*H91+U25*I91+U26*J91</f>
        <v>118782865.1368141</v>
      </c>
      <c r="O91" s="53">
        <f t="shared" si="4"/>
        <v>-128654.86318589747</v>
      </c>
      <c r="P91" s="171">
        <f t="shared" si="5"/>
        <v>-1.0819377566269228E-3</v>
      </c>
      <c r="Q91" s="13">
        <f t="shared" si="6"/>
        <v>1.0819377566269228E-3</v>
      </c>
      <c r="R91" s="13"/>
      <c r="S91" s="13"/>
    </row>
    <row r="92" spans="1:43" x14ac:dyDescent="0.2">
      <c r="A92" s="54">
        <f t="shared" si="7"/>
        <v>37802</v>
      </c>
      <c r="B92" s="10">
        <v>123452030</v>
      </c>
      <c r="C92" s="1">
        <v>65.3</v>
      </c>
      <c r="D92" s="1">
        <v>25.5</v>
      </c>
      <c r="E92" s="10">
        <v>30</v>
      </c>
      <c r="F92" s="10">
        <v>0</v>
      </c>
      <c r="G92" s="16">
        <v>336.24</v>
      </c>
      <c r="H92" s="16">
        <v>601.70000000000005</v>
      </c>
      <c r="I92" s="16">
        <v>0</v>
      </c>
      <c r="J92" s="16">
        <v>35.019576719576776</v>
      </c>
      <c r="K92" s="162">
        <v>126.3902962557828</v>
      </c>
      <c r="L92" s="111">
        <f>'Rate Class Customer Model'!N7</f>
        <v>44108.75</v>
      </c>
      <c r="M92" s="10">
        <v>123270</v>
      </c>
      <c r="N92" s="10">
        <f>U18+U19*C92+U20*D92+U21*E92+U22*F92+U23*G92+U24*H92+U25*I92+U26*J92</f>
        <v>121345026.10643713</v>
      </c>
      <c r="O92" s="53">
        <f t="shared" si="4"/>
        <v>-2107003.8935628682</v>
      </c>
      <c r="P92" s="171">
        <f t="shared" si="5"/>
        <v>-1.7067389605200239E-2</v>
      </c>
      <c r="Q92" s="13">
        <f t="shared" si="6"/>
        <v>1.7067389605200239E-2</v>
      </c>
      <c r="R92" s="13"/>
      <c r="S92" s="13"/>
    </row>
    <row r="93" spans="1:43" x14ac:dyDescent="0.2">
      <c r="A93" s="54">
        <f t="shared" si="7"/>
        <v>37833</v>
      </c>
      <c r="B93" s="10">
        <v>133250359.99999999</v>
      </c>
      <c r="C93" s="1">
        <v>12.5</v>
      </c>
      <c r="D93" s="1">
        <v>50.1</v>
      </c>
      <c r="E93" s="10">
        <v>31</v>
      </c>
      <c r="F93" s="10">
        <v>0</v>
      </c>
      <c r="G93" s="16">
        <v>351.91199999999998</v>
      </c>
      <c r="H93" s="16">
        <v>605.70000000000005</v>
      </c>
      <c r="I93" s="16">
        <v>0</v>
      </c>
      <c r="J93" s="16">
        <v>35.252380952381031</v>
      </c>
      <c r="K93" s="162">
        <v>126.5368138071383</v>
      </c>
      <c r="L93" s="111">
        <f>L92+(L104-L92)/12</f>
        <v>44215.3125</v>
      </c>
      <c r="M93" s="10">
        <v>123439</v>
      </c>
      <c r="N93" s="10">
        <f>U18+U19*C93+U20*D93+U21*E93+U22*F93+U23*G93+U24*H93+U25*I93+U26*J93</f>
        <v>128933831.34783092</v>
      </c>
      <c r="O93" s="53">
        <f t="shared" si="4"/>
        <v>-4316528.6521690637</v>
      </c>
      <c r="P93" s="171">
        <f t="shared" si="5"/>
        <v>-3.2394123754480392E-2</v>
      </c>
      <c r="Q93" s="13">
        <f t="shared" si="6"/>
        <v>3.2394123754480392E-2</v>
      </c>
      <c r="R93" s="13"/>
      <c r="S93" s="13"/>
    </row>
    <row r="94" spans="1:43" x14ac:dyDescent="0.2">
      <c r="A94" s="54">
        <f t="shared" si="7"/>
        <v>37864</v>
      </c>
      <c r="B94" s="10">
        <v>130044509.99999999</v>
      </c>
      <c r="C94" s="1">
        <v>18.899999999999999</v>
      </c>
      <c r="D94" s="1">
        <v>72.400000000000006</v>
      </c>
      <c r="E94" s="10">
        <v>31</v>
      </c>
      <c r="F94" s="10">
        <v>0</v>
      </c>
      <c r="G94" s="16">
        <v>319.92</v>
      </c>
      <c r="H94" s="16">
        <v>607.6</v>
      </c>
      <c r="I94" s="16">
        <v>0</v>
      </c>
      <c r="J94" s="16">
        <v>35.362962962963024</v>
      </c>
      <c r="K94" s="162">
        <v>126.68350120850199</v>
      </c>
      <c r="L94" s="111">
        <f>L93+(L104-L92)/12</f>
        <v>44321.875</v>
      </c>
      <c r="M94" s="10">
        <v>123608</v>
      </c>
      <c r="N94" s="10">
        <f>U18+U19*C94+U20*D94+U21*E94+U22*F94+U23*G94+U24*H94+U25*I94+U26*J94</f>
        <v>130481504.63014033</v>
      </c>
      <c r="O94" s="53">
        <f t="shared" si="4"/>
        <v>436994.63014034927</v>
      </c>
      <c r="P94" s="171">
        <f t="shared" si="5"/>
        <v>3.3603466239393674E-3</v>
      </c>
      <c r="Q94" s="13">
        <f t="shared" si="6"/>
        <v>3.3603466239393674E-3</v>
      </c>
      <c r="R94" s="13"/>
      <c r="S94" s="13"/>
    </row>
    <row r="95" spans="1:43" x14ac:dyDescent="0.2">
      <c r="A95" s="54">
        <f t="shared" si="7"/>
        <v>37894</v>
      </c>
      <c r="B95" s="10">
        <v>123893240</v>
      </c>
      <c r="C95" s="1">
        <v>104.1</v>
      </c>
      <c r="D95" s="1">
        <v>6</v>
      </c>
      <c r="E95" s="10">
        <v>30</v>
      </c>
      <c r="F95" s="10">
        <v>1</v>
      </c>
      <c r="G95" s="16">
        <v>336.24</v>
      </c>
      <c r="H95" s="16">
        <v>607.6</v>
      </c>
      <c r="I95" s="16">
        <v>0</v>
      </c>
      <c r="J95" s="16">
        <v>35.362962962963024</v>
      </c>
      <c r="K95" s="162">
        <v>126.83035865677196</v>
      </c>
      <c r="L95" s="111">
        <f>L94+(L104-L92)/12</f>
        <v>44428.4375</v>
      </c>
      <c r="M95" s="10">
        <v>123777</v>
      </c>
      <c r="N95" s="10">
        <f>U18+U19*C95+U20*D95+U21*E95+U22*F95+U23*G95+U24*H95+U25*I95+U26*J95</f>
        <v>118078671.17498285</v>
      </c>
      <c r="O95" s="53">
        <f t="shared" si="4"/>
        <v>-5814568.8250171542</v>
      </c>
      <c r="P95" s="171">
        <f t="shared" si="5"/>
        <v>-4.6932091089208372E-2</v>
      </c>
      <c r="Q95" s="13">
        <f t="shared" si="6"/>
        <v>4.6932091089208372E-2</v>
      </c>
      <c r="R95" s="13"/>
      <c r="S95" s="13"/>
    </row>
    <row r="96" spans="1:43" x14ac:dyDescent="0.2">
      <c r="A96" s="54">
        <f t="shared" si="7"/>
        <v>37925</v>
      </c>
      <c r="B96" s="10">
        <v>127104740</v>
      </c>
      <c r="C96" s="1">
        <v>331.9</v>
      </c>
      <c r="D96" s="1">
        <v>0</v>
      </c>
      <c r="E96" s="10">
        <v>31</v>
      </c>
      <c r="F96" s="10">
        <v>1</v>
      </c>
      <c r="G96" s="16">
        <v>351.91199999999998</v>
      </c>
      <c r="H96" s="16">
        <v>609.5</v>
      </c>
      <c r="I96" s="16">
        <v>0</v>
      </c>
      <c r="J96" s="16">
        <v>35.473544973545017</v>
      </c>
      <c r="K96" s="162">
        <v>126.97738634907456</v>
      </c>
      <c r="L96" s="111">
        <f>L95+(L104-L92)/12</f>
        <v>44535</v>
      </c>
      <c r="M96" s="10">
        <v>123946</v>
      </c>
      <c r="N96" s="10">
        <f>U18+U19*C96+U20*D96+U21*E96+U22*F96+U23*G96+U24*H96+U25*I96+U26*J96</f>
        <v>125378700.22098482</v>
      </c>
      <c r="O96" s="53">
        <f t="shared" si="4"/>
        <v>-1726039.7790151834</v>
      </c>
      <c r="P96" s="171">
        <f t="shared" si="5"/>
        <v>-1.3579664920562234E-2</v>
      </c>
      <c r="Q96" s="13">
        <f t="shared" si="6"/>
        <v>1.3579664920562234E-2</v>
      </c>
      <c r="R96" s="13"/>
      <c r="S96" s="13"/>
    </row>
    <row r="97" spans="1:20" x14ac:dyDescent="0.2">
      <c r="A97" s="54">
        <f t="shared" si="7"/>
        <v>37955</v>
      </c>
      <c r="B97" s="10">
        <v>126597630</v>
      </c>
      <c r="C97" s="1">
        <v>434.4</v>
      </c>
      <c r="D97" s="1">
        <v>0</v>
      </c>
      <c r="E97" s="10">
        <v>30</v>
      </c>
      <c r="F97" s="10">
        <v>1</v>
      </c>
      <c r="G97" s="16">
        <v>319.68</v>
      </c>
      <c r="H97" s="16">
        <v>609</v>
      </c>
      <c r="I97" s="16">
        <v>0</v>
      </c>
      <c r="J97" s="16">
        <v>35.444444444444457</v>
      </c>
      <c r="K97" s="162">
        <v>127.12458448276465</v>
      </c>
      <c r="L97" s="111">
        <f>L96+(L104-L92)/12</f>
        <v>44641.5625</v>
      </c>
      <c r="M97" s="10">
        <v>124115</v>
      </c>
      <c r="N97" s="10">
        <f>U18+U19*C97+U20*D97+U21*E97+U22*F97+U23*G97+U24*H97+U25*I97+U26*J97</f>
        <v>122612894.65083118</v>
      </c>
      <c r="O97" s="53">
        <f t="shared" si="4"/>
        <v>-3984735.3491688222</v>
      </c>
      <c r="P97" s="171">
        <f t="shared" si="5"/>
        <v>-3.1475591993063552E-2</v>
      </c>
      <c r="Q97" s="13">
        <f t="shared" si="6"/>
        <v>3.1475591993063552E-2</v>
      </c>
      <c r="R97" s="13"/>
      <c r="S97" s="13"/>
    </row>
    <row r="98" spans="1:20" x14ac:dyDescent="0.2">
      <c r="A98" s="54">
        <f t="shared" si="7"/>
        <v>37986</v>
      </c>
      <c r="B98" s="10">
        <v>130090690</v>
      </c>
      <c r="C98" s="1">
        <v>610</v>
      </c>
      <c r="D98" s="1">
        <v>0</v>
      </c>
      <c r="E98" s="16">
        <v>31</v>
      </c>
      <c r="F98" s="16">
        <v>0</v>
      </c>
      <c r="G98" s="16">
        <v>336.28800000000001</v>
      </c>
      <c r="H98" s="16">
        <v>609.20000000000005</v>
      </c>
      <c r="I98" s="16">
        <v>0</v>
      </c>
      <c r="J98" s="16">
        <v>35.456084656084727</v>
      </c>
      <c r="K98" s="162">
        <v>127.27195325542573</v>
      </c>
      <c r="L98" s="111">
        <f>L97+(L104-L92)/12</f>
        <v>44748.125</v>
      </c>
      <c r="M98" s="10">
        <v>124284</v>
      </c>
      <c r="N98" s="10">
        <f>U18+U19*C98+U20*D98+U21*E98+U22*F98+U23*G98+U24*H98+U25*I98+U26*J98</f>
        <v>131165656.23015438</v>
      </c>
      <c r="O98" s="53">
        <f t="shared" si="4"/>
        <v>1074966.2301543802</v>
      </c>
      <c r="P98" s="171">
        <f t="shared" si="5"/>
        <v>8.2632064612339299E-3</v>
      </c>
      <c r="Q98" s="13">
        <f t="shared" si="6"/>
        <v>8.2632064612339299E-3</v>
      </c>
      <c r="R98" s="13"/>
      <c r="S98" s="13"/>
      <c r="T98" s="57"/>
    </row>
    <row r="99" spans="1:20" x14ac:dyDescent="0.2">
      <c r="A99" s="54">
        <f>EOMONTH(A98,1)</f>
        <v>38017</v>
      </c>
      <c r="B99" s="10">
        <v>140542520</v>
      </c>
      <c r="C99" s="1">
        <v>879.2</v>
      </c>
      <c r="D99" s="1">
        <v>0</v>
      </c>
      <c r="E99" s="10">
        <v>31</v>
      </c>
      <c r="F99" s="10">
        <v>0</v>
      </c>
      <c r="G99" s="16">
        <v>336.28800000000001</v>
      </c>
      <c r="H99" s="16">
        <v>605</v>
      </c>
      <c r="I99" s="16">
        <v>0</v>
      </c>
      <c r="J99" s="16">
        <v>31.842105263157919</v>
      </c>
      <c r="K99" s="162">
        <v>127.53411264087498</v>
      </c>
      <c r="L99" s="111">
        <f>L98+(L104-L92)/12</f>
        <v>44854.6875</v>
      </c>
      <c r="M99" s="10">
        <v>124546</v>
      </c>
      <c r="N99" s="10">
        <f>U18+U19*C99+U20*D99+U21*E99+U22*F99+U23*G99+U24*H99+U25*I99+U26*J99</f>
        <v>137276645.4335441</v>
      </c>
      <c r="O99" s="53">
        <f t="shared" si="4"/>
        <v>-3265874.5664559007</v>
      </c>
      <c r="P99" s="171">
        <f t="shared" si="5"/>
        <v>-2.3237626352906583E-2</v>
      </c>
      <c r="Q99" s="13">
        <f t="shared" si="6"/>
        <v>2.3237626352906583E-2</v>
      </c>
      <c r="R99" s="13"/>
      <c r="S99" s="13"/>
      <c r="T99" s="57"/>
    </row>
    <row r="100" spans="1:20" x14ac:dyDescent="0.2">
      <c r="A100" s="54">
        <f t="shared" si="7"/>
        <v>38046</v>
      </c>
      <c r="B100" s="10">
        <v>129380670</v>
      </c>
      <c r="C100" s="1">
        <v>699.2</v>
      </c>
      <c r="D100" s="1">
        <v>0</v>
      </c>
      <c r="E100" s="10">
        <v>28</v>
      </c>
      <c r="F100" s="10">
        <v>0</v>
      </c>
      <c r="G100" s="16">
        <v>320.16000000000003</v>
      </c>
      <c r="H100" s="16">
        <v>599.4</v>
      </c>
      <c r="I100" s="16">
        <v>0</v>
      </c>
      <c r="J100" s="16">
        <v>31.547368421052624</v>
      </c>
      <c r="K100" s="162">
        <v>127.79681203173486</v>
      </c>
      <c r="L100" s="111">
        <f>L99+(L104-L92)/12</f>
        <v>44961.25</v>
      </c>
      <c r="M100" s="10">
        <v>124808</v>
      </c>
      <c r="N100" s="10">
        <f>U18+U19*C100+U20*D100+U21*E100+U22*F100+U23*G100+U24*H100+U25*I100+U26*J100</f>
        <v>125936663.03834786</v>
      </c>
      <c r="O100" s="53">
        <f t="shared" si="4"/>
        <v>-3444006.9616521448</v>
      </c>
      <c r="P100" s="171">
        <f t="shared" si="5"/>
        <v>-2.6619177050575985E-2</v>
      </c>
      <c r="Q100" s="13">
        <f t="shared" si="6"/>
        <v>2.6619177050575985E-2</v>
      </c>
      <c r="R100" s="13"/>
      <c r="S100" s="13"/>
      <c r="T100" s="57"/>
    </row>
    <row r="101" spans="1:20" x14ac:dyDescent="0.2">
      <c r="A101" s="54">
        <f t="shared" si="7"/>
        <v>38077</v>
      </c>
      <c r="B101" s="10">
        <v>134629040</v>
      </c>
      <c r="C101" s="1">
        <v>540.9</v>
      </c>
      <c r="D101" s="1">
        <v>0</v>
      </c>
      <c r="E101" s="10">
        <v>31</v>
      </c>
      <c r="F101" s="10">
        <v>1</v>
      </c>
      <c r="G101" s="16">
        <v>368.28</v>
      </c>
      <c r="H101" s="16">
        <v>595.4</v>
      </c>
      <c r="I101" s="16">
        <v>0</v>
      </c>
      <c r="J101" s="16">
        <v>31.336842105263145</v>
      </c>
      <c r="K101" s="162">
        <v>128.06005254032812</v>
      </c>
      <c r="L101" s="111">
        <f>L100+(L104-L92)/12</f>
        <v>45067.8125</v>
      </c>
      <c r="M101" s="10">
        <v>125070</v>
      </c>
      <c r="N101" s="10">
        <f>U18+U19*C101+U20*D101+U21*E101+U22*F101+U23*G101+U24*H101+U25*I101+U26*J101</f>
        <v>129959722.08887319</v>
      </c>
      <c r="O101" s="53">
        <f t="shared" si="4"/>
        <v>-4669317.9111268073</v>
      </c>
      <c r="P101" s="171">
        <f t="shared" si="5"/>
        <v>-3.4682843397879144E-2</v>
      </c>
      <c r="Q101" s="13">
        <f t="shared" si="6"/>
        <v>3.4682843397879144E-2</v>
      </c>
      <c r="R101" s="13"/>
      <c r="S101" s="13"/>
    </row>
    <row r="102" spans="1:20" x14ac:dyDescent="0.2">
      <c r="A102" s="54">
        <f t="shared" si="7"/>
        <v>38107</v>
      </c>
      <c r="B102" s="10">
        <v>121654149.99999999</v>
      </c>
      <c r="C102" s="1">
        <v>354.1</v>
      </c>
      <c r="D102" s="1">
        <v>0</v>
      </c>
      <c r="E102" s="10">
        <v>30</v>
      </c>
      <c r="F102" s="10">
        <v>1</v>
      </c>
      <c r="G102" s="16">
        <v>336.24</v>
      </c>
      <c r="H102" s="16">
        <v>597.70000000000005</v>
      </c>
      <c r="I102" s="16">
        <v>0</v>
      </c>
      <c r="J102" s="16">
        <v>31.45789473684215</v>
      </c>
      <c r="K102" s="162">
        <v>128.32383528126866</v>
      </c>
      <c r="L102" s="111">
        <f>L101+(L104-L92)/12</f>
        <v>45174.375</v>
      </c>
      <c r="M102" s="10">
        <v>125332</v>
      </c>
      <c r="N102" s="10">
        <f>U18+U19*C102+U20*D102+U21*E102+U22*F102+U23*G102+U24*H102+U25*I102+U26*J102</f>
        <v>121504273.59073965</v>
      </c>
      <c r="O102" s="53">
        <f t="shared" si="4"/>
        <v>-149876.40926033258</v>
      </c>
      <c r="P102" s="171">
        <f t="shared" si="5"/>
        <v>-1.2319876408682531E-3</v>
      </c>
      <c r="Q102" s="13">
        <f t="shared" si="6"/>
        <v>1.2319876408682531E-3</v>
      </c>
      <c r="R102" s="13"/>
      <c r="S102" s="13"/>
    </row>
    <row r="103" spans="1:20" x14ac:dyDescent="0.2">
      <c r="A103" s="54">
        <f t="shared" si="7"/>
        <v>38138</v>
      </c>
      <c r="B103" s="10">
        <v>123911560</v>
      </c>
      <c r="C103" s="1">
        <v>196.2</v>
      </c>
      <c r="D103" s="1">
        <v>6.7</v>
      </c>
      <c r="E103" s="10">
        <v>31</v>
      </c>
      <c r="F103" s="10">
        <v>1</v>
      </c>
      <c r="G103" s="16">
        <v>319.92</v>
      </c>
      <c r="H103" s="16">
        <v>605.6</v>
      </c>
      <c r="I103" s="16">
        <v>0</v>
      </c>
      <c r="J103" s="16">
        <v>31.873684210526335</v>
      </c>
      <c r="K103" s="162">
        <v>128.58816137146633</v>
      </c>
      <c r="L103" s="111">
        <f>L102+(L104-L92)/12</f>
        <v>45280.9375</v>
      </c>
      <c r="M103" s="10">
        <v>125594</v>
      </c>
      <c r="N103" s="10">
        <f>U18+U19*C103+U20*D103+U21*E103+U22*F103+U23*G103+U24*H103+U25*I103+U26*J103</f>
        <v>120814738.3872564</v>
      </c>
      <c r="O103" s="53">
        <f t="shared" si="4"/>
        <v>-3096821.6127436012</v>
      </c>
      <c r="P103" s="171">
        <f t="shared" si="5"/>
        <v>-2.4992192921658007E-2</v>
      </c>
      <c r="Q103" s="13">
        <f t="shared" si="6"/>
        <v>2.4992192921658007E-2</v>
      </c>
      <c r="R103" s="13"/>
      <c r="S103" s="13"/>
    </row>
    <row r="104" spans="1:20" x14ac:dyDescent="0.2">
      <c r="A104" s="54">
        <f t="shared" si="7"/>
        <v>38168</v>
      </c>
      <c r="B104" s="10">
        <v>128521509.99999999</v>
      </c>
      <c r="C104" s="1">
        <v>92.5</v>
      </c>
      <c r="D104" s="1">
        <v>16.3</v>
      </c>
      <c r="E104" s="10">
        <v>30</v>
      </c>
      <c r="F104" s="10">
        <v>0</v>
      </c>
      <c r="G104" s="16">
        <v>352.08</v>
      </c>
      <c r="H104" s="16">
        <v>615.4</v>
      </c>
      <c r="I104" s="16">
        <v>0</v>
      </c>
      <c r="J104" s="16">
        <v>32.389473684210543</v>
      </c>
      <c r="K104" s="162">
        <v>128.85303193013166</v>
      </c>
      <c r="L104" s="111">
        <f>'Rate Class Customer Model'!N8</f>
        <v>45387.5</v>
      </c>
      <c r="M104" s="10">
        <v>125856</v>
      </c>
      <c r="N104" s="10">
        <f>U18+U19*C104+U20*D104+U21*E104+U22*F104+U23*G104+U24*H104+U25*I104+U26*J104</f>
        <v>125513499.37616953</v>
      </c>
      <c r="O104" s="53">
        <f t="shared" si="4"/>
        <v>-3008010.6238304526</v>
      </c>
      <c r="P104" s="171">
        <f t="shared" si="5"/>
        <v>-2.3404725199933092E-2</v>
      </c>
      <c r="Q104" s="13">
        <f t="shared" si="6"/>
        <v>2.3404725199933092E-2</v>
      </c>
      <c r="R104" s="13"/>
      <c r="S104" s="13"/>
    </row>
    <row r="105" spans="1:20" x14ac:dyDescent="0.2">
      <c r="A105" s="54">
        <f t="shared" si="7"/>
        <v>38199</v>
      </c>
      <c r="B105" s="10">
        <v>130502320</v>
      </c>
      <c r="C105" s="1">
        <v>21.3</v>
      </c>
      <c r="D105" s="1">
        <v>49.3</v>
      </c>
      <c r="E105" s="10">
        <v>31</v>
      </c>
      <c r="F105" s="10">
        <v>0</v>
      </c>
      <c r="G105" s="16">
        <v>336.28800000000001</v>
      </c>
      <c r="H105" s="16">
        <v>623.79999999999995</v>
      </c>
      <c r="I105" s="16">
        <v>0</v>
      </c>
      <c r="J105" s="16">
        <v>32.831578947368484</v>
      </c>
      <c r="K105" s="162">
        <v>129.11844807878055</v>
      </c>
      <c r="L105" s="111">
        <f>L104+(L116-L104)/12</f>
        <v>45459.666666666664</v>
      </c>
      <c r="M105" s="10">
        <v>126118</v>
      </c>
      <c r="N105" s="10">
        <f>U18+U19*C105+U20*D105+U21*E105+U22*F105+U23*G105+U24*H105+U25*I105+U26*J105</f>
        <v>131960265.68166116</v>
      </c>
      <c r="O105" s="53">
        <f t="shared" si="4"/>
        <v>1457945.6816611588</v>
      </c>
      <c r="P105" s="171">
        <f t="shared" si="5"/>
        <v>1.1171798950862779E-2</v>
      </c>
      <c r="Q105" s="13">
        <f t="shared" si="6"/>
        <v>1.1171798950862779E-2</v>
      </c>
      <c r="R105" s="13"/>
      <c r="S105" s="13"/>
    </row>
    <row r="106" spans="1:20" x14ac:dyDescent="0.2">
      <c r="A106" s="54">
        <f t="shared" si="7"/>
        <v>38230</v>
      </c>
      <c r="B106" s="10">
        <v>134736160</v>
      </c>
      <c r="C106" s="1">
        <v>55</v>
      </c>
      <c r="D106" s="1">
        <v>30.6</v>
      </c>
      <c r="E106" s="10">
        <v>31</v>
      </c>
      <c r="F106" s="10">
        <v>0</v>
      </c>
      <c r="G106" s="16">
        <v>336.28800000000001</v>
      </c>
      <c r="H106" s="16">
        <v>625.70000000000005</v>
      </c>
      <c r="I106" s="16">
        <v>0</v>
      </c>
      <c r="J106" s="16">
        <v>32.931578947368507</v>
      </c>
      <c r="K106" s="162">
        <v>129.38441094123903</v>
      </c>
      <c r="L106" s="111">
        <f>L105+(L116-L104)/12</f>
        <v>45531.833333333328</v>
      </c>
      <c r="M106" s="10">
        <v>126380</v>
      </c>
      <c r="N106" s="10">
        <f>U18+U19*C106+U20*D106+U21*E106+U22*F106+U23*G106+U24*H106+U25*I106+U26*J106</f>
        <v>129420256.44799517</v>
      </c>
      <c r="O106" s="53">
        <f t="shared" si="4"/>
        <v>-5315903.552004829</v>
      </c>
      <c r="P106" s="171">
        <f t="shared" si="5"/>
        <v>-3.9454171411778614E-2</v>
      </c>
      <c r="Q106" s="13">
        <f t="shared" si="6"/>
        <v>3.9454171411778614E-2</v>
      </c>
      <c r="R106" s="13"/>
      <c r="S106" s="13"/>
    </row>
    <row r="107" spans="1:20" x14ac:dyDescent="0.2">
      <c r="A107" s="54">
        <f t="shared" si="7"/>
        <v>38260</v>
      </c>
      <c r="B107" s="10">
        <v>131178500</v>
      </c>
      <c r="C107" s="1">
        <v>71.3</v>
      </c>
      <c r="D107" s="1">
        <v>13.7</v>
      </c>
      <c r="E107" s="10">
        <v>30</v>
      </c>
      <c r="F107" s="10">
        <v>1</v>
      </c>
      <c r="G107" s="16">
        <v>336.24</v>
      </c>
      <c r="H107" s="16">
        <v>626.70000000000005</v>
      </c>
      <c r="I107" s="16">
        <v>0</v>
      </c>
      <c r="J107" s="16">
        <v>32.984210526315792</v>
      </c>
      <c r="K107" s="162">
        <v>129.65092164364802</v>
      </c>
      <c r="L107" s="111">
        <f>L106+(L116-L104)/12</f>
        <v>45603.999999999993</v>
      </c>
      <c r="M107" s="10">
        <v>126642</v>
      </c>
      <c r="N107" s="10">
        <f>U18+U19*C107+U20*D107+U21*E107+U22*F107+U23*G107+U24*H107+U25*I107+U26*J107</f>
        <v>123661806.87646212</v>
      </c>
      <c r="O107" s="53">
        <f t="shared" si="4"/>
        <v>-7516693.1235378832</v>
      </c>
      <c r="P107" s="171">
        <f t="shared" si="5"/>
        <v>-5.7301258388667987E-2</v>
      </c>
      <c r="Q107" s="13">
        <f t="shared" si="6"/>
        <v>5.7301258388667987E-2</v>
      </c>
      <c r="R107" s="13"/>
      <c r="S107" s="13"/>
    </row>
    <row r="108" spans="1:20" x14ac:dyDescent="0.2">
      <c r="A108" s="54">
        <f t="shared" si="7"/>
        <v>38291</v>
      </c>
      <c r="B108" s="10">
        <v>127280000</v>
      </c>
      <c r="C108" s="1">
        <v>287.5</v>
      </c>
      <c r="D108" s="1">
        <v>0</v>
      </c>
      <c r="E108" s="10">
        <v>31</v>
      </c>
      <c r="F108" s="10">
        <v>1</v>
      </c>
      <c r="G108" s="16">
        <v>319.92</v>
      </c>
      <c r="H108" s="16">
        <v>625.1</v>
      </c>
      <c r="I108" s="16">
        <v>0</v>
      </c>
      <c r="J108" s="16">
        <v>32.899999999999977</v>
      </c>
      <c r="K108" s="162">
        <v>129.91798131446814</v>
      </c>
      <c r="L108" s="111">
        <f>L107+(L116-L104)/12</f>
        <v>45676.166666666657</v>
      </c>
      <c r="M108" s="10">
        <v>126904</v>
      </c>
      <c r="N108" s="10">
        <f>U18+U19*C108+U20*D108+U21*E108+U22*F108+U23*G108+U24*H108+U25*I108+U26*J108</f>
        <v>125252426.80435298</v>
      </c>
      <c r="O108" s="53">
        <f t="shared" si="4"/>
        <v>-2027573.1956470162</v>
      </c>
      <c r="P108" s="171">
        <f t="shared" si="5"/>
        <v>-1.5930021964542868E-2</v>
      </c>
      <c r="Q108" s="13">
        <f t="shared" si="6"/>
        <v>1.5930021964542868E-2</v>
      </c>
      <c r="R108" s="13"/>
      <c r="S108" s="13"/>
    </row>
    <row r="109" spans="1:20" x14ac:dyDescent="0.2">
      <c r="A109" s="54">
        <f t="shared" si="7"/>
        <v>38321</v>
      </c>
      <c r="B109" s="10">
        <v>131398790</v>
      </c>
      <c r="C109" s="1">
        <v>432.9</v>
      </c>
      <c r="D109" s="1">
        <v>0</v>
      </c>
      <c r="E109" s="10">
        <v>30</v>
      </c>
      <c r="F109" s="10">
        <v>1</v>
      </c>
      <c r="G109" s="16">
        <v>352.08</v>
      </c>
      <c r="H109" s="16">
        <v>625.20000000000005</v>
      </c>
      <c r="I109" s="16">
        <v>0</v>
      </c>
      <c r="J109" s="16">
        <v>32.905263157894751</v>
      </c>
      <c r="K109" s="162">
        <v>130.18559108448443</v>
      </c>
      <c r="L109" s="111">
        <f>L108+(L116-L104)/12</f>
        <v>45748.333333333321</v>
      </c>
      <c r="M109" s="10">
        <v>127166</v>
      </c>
      <c r="N109" s="10">
        <f>U18+U19*C109+U20*D109+U21*E109+U22*F109+U23*G109+U24*H109+U25*I109+U26*J109</f>
        <v>130148691.87070104</v>
      </c>
      <c r="O109" s="53">
        <f t="shared" si="4"/>
        <v>-1250098.1292989552</v>
      </c>
      <c r="P109" s="171">
        <f t="shared" si="5"/>
        <v>-9.5137720012410699E-3</v>
      </c>
      <c r="Q109" s="13">
        <f t="shared" si="6"/>
        <v>9.5137720012410699E-3</v>
      </c>
      <c r="R109" s="13"/>
      <c r="S109" s="13"/>
    </row>
    <row r="110" spans="1:20" x14ac:dyDescent="0.2">
      <c r="A110" s="54">
        <f t="shared" si="7"/>
        <v>38352</v>
      </c>
      <c r="B110" s="10">
        <v>136670710</v>
      </c>
      <c r="C110" s="1">
        <v>700.1</v>
      </c>
      <c r="D110" s="1">
        <v>0</v>
      </c>
      <c r="E110" s="10">
        <v>31</v>
      </c>
      <c r="F110" s="10">
        <v>0</v>
      </c>
      <c r="G110" s="16">
        <v>336.28800000000001</v>
      </c>
      <c r="H110" s="16">
        <v>628.4</v>
      </c>
      <c r="I110" s="16">
        <v>0</v>
      </c>
      <c r="J110" s="16">
        <v>33.07368421052638</v>
      </c>
      <c r="K110" s="162">
        <v>130.45375208681136</v>
      </c>
      <c r="L110" s="111">
        <f>L109+(L116-L104)/12</f>
        <v>45820.499999999985</v>
      </c>
      <c r="M110" s="10">
        <v>127428</v>
      </c>
      <c r="N110" s="10">
        <f>U18+U19*C110+U20*D110+U21*E110+U22*F110+U23*G110+U24*H110+U25*I110+U26*J110</f>
        <v>137929108.66857153</v>
      </c>
      <c r="O110" s="53">
        <f t="shared" si="4"/>
        <v>1258398.6685715318</v>
      </c>
      <c r="P110" s="171">
        <f t="shared" si="5"/>
        <v>9.2075227279607447E-3</v>
      </c>
      <c r="Q110" s="13">
        <f t="shared" si="6"/>
        <v>9.2075227279607447E-3</v>
      </c>
      <c r="R110" s="13"/>
      <c r="S110" s="13"/>
    </row>
    <row r="111" spans="1:20" x14ac:dyDescent="0.2">
      <c r="A111" s="54">
        <f t="shared" si="7"/>
        <v>38383</v>
      </c>
      <c r="B111" s="10">
        <v>145626785</v>
      </c>
      <c r="C111" s="1">
        <v>814.7</v>
      </c>
      <c r="D111" s="1">
        <v>0</v>
      </c>
      <c r="E111" s="10">
        <v>31</v>
      </c>
      <c r="F111" s="10">
        <v>0</v>
      </c>
      <c r="G111" s="16">
        <v>319.92</v>
      </c>
      <c r="H111" s="16">
        <v>629.5</v>
      </c>
      <c r="I111" s="16">
        <v>0</v>
      </c>
      <c r="J111" s="16">
        <v>35.230728616684246</v>
      </c>
      <c r="K111" s="162">
        <v>130.74370215685079</v>
      </c>
      <c r="L111" s="111">
        <f>L110+(L116-L104)/12</f>
        <v>45892.66666666665</v>
      </c>
      <c r="M111" s="10">
        <v>127590</v>
      </c>
      <c r="N111" s="10">
        <f>U18+U19*C111+U20*D111+U21*E111+U22*F111+U23*G111+U24*H111+U25*I111+U26*J111</f>
        <v>138249394.65915012</v>
      </c>
      <c r="O111" s="53">
        <f t="shared" si="4"/>
        <v>-7377390.3408498764</v>
      </c>
      <c r="P111" s="171">
        <f t="shared" si="5"/>
        <v>-5.0659570221576175E-2</v>
      </c>
      <c r="Q111" s="13">
        <f t="shared" si="6"/>
        <v>5.0659570221576175E-2</v>
      </c>
      <c r="R111" s="13"/>
      <c r="S111" s="13"/>
    </row>
    <row r="112" spans="1:20" x14ac:dyDescent="0.2">
      <c r="A112" s="54">
        <f t="shared" si="7"/>
        <v>38411</v>
      </c>
      <c r="B112" s="10">
        <v>130295706</v>
      </c>
      <c r="C112" s="1">
        <v>683.5</v>
      </c>
      <c r="D112" s="1">
        <v>0</v>
      </c>
      <c r="E112" s="10">
        <v>29</v>
      </c>
      <c r="F112" s="10">
        <v>0</v>
      </c>
      <c r="G112" s="16">
        <v>319.87200000000001</v>
      </c>
      <c r="H112" s="16">
        <v>630.9</v>
      </c>
      <c r="I112" s="16">
        <v>0</v>
      </c>
      <c r="J112" s="16">
        <v>35.309081309398152</v>
      </c>
      <c r="K112" s="162">
        <v>131.0342966778299</v>
      </c>
      <c r="L112" s="111">
        <f>L111+(L116-L104)/12</f>
        <v>45964.833333333314</v>
      </c>
      <c r="M112" s="10">
        <v>127752</v>
      </c>
      <c r="N112" s="10">
        <f>U18+U19*C112+U20*D112+U21*E112+U22*F112+U23*G112+U24*H112+U25*I112+U26*J112</f>
        <v>132538321.22587751</v>
      </c>
      <c r="O112" s="53">
        <f t="shared" si="4"/>
        <v>2242615.2258775085</v>
      </c>
      <c r="P112" s="171">
        <f t="shared" si="5"/>
        <v>1.7211735480196933E-2</v>
      </c>
      <c r="Q112" s="13">
        <f t="shared" si="6"/>
        <v>1.7211735480196933E-2</v>
      </c>
      <c r="R112" s="13"/>
      <c r="S112" s="13"/>
    </row>
    <row r="113" spans="1:19" x14ac:dyDescent="0.2">
      <c r="A113" s="54">
        <f t="shared" si="7"/>
        <v>38442</v>
      </c>
      <c r="B113" s="10">
        <v>139429744</v>
      </c>
      <c r="C113" s="1">
        <v>680.5</v>
      </c>
      <c r="D113" s="1">
        <v>0</v>
      </c>
      <c r="E113" s="10">
        <v>31</v>
      </c>
      <c r="F113" s="10">
        <v>1</v>
      </c>
      <c r="G113" s="16">
        <v>351.91199999999998</v>
      </c>
      <c r="H113" s="16">
        <v>628.1</v>
      </c>
      <c r="I113" s="16">
        <v>0</v>
      </c>
      <c r="J113" s="16">
        <v>35.152375923970453</v>
      </c>
      <c r="K113" s="162">
        <v>131.32553708212293</v>
      </c>
      <c r="L113" s="111">
        <f>L112+(L116-L104)/12</f>
        <v>46036.999999999978</v>
      </c>
      <c r="M113" s="10">
        <v>127914</v>
      </c>
      <c r="N113" s="10">
        <f>U18+U19*C113+U20*D113+U21*E113+U22*F113+U23*G113+U24*H113+U25*I113+U26*J113</f>
        <v>136927414.19169667</v>
      </c>
      <c r="O113" s="53">
        <f t="shared" si="4"/>
        <v>-2502329.8083033264</v>
      </c>
      <c r="P113" s="171">
        <f t="shared" si="5"/>
        <v>-1.7946886629178108E-2</v>
      </c>
      <c r="Q113" s="13">
        <f t="shared" si="6"/>
        <v>1.7946886629178108E-2</v>
      </c>
      <c r="R113" s="13"/>
      <c r="S113" s="13"/>
    </row>
    <row r="114" spans="1:19" x14ac:dyDescent="0.2">
      <c r="A114" s="54">
        <f t="shared" si="7"/>
        <v>38472</v>
      </c>
      <c r="B114" s="10">
        <v>125505720</v>
      </c>
      <c r="C114" s="1">
        <v>354.6</v>
      </c>
      <c r="D114" s="1">
        <v>0</v>
      </c>
      <c r="E114" s="10">
        <v>30</v>
      </c>
      <c r="F114" s="10">
        <v>1</v>
      </c>
      <c r="G114" s="16">
        <v>336.24</v>
      </c>
      <c r="H114" s="16">
        <v>631.29999999999995</v>
      </c>
      <c r="I114" s="16">
        <v>0</v>
      </c>
      <c r="J114" s="16">
        <v>35.331467793030697</v>
      </c>
      <c r="K114" s="162">
        <v>131.61742480528775</v>
      </c>
      <c r="L114" s="111">
        <f>L113+(L116-L104)/12</f>
        <v>46109.166666666642</v>
      </c>
      <c r="M114" s="10">
        <v>128076</v>
      </c>
      <c r="N114" s="10">
        <f>U18+U19*C114+U20*D114+U21*E114+U22*F114+U23*G114+U24*H114+U25*I114+U26*J114</f>
        <v>127320364.97926188</v>
      </c>
      <c r="O114" s="53">
        <f t="shared" si="4"/>
        <v>1814644.9792618752</v>
      </c>
      <c r="P114" s="171">
        <f t="shared" si="5"/>
        <v>1.4458663551445107E-2</v>
      </c>
      <c r="Q114" s="13">
        <f t="shared" si="6"/>
        <v>1.4458663551445107E-2</v>
      </c>
      <c r="R114" s="13"/>
      <c r="S114" s="13"/>
    </row>
    <row r="115" spans="1:19" x14ac:dyDescent="0.2">
      <c r="A115" s="54">
        <f t="shared" si="7"/>
        <v>38503</v>
      </c>
      <c r="B115" s="10">
        <v>126060714</v>
      </c>
      <c r="C115" s="1">
        <v>244.9</v>
      </c>
      <c r="D115" s="1">
        <v>0</v>
      </c>
      <c r="E115" s="10">
        <v>31</v>
      </c>
      <c r="F115" s="10">
        <v>1</v>
      </c>
      <c r="G115" s="16">
        <v>336.28800000000001</v>
      </c>
      <c r="H115" s="16">
        <v>638.6</v>
      </c>
      <c r="I115" s="16">
        <v>0</v>
      </c>
      <c r="J115" s="16">
        <v>35.740021119324183</v>
      </c>
      <c r="K115" s="162">
        <v>131.90996128607298</v>
      </c>
      <c r="L115" s="111">
        <f>L114+(L116-L104)/12</f>
        <v>46181.333333333307</v>
      </c>
      <c r="M115" s="10">
        <v>128238</v>
      </c>
      <c r="N115" s="10">
        <f>U18+U19*C115+U20*D115+U21*E115+U22*F115+U23*G115+U24*H115+U25*I115+U26*J115</f>
        <v>127928589.22734314</v>
      </c>
      <c r="O115" s="53">
        <f t="shared" si="4"/>
        <v>1867875.227343142</v>
      </c>
      <c r="P115" s="171">
        <f t="shared" si="5"/>
        <v>1.4817266760389299E-2</v>
      </c>
      <c r="Q115" s="13">
        <f t="shared" si="6"/>
        <v>1.4817266760389299E-2</v>
      </c>
      <c r="R115" s="13"/>
      <c r="S115" s="13"/>
    </row>
    <row r="116" spans="1:19" x14ac:dyDescent="0.2">
      <c r="A116" s="54">
        <f t="shared" si="7"/>
        <v>38533</v>
      </c>
      <c r="B116" s="10">
        <v>148205860</v>
      </c>
      <c r="C116" s="1">
        <v>27.3</v>
      </c>
      <c r="D116" s="1">
        <v>104.8</v>
      </c>
      <c r="E116" s="10">
        <v>30</v>
      </c>
      <c r="F116" s="10">
        <v>0</v>
      </c>
      <c r="G116" s="16">
        <v>352.08</v>
      </c>
      <c r="H116" s="16">
        <v>648.1</v>
      </c>
      <c r="I116" s="16">
        <v>0</v>
      </c>
      <c r="J116" s="16">
        <v>36.271700105596665</v>
      </c>
      <c r="K116" s="162">
        <v>132.20314796642501</v>
      </c>
      <c r="L116" s="111">
        <f>'Rate Class Customer Model'!N9</f>
        <v>46253.5</v>
      </c>
      <c r="M116" s="10">
        <v>128400</v>
      </c>
      <c r="N116" s="10">
        <f>U18+U19*C116+U20*D116+U21*E116+U22*F116+U23*G116+U24*H116+U25*I116+U26*J116</f>
        <v>146921809.16552457</v>
      </c>
      <c r="O116" s="53">
        <f t="shared" si="4"/>
        <v>-1284050.8344754279</v>
      </c>
      <c r="P116" s="171">
        <f t="shared" si="5"/>
        <v>-8.6639680406390661E-3</v>
      </c>
      <c r="Q116" s="13">
        <f t="shared" si="6"/>
        <v>8.6639680406390661E-3</v>
      </c>
      <c r="R116" s="13"/>
      <c r="S116" s="13"/>
    </row>
    <row r="117" spans="1:19" x14ac:dyDescent="0.2">
      <c r="A117" s="54">
        <f t="shared" si="7"/>
        <v>38564</v>
      </c>
      <c r="B117" s="10">
        <v>144470140</v>
      </c>
      <c r="C117" s="1">
        <v>6.8</v>
      </c>
      <c r="D117" s="1">
        <v>105.4</v>
      </c>
      <c r="E117" s="10">
        <v>31</v>
      </c>
      <c r="F117" s="10">
        <v>0</v>
      </c>
      <c r="G117" s="16">
        <v>319.92</v>
      </c>
      <c r="H117" s="16">
        <v>653.1</v>
      </c>
      <c r="I117" s="16">
        <v>0</v>
      </c>
      <c r="J117" s="16">
        <v>36.551531151003246</v>
      </c>
      <c r="K117" s="162">
        <v>132.49698629149512</v>
      </c>
      <c r="L117" s="111">
        <f>L116+(L128-L116)/12</f>
        <v>46321.583333333336</v>
      </c>
      <c r="M117" s="10">
        <v>128562</v>
      </c>
      <c r="N117" s="10">
        <f>U18+U19*C117+U20*D117+U21*E117+U22*F117+U23*G117+U24*H117+U25*I117+U26*J117</f>
        <v>145820278.93945572</v>
      </c>
      <c r="O117" s="53">
        <f t="shared" si="4"/>
        <v>1350138.9394557178</v>
      </c>
      <c r="P117" s="171">
        <f t="shared" si="5"/>
        <v>9.3454532504482785E-3</v>
      </c>
      <c r="Q117" s="13">
        <f t="shared" si="6"/>
        <v>9.3454532504482785E-3</v>
      </c>
      <c r="R117" s="13"/>
      <c r="S117" s="13"/>
    </row>
    <row r="118" spans="1:19" x14ac:dyDescent="0.2">
      <c r="A118" s="54">
        <f t="shared" si="7"/>
        <v>38595</v>
      </c>
      <c r="B118" s="10">
        <v>149364543</v>
      </c>
      <c r="C118" s="1">
        <v>11.9</v>
      </c>
      <c r="D118" s="1">
        <v>67.900000000000006</v>
      </c>
      <c r="E118" s="10">
        <v>31</v>
      </c>
      <c r="F118" s="10">
        <v>0</v>
      </c>
      <c r="G118" s="16">
        <v>351.91199999999998</v>
      </c>
      <c r="H118" s="16">
        <v>655.6</v>
      </c>
      <c r="I118" s="16">
        <v>0</v>
      </c>
      <c r="J118" s="16">
        <v>36.691446673706423</v>
      </c>
      <c r="K118" s="162">
        <v>132.79147770964664</v>
      </c>
      <c r="L118" s="111">
        <f>L117+(L128-L116)/12</f>
        <v>46389.666666666672</v>
      </c>
      <c r="M118" s="10">
        <v>128724</v>
      </c>
      <c r="N118" s="10">
        <f>U18+U19*C118+U20*D118+U21*E118+U22*F118+U23*G118+U24*H118+U25*I118+U26*J118</f>
        <v>142410282.15698972</v>
      </c>
      <c r="O118" s="53">
        <f t="shared" si="4"/>
        <v>-6954260.8430102766</v>
      </c>
      <c r="P118" s="171">
        <f t="shared" si="5"/>
        <v>-4.6558980487158029E-2</v>
      </c>
      <c r="Q118" s="13">
        <f t="shared" si="6"/>
        <v>4.6558980487158029E-2</v>
      </c>
      <c r="R118" s="13"/>
      <c r="S118" s="13"/>
    </row>
    <row r="119" spans="1:19" x14ac:dyDescent="0.2">
      <c r="A119" s="54">
        <f t="shared" si="7"/>
        <v>38625</v>
      </c>
      <c r="B119" s="10">
        <v>131923136</v>
      </c>
      <c r="C119" s="1">
        <v>63.4</v>
      </c>
      <c r="D119" s="1">
        <v>13.7</v>
      </c>
      <c r="E119" s="10">
        <v>30</v>
      </c>
      <c r="F119" s="10">
        <v>1</v>
      </c>
      <c r="G119" s="16">
        <v>336.24</v>
      </c>
      <c r="H119" s="16">
        <v>652.20000000000005</v>
      </c>
      <c r="I119" s="16">
        <v>0</v>
      </c>
      <c r="J119" s="16">
        <v>36.501161562830021</v>
      </c>
      <c r="K119" s="162">
        <v>133.08662367246211</v>
      </c>
      <c r="L119" s="111">
        <f>L118+(L128-L116)/12</f>
        <v>46457.750000000007</v>
      </c>
      <c r="M119" s="10">
        <v>128886</v>
      </c>
      <c r="N119" s="10">
        <f>U18+U19*C119+U20*D119+U21*E119+U22*F119+U23*G119+U24*H119+U25*I119+U26*J119</f>
        <v>127708595.04730521</v>
      </c>
      <c r="O119" s="53">
        <f t="shared" si="4"/>
        <v>-4214540.9526947886</v>
      </c>
      <c r="P119" s="171">
        <f t="shared" si="5"/>
        <v>-3.1946943352641255E-2</v>
      </c>
      <c r="Q119" s="13">
        <f t="shared" si="6"/>
        <v>3.1946943352641255E-2</v>
      </c>
      <c r="R119" s="13"/>
      <c r="S119" s="13"/>
    </row>
    <row r="120" spans="1:19" x14ac:dyDescent="0.2">
      <c r="A120" s="54">
        <f t="shared" si="7"/>
        <v>38656</v>
      </c>
      <c r="B120" s="10">
        <v>129428087</v>
      </c>
      <c r="C120" s="1">
        <v>259.89999999999998</v>
      </c>
      <c r="D120" s="1">
        <v>2.6</v>
      </c>
      <c r="E120" s="10">
        <v>31</v>
      </c>
      <c r="F120" s="10">
        <v>1</v>
      </c>
      <c r="G120" s="16">
        <v>319.92</v>
      </c>
      <c r="H120" s="16">
        <v>649.79999999999995</v>
      </c>
      <c r="I120" s="16">
        <v>0</v>
      </c>
      <c r="J120" s="16">
        <v>36.366842661034866</v>
      </c>
      <c r="K120" s="162">
        <v>133.38242563475035</v>
      </c>
      <c r="L120" s="111">
        <f>L119+(L128-L116)/12</f>
        <v>46525.833333333343</v>
      </c>
      <c r="M120" s="10">
        <v>129048</v>
      </c>
      <c r="N120" s="10">
        <f>U18+U19*C120+U20*D120+U21*E120+U22*F120+U23*G120+U24*H120+U25*I120+U26*J120</f>
        <v>129227104.96867049</v>
      </c>
      <c r="O120" s="53">
        <f t="shared" si="4"/>
        <v>-200982.0313295126</v>
      </c>
      <c r="P120" s="171">
        <f t="shared" si="5"/>
        <v>-1.5528471136988418E-3</v>
      </c>
      <c r="Q120" s="13">
        <f t="shared" si="6"/>
        <v>1.5528471136988418E-3</v>
      </c>
      <c r="R120" s="13"/>
      <c r="S120" s="13"/>
    </row>
    <row r="121" spans="1:19" x14ac:dyDescent="0.2">
      <c r="A121" s="54">
        <f t="shared" si="7"/>
        <v>38686</v>
      </c>
      <c r="B121" s="10">
        <v>133425806</v>
      </c>
      <c r="C121" s="1">
        <v>433.1</v>
      </c>
      <c r="D121" s="1">
        <v>0</v>
      </c>
      <c r="E121" s="10">
        <v>30</v>
      </c>
      <c r="F121" s="10">
        <v>1</v>
      </c>
      <c r="G121" s="16">
        <v>352.08</v>
      </c>
      <c r="H121" s="16">
        <v>643.79999999999995</v>
      </c>
      <c r="I121" s="16">
        <v>0</v>
      </c>
      <c r="J121" s="16">
        <v>36.031045406547037</v>
      </c>
      <c r="K121" s="162">
        <v>133.67888505455369</v>
      </c>
      <c r="L121" s="111">
        <f>L120+(L128-L116)/12</f>
        <v>46593.916666666679</v>
      </c>
      <c r="M121" s="10">
        <v>129210</v>
      </c>
      <c r="N121" s="10">
        <f>U18+U19*C121+U20*D121+U21*E121+U22*F121+U23*G121+U24*H121+U25*I121+U26*J121</f>
        <v>133046363.36179629</v>
      </c>
      <c r="O121" s="53">
        <f t="shared" si="4"/>
        <v>-379442.63820371032</v>
      </c>
      <c r="P121" s="171">
        <f t="shared" si="5"/>
        <v>-2.8438474503478758E-3</v>
      </c>
      <c r="Q121" s="13">
        <f t="shared" si="6"/>
        <v>2.8438474503478758E-3</v>
      </c>
      <c r="R121" s="13"/>
      <c r="S121" s="13"/>
    </row>
    <row r="122" spans="1:19" x14ac:dyDescent="0.2">
      <c r="A122" s="54">
        <f t="shared" si="7"/>
        <v>38717</v>
      </c>
      <c r="B122" s="10">
        <v>137252421</v>
      </c>
      <c r="C122" s="1">
        <v>721.6</v>
      </c>
      <c r="D122" s="1">
        <v>0</v>
      </c>
      <c r="E122" s="10">
        <v>31</v>
      </c>
      <c r="F122" s="10">
        <v>0</v>
      </c>
      <c r="G122" s="16">
        <v>319.92</v>
      </c>
      <c r="H122" s="16">
        <v>644.6</v>
      </c>
      <c r="I122" s="16">
        <v>0</v>
      </c>
      <c r="J122" s="16">
        <v>36.075818373812126</v>
      </c>
      <c r="K122" s="162">
        <v>133.97600339315525</v>
      </c>
      <c r="L122" s="111">
        <f>L121+(L128-L116)/12</f>
        <v>46662.000000000015</v>
      </c>
      <c r="M122" s="10">
        <v>129372</v>
      </c>
      <c r="N122" s="10">
        <f>U18+U19*C122+U20*D122+U21*E122+U22*F122+U23*G122+U24*H122+U25*I122+U26*J122</f>
        <v>139139463.1252242</v>
      </c>
      <c r="O122" s="53">
        <f t="shared" si="4"/>
        <v>1887042.1252242029</v>
      </c>
      <c r="P122" s="171">
        <f t="shared" si="5"/>
        <v>1.3748698285068523E-2</v>
      </c>
      <c r="Q122" s="13">
        <f t="shared" si="6"/>
        <v>1.3748698285068523E-2</v>
      </c>
      <c r="R122" s="13"/>
      <c r="S122" s="13"/>
    </row>
    <row r="123" spans="1:19" x14ac:dyDescent="0.2">
      <c r="A123" s="54">
        <f t="shared" si="7"/>
        <v>38748</v>
      </c>
      <c r="B123" s="10">
        <v>139483995</v>
      </c>
      <c r="C123" s="1">
        <v>590.6</v>
      </c>
      <c r="D123" s="1">
        <v>0</v>
      </c>
      <c r="E123" s="10">
        <v>31</v>
      </c>
      <c r="F123" s="10">
        <v>0</v>
      </c>
      <c r="G123" s="16">
        <v>336.28800000000001</v>
      </c>
      <c r="H123" s="16">
        <v>643.6</v>
      </c>
      <c r="I123" s="16">
        <f>'CDM Activity'!F16</f>
        <v>23421.741792205998</v>
      </c>
      <c r="J123" s="16">
        <v>33.873684210526335</v>
      </c>
      <c r="K123" s="162">
        <v>134.25197202423305</v>
      </c>
      <c r="L123" s="111">
        <f>L122+(L128-L116)/12</f>
        <v>46730.08333333335</v>
      </c>
      <c r="M123" s="10">
        <v>129546</v>
      </c>
      <c r="N123" s="10">
        <f>U18+U19*C123+U20*D123+U21*E123+U22*F123+U23*G123+U24*H123+U25*I123+U26*J123</f>
        <v>138398830.95478958</v>
      </c>
      <c r="O123" s="53">
        <f t="shared" si="4"/>
        <v>-1085164.0452104211</v>
      </c>
      <c r="P123" s="171">
        <f t="shared" si="5"/>
        <v>-7.7798463200772321E-3</v>
      </c>
      <c r="Q123" s="13">
        <f t="shared" si="6"/>
        <v>7.7798463200772321E-3</v>
      </c>
      <c r="R123" s="13"/>
      <c r="S123" s="13"/>
    </row>
    <row r="124" spans="1:19" x14ac:dyDescent="0.2">
      <c r="A124" s="54">
        <f t="shared" si="7"/>
        <v>38776</v>
      </c>
      <c r="B124" s="10">
        <v>129290507</v>
      </c>
      <c r="C124" s="1">
        <v>651.20000000000005</v>
      </c>
      <c r="D124" s="1">
        <v>0</v>
      </c>
      <c r="E124" s="10">
        <v>28</v>
      </c>
      <c r="F124" s="10">
        <v>0</v>
      </c>
      <c r="G124" s="16">
        <v>319.87200000000001</v>
      </c>
      <c r="H124" s="16">
        <v>642.9</v>
      </c>
      <c r="I124" s="16">
        <f>'CDM Activity'!F17</f>
        <v>46843.483584411995</v>
      </c>
      <c r="J124" s="16">
        <v>33.836842105263145</v>
      </c>
      <c r="K124" s="162">
        <v>134.52850910550649</v>
      </c>
      <c r="L124" s="111">
        <f>L123+(L128-L116)/12</f>
        <v>46798.166666666686</v>
      </c>
      <c r="M124" s="10">
        <v>129720</v>
      </c>
      <c r="N124" s="10">
        <f>U18+U19*C124+U20*D124+U21*E124+U22*F124+U23*G124+U24*H124+U25*I124+U26*J124</f>
        <v>133071676.33430028</v>
      </c>
      <c r="O124" s="53">
        <f t="shared" si="4"/>
        <v>3781169.3343002796</v>
      </c>
      <c r="P124" s="171">
        <f t="shared" si="5"/>
        <v>2.9245529482688777E-2</v>
      </c>
      <c r="Q124" s="13">
        <f t="shared" si="6"/>
        <v>2.9245529482688777E-2</v>
      </c>
      <c r="R124" s="13"/>
      <c r="S124" s="13"/>
    </row>
    <row r="125" spans="1:19" x14ac:dyDescent="0.2">
      <c r="A125" s="54">
        <f t="shared" si="7"/>
        <v>38807</v>
      </c>
      <c r="B125" s="10">
        <v>138164067</v>
      </c>
      <c r="C125" s="1">
        <v>562.4</v>
      </c>
      <c r="D125" s="1">
        <v>0</v>
      </c>
      <c r="E125" s="10">
        <v>31</v>
      </c>
      <c r="F125" s="10">
        <v>1</v>
      </c>
      <c r="G125" s="16">
        <v>368.28</v>
      </c>
      <c r="H125" s="16">
        <v>641</v>
      </c>
      <c r="I125" s="16">
        <f>'CDM Activity'!F18</f>
        <v>70265.225376617993</v>
      </c>
      <c r="J125" s="16">
        <v>33.736842105263236</v>
      </c>
      <c r="K125" s="162">
        <v>134.80561580788986</v>
      </c>
      <c r="L125" s="111">
        <f>L124+(L128-L116)/12</f>
        <v>46866.250000000022</v>
      </c>
      <c r="M125" s="10">
        <v>129894</v>
      </c>
      <c r="N125" s="10">
        <f>U18+U19*C125+U20*D125+U21*E125+U22*F125+U23*G125+U24*H125+U25*I125+U26*J125</f>
        <v>138929635.47255671</v>
      </c>
      <c r="O125" s="53">
        <f t="shared" si="4"/>
        <v>765568.47255671024</v>
      </c>
      <c r="P125" s="171">
        <f t="shared" si="5"/>
        <v>5.5410099686535015E-3</v>
      </c>
      <c r="Q125" s="13">
        <f t="shared" si="6"/>
        <v>5.5410099686535015E-3</v>
      </c>
      <c r="R125" s="13"/>
      <c r="S125" s="13"/>
    </row>
    <row r="126" spans="1:19" x14ac:dyDescent="0.2">
      <c r="A126" s="54">
        <f t="shared" si="7"/>
        <v>38837</v>
      </c>
      <c r="B126" s="10">
        <v>120999808</v>
      </c>
      <c r="C126" s="1">
        <v>322.5</v>
      </c>
      <c r="D126" s="1">
        <v>0</v>
      </c>
      <c r="E126" s="10">
        <v>30</v>
      </c>
      <c r="F126" s="10">
        <v>1</v>
      </c>
      <c r="G126" s="16">
        <v>303.83999999999997</v>
      </c>
      <c r="H126" s="16">
        <v>643.6</v>
      </c>
      <c r="I126" s="16">
        <f>'CDM Activity'!F19</f>
        <v>93686.967168823991</v>
      </c>
      <c r="J126" s="16">
        <v>33.873684210526335</v>
      </c>
      <c r="K126" s="162">
        <v>135.08329330470943</v>
      </c>
      <c r="L126" s="111">
        <f>L125+(L128-L116)/12</f>
        <v>46934.333333333358</v>
      </c>
      <c r="M126" s="10">
        <v>130068</v>
      </c>
      <c r="N126" s="10">
        <f>U18+U19*C126+U20*D126+U21*E126+U22*F126+U23*G126+U24*H126+U25*I126+U26*J126</f>
        <v>125952124.10927297</v>
      </c>
      <c r="O126" s="53">
        <f t="shared" si="4"/>
        <v>4952316.1092729717</v>
      </c>
      <c r="P126" s="171">
        <f t="shared" si="5"/>
        <v>4.0928297252116067E-2</v>
      </c>
      <c r="Q126" s="13">
        <f t="shared" si="6"/>
        <v>4.0928297252116067E-2</v>
      </c>
      <c r="R126" s="13"/>
      <c r="S126" s="13"/>
    </row>
    <row r="127" spans="1:19" x14ac:dyDescent="0.2">
      <c r="A127" s="54">
        <f t="shared" si="7"/>
        <v>38868</v>
      </c>
      <c r="B127" s="10">
        <v>130145724</v>
      </c>
      <c r="C127" s="1">
        <v>177.8</v>
      </c>
      <c r="D127" s="1">
        <v>17.7</v>
      </c>
      <c r="E127" s="10">
        <v>31</v>
      </c>
      <c r="F127" s="10">
        <v>1</v>
      </c>
      <c r="G127" s="16">
        <v>351.91199999999998</v>
      </c>
      <c r="H127" s="16">
        <v>652.29999999999995</v>
      </c>
      <c r="I127" s="16">
        <f>'CDM Activity'!F20</f>
        <v>117108.70896102999</v>
      </c>
      <c r="J127" s="16">
        <v>34.331578947368484</v>
      </c>
      <c r="K127" s="162">
        <v>135.36154277170829</v>
      </c>
      <c r="L127" s="111">
        <f>L126+(L128-L116)/12</f>
        <v>47002.416666666693</v>
      </c>
      <c r="M127" s="10">
        <v>130242</v>
      </c>
      <c r="N127" s="10">
        <f>U18+U19*C127+U20*D127+U21*E127+U22*F127+U23*G127+U24*H127+U25*I127+U26*J127</f>
        <v>134359112.19394016</v>
      </c>
      <c r="O127" s="53">
        <f t="shared" si="4"/>
        <v>4213388.1939401627</v>
      </c>
      <c r="P127" s="171">
        <f t="shared" si="5"/>
        <v>3.2374388219932319E-2</v>
      </c>
      <c r="Q127" s="13">
        <f t="shared" si="6"/>
        <v>3.2374388219932319E-2</v>
      </c>
      <c r="R127" s="13"/>
      <c r="S127" s="13"/>
    </row>
    <row r="128" spans="1:19" x14ac:dyDescent="0.2">
      <c r="A128" s="54">
        <f t="shared" si="7"/>
        <v>38898</v>
      </c>
      <c r="B128" s="10">
        <v>136402808</v>
      </c>
      <c r="C128" s="1">
        <v>44.1</v>
      </c>
      <c r="D128" s="1">
        <v>32.200000000000003</v>
      </c>
      <c r="E128" s="10">
        <v>30</v>
      </c>
      <c r="F128" s="10">
        <v>0</v>
      </c>
      <c r="G128" s="16">
        <v>352.08</v>
      </c>
      <c r="H128" s="16">
        <v>660</v>
      </c>
      <c r="I128" s="16">
        <f>'CDM Activity'!F21</f>
        <v>140530.45075323599</v>
      </c>
      <c r="J128" s="16">
        <v>34.736842105263236</v>
      </c>
      <c r="K128" s="162">
        <v>135.64036538705133</v>
      </c>
      <c r="L128" s="111">
        <f>'Rate Class Customer Model'!N10</f>
        <v>47070.5</v>
      </c>
      <c r="M128" s="10">
        <v>130416</v>
      </c>
      <c r="N128" s="10">
        <f>U18+U19*C128+U20*D128+U21*E128+U22*F128+U23*G128+U24*H128+U25*I128+U26*J128</f>
        <v>135565552.35330755</v>
      </c>
      <c r="O128" s="53">
        <f t="shared" si="4"/>
        <v>-837255.64669245481</v>
      </c>
      <c r="P128" s="171">
        <f t="shared" si="5"/>
        <v>-6.1381115166812021E-3</v>
      </c>
      <c r="Q128" s="13">
        <f t="shared" si="6"/>
        <v>6.1381115166812021E-3</v>
      </c>
      <c r="R128" s="13"/>
      <c r="S128" s="13"/>
    </row>
    <row r="129" spans="1:19" x14ac:dyDescent="0.2">
      <c r="A129" s="54">
        <f t="shared" si="7"/>
        <v>38929</v>
      </c>
      <c r="B129" s="10">
        <v>144866595</v>
      </c>
      <c r="C129" s="1">
        <v>6.5</v>
      </c>
      <c r="D129" s="1">
        <v>117.2</v>
      </c>
      <c r="E129" s="10">
        <v>31</v>
      </c>
      <c r="F129" s="10">
        <v>0</v>
      </c>
      <c r="G129" s="16">
        <v>319.92</v>
      </c>
      <c r="H129" s="16">
        <v>665.1</v>
      </c>
      <c r="I129" s="16">
        <f>'CDM Activity'!F22</f>
        <v>163952.19254544197</v>
      </c>
      <c r="J129" s="16">
        <v>35.005263157894774</v>
      </c>
      <c r="K129" s="162">
        <v>135.9197623313303</v>
      </c>
      <c r="L129" s="111">
        <f>L128+(L140-L128)/12</f>
        <v>47145.125</v>
      </c>
      <c r="M129" s="10">
        <v>130590</v>
      </c>
      <c r="N129" s="10">
        <f>U18+U19*C129+U20*D129+U21*E129+U22*F129+U23*G129+U24*H129+U25*I129+U26*J129</f>
        <v>150424218.41985995</v>
      </c>
      <c r="O129" s="53">
        <f t="shared" si="4"/>
        <v>5557623.4198599458</v>
      </c>
      <c r="P129" s="171">
        <f t="shared" si="5"/>
        <v>3.8363733335900839E-2</v>
      </c>
      <c r="Q129" s="13">
        <f t="shared" si="6"/>
        <v>3.8363733335900839E-2</v>
      </c>
      <c r="R129" s="13"/>
      <c r="S129" s="13"/>
    </row>
    <row r="130" spans="1:19" x14ac:dyDescent="0.2">
      <c r="A130" s="54">
        <f t="shared" si="7"/>
        <v>38960</v>
      </c>
      <c r="B130" s="10">
        <v>143235418</v>
      </c>
      <c r="C130" s="1">
        <v>27.5</v>
      </c>
      <c r="D130" s="1">
        <v>45.5</v>
      </c>
      <c r="E130" s="10">
        <v>31</v>
      </c>
      <c r="F130" s="10">
        <v>0</v>
      </c>
      <c r="G130" s="16">
        <v>351.91199999999998</v>
      </c>
      <c r="H130" s="16">
        <v>667.3</v>
      </c>
      <c r="I130" s="16">
        <f>'CDM Activity'!F23</f>
        <v>187373.93433764798</v>
      </c>
      <c r="J130" s="16">
        <v>35.121052631579005</v>
      </c>
      <c r="K130" s="162">
        <v>136.19973478756879</v>
      </c>
      <c r="L130" s="111">
        <f>L129+(L140-L128)/12</f>
        <v>47219.75</v>
      </c>
      <c r="M130" s="10">
        <v>130764</v>
      </c>
      <c r="N130" s="10">
        <f>U18+U19*C130+U20*D130+U21*E130+U22*F130+U23*G130+U24*H130+U25*I130+U26*J130</f>
        <v>140552429.72995025</v>
      </c>
      <c r="O130" s="53">
        <f t="shared" si="4"/>
        <v>-2682988.2700497508</v>
      </c>
      <c r="P130" s="171">
        <f t="shared" si="5"/>
        <v>-1.873131874443059E-2</v>
      </c>
      <c r="Q130" s="13">
        <f t="shared" si="6"/>
        <v>1.873131874443059E-2</v>
      </c>
      <c r="R130" s="13"/>
      <c r="S130" s="13"/>
    </row>
    <row r="131" spans="1:19" x14ac:dyDescent="0.2">
      <c r="A131" s="54">
        <f t="shared" si="7"/>
        <v>38990</v>
      </c>
      <c r="B131" s="10">
        <v>124350425</v>
      </c>
      <c r="C131" s="1">
        <v>130.30000000000001</v>
      </c>
      <c r="D131" s="1">
        <v>2.2999999999999998</v>
      </c>
      <c r="E131" s="10">
        <v>30</v>
      </c>
      <c r="F131" s="10">
        <v>1</v>
      </c>
      <c r="G131" s="16">
        <v>319.68</v>
      </c>
      <c r="H131" s="16">
        <v>664.9</v>
      </c>
      <c r="I131" s="16">
        <f>'CDM Activity'!F24</f>
        <v>210795.67612985399</v>
      </c>
      <c r="J131" s="16">
        <v>34.99473684210534</v>
      </c>
      <c r="K131" s="162">
        <v>136.48028394122719</v>
      </c>
      <c r="L131" s="111">
        <f>L130+(L140-L128)/12</f>
        <v>47294.375</v>
      </c>
      <c r="M131" s="10">
        <v>130938</v>
      </c>
      <c r="N131" s="10">
        <f>U18+U19*C131+U20*D131+U21*E131+U22*F131+U23*G131+U24*H131+U25*I131+U26*J131</f>
        <v>127482359.27576585</v>
      </c>
      <c r="O131" s="53">
        <f t="shared" ref="O131:O194" si="8">N131-B131</f>
        <v>3131934.2757658511</v>
      </c>
      <c r="P131" s="171">
        <f t="shared" ref="P131:P194" si="9">O131/B131</f>
        <v>2.518635763219829E-2</v>
      </c>
      <c r="Q131" s="13">
        <f t="shared" si="6"/>
        <v>2.518635763219829E-2</v>
      </c>
      <c r="R131" s="13"/>
      <c r="S131" s="13"/>
    </row>
    <row r="132" spans="1:19" x14ac:dyDescent="0.2">
      <c r="A132" s="54">
        <f t="shared" si="7"/>
        <v>39021</v>
      </c>
      <c r="B132" s="10">
        <v>129860299</v>
      </c>
      <c r="C132" s="1">
        <v>335.1</v>
      </c>
      <c r="D132" s="1">
        <v>0</v>
      </c>
      <c r="E132" s="10">
        <v>31</v>
      </c>
      <c r="F132" s="10">
        <v>1</v>
      </c>
      <c r="G132" s="16">
        <v>336.28800000000001</v>
      </c>
      <c r="H132" s="16">
        <v>667</v>
      </c>
      <c r="I132" s="16">
        <f>'CDM Activity'!F25</f>
        <v>234217.41792206001</v>
      </c>
      <c r="J132" s="16">
        <v>35.105263157894797</v>
      </c>
      <c r="K132" s="162">
        <v>136.76141098020776</v>
      </c>
      <c r="L132" s="111">
        <f>L131+(L140-L128)/12</f>
        <v>47369</v>
      </c>
      <c r="M132" s="10">
        <v>131112</v>
      </c>
      <c r="N132" s="10">
        <f>U18+U19*C132+U20*D132+U21*E132+U22*F132+U23*G132+U24*H132+U25*I132+U26*J132</f>
        <v>135041293.44800174</v>
      </c>
      <c r="O132" s="53">
        <f t="shared" si="8"/>
        <v>5180994.4480017424</v>
      </c>
      <c r="P132" s="171">
        <f t="shared" si="9"/>
        <v>3.9896677336325417E-2</v>
      </c>
      <c r="Q132" s="13">
        <f t="shared" ref="Q132:Q195" si="10">ABS(P132)</f>
        <v>3.9896677336325417E-2</v>
      </c>
      <c r="R132" s="13"/>
      <c r="S132" s="13"/>
    </row>
    <row r="133" spans="1:19" x14ac:dyDescent="0.2">
      <c r="A133" s="54">
        <f t="shared" si="7"/>
        <v>39051</v>
      </c>
      <c r="B133" s="10">
        <v>131299426</v>
      </c>
      <c r="C133" s="1">
        <v>415.9</v>
      </c>
      <c r="D133" s="1">
        <v>0</v>
      </c>
      <c r="E133" s="10">
        <v>30</v>
      </c>
      <c r="F133" s="10">
        <v>1</v>
      </c>
      <c r="G133" s="16">
        <v>352.08</v>
      </c>
      <c r="H133" s="16">
        <v>666.2</v>
      </c>
      <c r="I133" s="16">
        <f>'CDM Activity'!F26</f>
        <v>257639.15971426602</v>
      </c>
      <c r="J133" s="16">
        <v>35.063157894736833</v>
      </c>
      <c r="K133" s="162">
        <v>137.04311709485967</v>
      </c>
      <c r="L133" s="111">
        <f>L132+(L140-L128)/12</f>
        <v>47443.625</v>
      </c>
      <c r="M133" s="10">
        <v>131286</v>
      </c>
      <c r="N133" s="10">
        <f>U18+U19*C133+U20*D133+U21*E133+U22*F133+U23*G133+U24*H133+U25*I133+U26*J133</f>
        <v>136583497.15351197</v>
      </c>
      <c r="O133" s="53">
        <f t="shared" si="8"/>
        <v>5284071.1535119712</v>
      </c>
      <c r="P133" s="171">
        <f t="shared" si="9"/>
        <v>4.0244434530216235E-2</v>
      </c>
      <c r="Q133" s="13">
        <f t="shared" si="10"/>
        <v>4.0244434530216235E-2</v>
      </c>
      <c r="R133" s="13"/>
      <c r="S133" s="13"/>
    </row>
    <row r="134" spans="1:19" x14ac:dyDescent="0.2">
      <c r="A134" s="54">
        <f t="shared" si="7"/>
        <v>39082</v>
      </c>
      <c r="B134" s="10">
        <v>131260972</v>
      </c>
      <c r="C134" s="1">
        <v>545.20000000000005</v>
      </c>
      <c r="D134" s="1">
        <v>0</v>
      </c>
      <c r="E134" s="10">
        <v>31</v>
      </c>
      <c r="F134" s="10">
        <v>0</v>
      </c>
      <c r="G134" s="16">
        <v>304.29599999999999</v>
      </c>
      <c r="H134" s="16">
        <v>667.7</v>
      </c>
      <c r="I134" s="16">
        <f>'CDM Activity'!F27</f>
        <v>281060.90150647203</v>
      </c>
      <c r="J134" s="16">
        <v>35.142105263157873</v>
      </c>
      <c r="K134" s="162">
        <v>137.32540347798411</v>
      </c>
      <c r="L134" s="111">
        <f>L133+(L140-L128)/12</f>
        <v>47518.25</v>
      </c>
      <c r="M134" s="10">
        <v>131460</v>
      </c>
      <c r="N134" s="10">
        <f>U18+U19*C134+U20*D134+U21*E134+U22*F134+U23*G134+U24*H134+U25*I134+U26*J134</f>
        <v>137665492.89690253</v>
      </c>
      <c r="O134" s="53">
        <f t="shared" si="8"/>
        <v>6404520.8969025314</v>
      </c>
      <c r="P134" s="171">
        <f t="shared" si="9"/>
        <v>4.8792270842718817E-2</v>
      </c>
      <c r="Q134" s="13">
        <f t="shared" si="10"/>
        <v>4.8792270842718817E-2</v>
      </c>
      <c r="R134" s="13"/>
      <c r="S134" s="13"/>
    </row>
    <row r="135" spans="1:19" x14ac:dyDescent="0.2">
      <c r="A135" s="54">
        <f t="shared" si="7"/>
        <v>39113</v>
      </c>
      <c r="B135" s="10">
        <v>141950997</v>
      </c>
      <c r="C135" s="1">
        <v>698.3</v>
      </c>
      <c r="D135" s="1">
        <v>0</v>
      </c>
      <c r="E135" s="10">
        <v>31</v>
      </c>
      <c r="F135" s="10">
        <v>0</v>
      </c>
      <c r="G135" s="16">
        <v>351.91199999999998</v>
      </c>
      <c r="H135" s="16">
        <v>662.2</v>
      </c>
      <c r="I135" s="16">
        <f>'CDM Activity'!F28</f>
        <v>301054.57794119004</v>
      </c>
      <c r="J135" s="16">
        <v>37.800000000000068</v>
      </c>
      <c r="K135" s="162">
        <v>137.552207546647</v>
      </c>
      <c r="L135" s="111">
        <f>L134+(L140-L128)/12</f>
        <v>47592.875</v>
      </c>
      <c r="M135" s="10">
        <v>131624</v>
      </c>
      <c r="N135" s="10">
        <f>U18+U19*C135+U20*D135+U21*E135+U22*F135+U23*G135+U24*H135+U25*I135+U26*J135</f>
        <v>143756834.67941064</v>
      </c>
      <c r="O135" s="53">
        <f t="shared" si="8"/>
        <v>1805837.6794106364</v>
      </c>
      <c r="P135" s="171">
        <f t="shared" si="9"/>
        <v>1.2721556858178575E-2</v>
      </c>
      <c r="Q135" s="13">
        <f t="shared" si="10"/>
        <v>1.2721556858178575E-2</v>
      </c>
      <c r="R135" s="13"/>
      <c r="S135" s="13"/>
    </row>
    <row r="136" spans="1:19" x14ac:dyDescent="0.2">
      <c r="A136" s="54">
        <f t="shared" ref="A136:A192" si="11">EOMONTH(A135,1)</f>
        <v>39141</v>
      </c>
      <c r="B136" s="10">
        <v>134079334</v>
      </c>
      <c r="C136" s="1">
        <v>785.1</v>
      </c>
      <c r="D136" s="1">
        <v>0</v>
      </c>
      <c r="E136" s="10">
        <v>28</v>
      </c>
      <c r="F136" s="10">
        <v>0</v>
      </c>
      <c r="G136" s="16">
        <v>319.87200000000001</v>
      </c>
      <c r="H136" s="16">
        <v>656.8</v>
      </c>
      <c r="I136" s="16">
        <f>'CDM Activity'!F29</f>
        <v>321048.25437590806</v>
      </c>
      <c r="J136" s="16">
        <v>37.491754756871046</v>
      </c>
      <c r="K136" s="162">
        <v>137.77938620066888</v>
      </c>
      <c r="L136" s="111">
        <f>L135+(L140-L128)/12</f>
        <v>47667.5</v>
      </c>
      <c r="M136" s="10">
        <v>131788</v>
      </c>
      <c r="N136" s="10">
        <f>U18+U19*C136+U20*D136+U21*E136+U22*F136+U23*G136+U24*H136+U25*I136+U26*J136</f>
        <v>136503911.82466128</v>
      </c>
      <c r="O136" s="53">
        <f t="shared" si="8"/>
        <v>2424577.8246612847</v>
      </c>
      <c r="P136" s="171">
        <f t="shared" si="9"/>
        <v>1.8083158323722617E-2</v>
      </c>
      <c r="Q136" s="13">
        <f t="shared" si="10"/>
        <v>1.8083158323722617E-2</v>
      </c>
      <c r="R136" s="13"/>
      <c r="S136" s="13"/>
    </row>
    <row r="137" spans="1:19" x14ac:dyDescent="0.2">
      <c r="A137" s="54">
        <f t="shared" si="11"/>
        <v>39172</v>
      </c>
      <c r="B137" s="10">
        <v>137122151</v>
      </c>
      <c r="C137" s="1">
        <v>582</v>
      </c>
      <c r="D137" s="1">
        <v>0</v>
      </c>
      <c r="E137" s="10">
        <v>31</v>
      </c>
      <c r="F137" s="10">
        <v>1</v>
      </c>
      <c r="G137" s="16">
        <v>351.91199999999998</v>
      </c>
      <c r="H137" s="16">
        <v>652.20000000000005</v>
      </c>
      <c r="I137" s="16">
        <f>'CDM Activity'!F30</f>
        <v>341041.93081062607</v>
      </c>
      <c r="J137" s="16">
        <v>37.229175475687157</v>
      </c>
      <c r="K137" s="162">
        <v>138.00694005870795</v>
      </c>
      <c r="L137" s="111">
        <f>L136+(L140-L128)/12</f>
        <v>47742.125</v>
      </c>
      <c r="M137" s="10">
        <v>131952</v>
      </c>
      <c r="N137" s="10">
        <f>U18+U19*C137+U20*D137+U21*E137+U22*F137+U23*G137+U24*H137+U25*I137+U26*J137</f>
        <v>137709793.32784203</v>
      </c>
      <c r="O137" s="53">
        <f t="shared" si="8"/>
        <v>587642.32784202695</v>
      </c>
      <c r="P137" s="171">
        <f t="shared" si="9"/>
        <v>4.2855390143495264E-3</v>
      </c>
      <c r="Q137" s="13">
        <f t="shared" si="10"/>
        <v>4.2855390143495264E-3</v>
      </c>
      <c r="R137" s="13"/>
      <c r="S137" s="13"/>
    </row>
    <row r="138" spans="1:19" x14ac:dyDescent="0.2">
      <c r="A138" s="54">
        <f t="shared" si="11"/>
        <v>39202</v>
      </c>
      <c r="B138" s="10">
        <v>124757179</v>
      </c>
      <c r="C138" s="1">
        <v>403</v>
      </c>
      <c r="D138" s="1">
        <v>0</v>
      </c>
      <c r="E138" s="10">
        <v>30</v>
      </c>
      <c r="F138" s="10">
        <v>1</v>
      </c>
      <c r="G138" s="16">
        <v>319.68</v>
      </c>
      <c r="H138" s="16">
        <v>647.4</v>
      </c>
      <c r="I138" s="16">
        <f>'CDM Activity'!F31</f>
        <v>361035.60724534409</v>
      </c>
      <c r="J138" s="16">
        <v>36.955179704016928</v>
      </c>
      <c r="K138" s="162">
        <v>138.23486974044414</v>
      </c>
      <c r="L138" s="111">
        <f>L137+(L140-L128)/12</f>
        <v>47816.75</v>
      </c>
      <c r="M138" s="10">
        <v>132116</v>
      </c>
      <c r="N138" s="10">
        <f>U18+U19*C138+U20*D138+U21*E138+U22*F138+U23*G138+U24*H138+U25*I138+U26*J138</f>
        <v>127951272.01032317</v>
      </c>
      <c r="O138" s="53">
        <f t="shared" si="8"/>
        <v>3194093.0103231668</v>
      </c>
      <c r="P138" s="171">
        <f t="shared" si="9"/>
        <v>2.5602478638308796E-2</v>
      </c>
      <c r="Q138" s="13">
        <f t="shared" si="10"/>
        <v>2.5602478638308796E-2</v>
      </c>
      <c r="R138" s="13"/>
      <c r="S138" s="13"/>
    </row>
    <row r="139" spans="1:19" x14ac:dyDescent="0.2">
      <c r="A139" s="54">
        <f t="shared" si="11"/>
        <v>39233</v>
      </c>
      <c r="B139" s="10">
        <v>128722398</v>
      </c>
      <c r="C139" s="1">
        <v>166.4</v>
      </c>
      <c r="D139" s="1">
        <v>11.2</v>
      </c>
      <c r="E139" s="10">
        <v>31</v>
      </c>
      <c r="F139" s="10">
        <v>1</v>
      </c>
      <c r="G139" s="16">
        <v>351.91199999999998</v>
      </c>
      <c r="H139" s="16">
        <v>646.9</v>
      </c>
      <c r="I139" s="16">
        <f>'CDM Activity'!F32</f>
        <v>381029.2836800621</v>
      </c>
      <c r="J139" s="16">
        <v>36.926638477801248</v>
      </c>
      <c r="K139" s="162">
        <v>138.46317586658083</v>
      </c>
      <c r="L139" s="111">
        <f>L138+(L140-L128)/12</f>
        <v>47891.375</v>
      </c>
      <c r="M139" s="10">
        <v>132280</v>
      </c>
      <c r="N139" s="10">
        <f>U18+U19*C139+U20*D139+U21*E139+U22*F139+U23*G139+U24*H139+U25*I139+U26*J139</f>
        <v>129718908.59924315</v>
      </c>
      <c r="O139" s="53">
        <f t="shared" si="8"/>
        <v>996510.59924314916</v>
      </c>
      <c r="P139" s="171">
        <f t="shared" si="9"/>
        <v>7.7415478170562765E-3</v>
      </c>
      <c r="Q139" s="13">
        <f t="shared" si="10"/>
        <v>7.7415478170562765E-3</v>
      </c>
      <c r="R139" s="13"/>
      <c r="S139" s="13"/>
    </row>
    <row r="140" spans="1:19" x14ac:dyDescent="0.2">
      <c r="A140" s="54">
        <f t="shared" si="11"/>
        <v>39263</v>
      </c>
      <c r="B140" s="10">
        <v>139397997</v>
      </c>
      <c r="C140" s="1">
        <v>35.5</v>
      </c>
      <c r="D140" s="1">
        <v>51.2</v>
      </c>
      <c r="E140" s="10">
        <v>30</v>
      </c>
      <c r="F140" s="10">
        <v>0</v>
      </c>
      <c r="G140" s="16">
        <v>336.24</v>
      </c>
      <c r="H140" s="16">
        <v>652.29999999999995</v>
      </c>
      <c r="I140" s="16">
        <f>'CDM Activity'!F33</f>
        <v>401022.96011478011</v>
      </c>
      <c r="J140" s="16">
        <v>37.23488372093027</v>
      </c>
      <c r="K140" s="162">
        <v>138.69185905884657</v>
      </c>
      <c r="L140" s="111">
        <f>'Rate Class Customer Model'!N11</f>
        <v>47966</v>
      </c>
      <c r="M140" s="10">
        <v>132444</v>
      </c>
      <c r="N140" s="10">
        <f>U18+U19*C140+U20*D140+U21*E140+U22*F140+U23*G140+U24*H140+U25*I140+U26*J140</f>
        <v>133876917.17411137</v>
      </c>
      <c r="O140" s="53">
        <f t="shared" si="8"/>
        <v>-5521079.8258886337</v>
      </c>
      <c r="P140" s="171">
        <f t="shared" si="9"/>
        <v>-3.9606593672136002E-2</v>
      </c>
      <c r="Q140" s="13">
        <f t="shared" si="10"/>
        <v>3.9606593672136002E-2</v>
      </c>
      <c r="R140" s="13"/>
      <c r="S140" s="13"/>
    </row>
    <row r="141" spans="1:19" x14ac:dyDescent="0.2">
      <c r="A141" s="54">
        <f t="shared" si="11"/>
        <v>39294</v>
      </c>
      <c r="B141" s="10">
        <v>134351987</v>
      </c>
      <c r="C141" s="1">
        <v>28</v>
      </c>
      <c r="D141" s="1">
        <v>53.8</v>
      </c>
      <c r="E141" s="10">
        <v>31</v>
      </c>
      <c r="F141" s="10">
        <v>0</v>
      </c>
      <c r="G141" s="16">
        <v>336.28800000000001</v>
      </c>
      <c r="H141" s="16">
        <v>659.9</v>
      </c>
      <c r="I141" s="16">
        <f>'CDM Activity'!F34</f>
        <v>421016.63654949813</v>
      </c>
      <c r="J141" s="16">
        <v>37.668710359408124</v>
      </c>
      <c r="K141" s="162">
        <v>138.92091993999671</v>
      </c>
      <c r="L141" s="111">
        <f>L140+(L152-L140)/12</f>
        <v>48017.958333333336</v>
      </c>
      <c r="M141" s="10">
        <v>132608</v>
      </c>
      <c r="N141" s="10">
        <f>U18+U19*C141+U20*D141+U21*E141+U22*F141+U23*G141+U24*H141+U25*I141+U26*J141</f>
        <v>137166247.58715224</v>
      </c>
      <c r="O141" s="53">
        <f t="shared" si="8"/>
        <v>2814260.5871522427</v>
      </c>
      <c r="P141" s="171">
        <f t="shared" si="9"/>
        <v>2.094692196217569E-2</v>
      </c>
      <c r="Q141" s="13">
        <f t="shared" si="10"/>
        <v>2.094692196217569E-2</v>
      </c>
      <c r="R141" s="13"/>
      <c r="S141" s="13"/>
    </row>
    <row r="142" spans="1:19" x14ac:dyDescent="0.2">
      <c r="A142" s="54">
        <f t="shared" si="11"/>
        <v>39325</v>
      </c>
      <c r="B142" s="10">
        <v>145489294</v>
      </c>
      <c r="C142" s="1">
        <v>19.7</v>
      </c>
      <c r="D142" s="1">
        <v>65.099999999999994</v>
      </c>
      <c r="E142" s="10">
        <v>31</v>
      </c>
      <c r="F142" s="10">
        <v>0</v>
      </c>
      <c r="G142" s="16">
        <v>351.91199999999998</v>
      </c>
      <c r="H142" s="16">
        <v>662.1</v>
      </c>
      <c r="I142" s="16">
        <f>'CDM Activity'!F35</f>
        <v>441010.31298421614</v>
      </c>
      <c r="J142" s="16">
        <v>37.794291754756955</v>
      </c>
      <c r="K142" s="162">
        <v>139.15035913381516</v>
      </c>
      <c r="L142" s="111">
        <f>L141+(L152-L140)/12</f>
        <v>48069.916666666672</v>
      </c>
      <c r="M142" s="10">
        <v>132772</v>
      </c>
      <c r="N142" s="10">
        <f>U18+U19*C142+U20*D142+U21*E142+U22*F142+U23*G142+U24*H142+U25*I142+U26*J142</f>
        <v>141124892.87755823</v>
      </c>
      <c r="O142" s="53">
        <f t="shared" si="8"/>
        <v>-4364401.1224417686</v>
      </c>
      <c r="P142" s="171">
        <f t="shared" si="9"/>
        <v>-2.9998091285271949E-2</v>
      </c>
      <c r="Q142" s="13">
        <f t="shared" si="10"/>
        <v>2.9998091285271949E-2</v>
      </c>
      <c r="R142" s="13"/>
      <c r="S142" s="13"/>
    </row>
    <row r="143" spans="1:19" x14ac:dyDescent="0.2">
      <c r="A143" s="54">
        <f t="shared" si="11"/>
        <v>39355</v>
      </c>
      <c r="B143" s="10">
        <v>128127734</v>
      </c>
      <c r="C143" s="1">
        <v>74.7</v>
      </c>
      <c r="D143" s="1">
        <v>28</v>
      </c>
      <c r="E143" s="10">
        <v>30</v>
      </c>
      <c r="F143" s="10">
        <v>1</v>
      </c>
      <c r="G143" s="16">
        <v>303.83999999999997</v>
      </c>
      <c r="H143" s="16">
        <v>660.7</v>
      </c>
      <c r="I143" s="16">
        <f>'CDM Activity'!F36</f>
        <v>461003.98941893416</v>
      </c>
      <c r="J143" s="16">
        <v>37.714376321353143</v>
      </c>
      <c r="K143" s="162">
        <v>139.38017726511606</v>
      </c>
      <c r="L143" s="111">
        <f>L142+(L152-L140)/12</f>
        <v>48121.875000000007</v>
      </c>
      <c r="M143" s="10">
        <v>132936</v>
      </c>
      <c r="N143" s="10">
        <f>U18+U19*C143+U20*D143+U21*E143+U22*F143+U23*G143+U24*H143+U25*I143+U26*J143</f>
        <v>126789635.89499302</v>
      </c>
      <c r="O143" s="53">
        <f t="shared" si="8"/>
        <v>-1338098.1050069779</v>
      </c>
      <c r="P143" s="171">
        <f t="shared" si="9"/>
        <v>-1.0443469678523916E-2</v>
      </c>
      <c r="Q143" s="13">
        <f t="shared" si="10"/>
        <v>1.0443469678523916E-2</v>
      </c>
      <c r="R143" s="13"/>
      <c r="S143" s="13"/>
    </row>
    <row r="144" spans="1:19" x14ac:dyDescent="0.2">
      <c r="A144" s="54">
        <f t="shared" si="11"/>
        <v>39386</v>
      </c>
      <c r="B144" s="10">
        <v>130195410</v>
      </c>
      <c r="C144" s="1">
        <v>184.7</v>
      </c>
      <c r="D144" s="1">
        <v>10.9</v>
      </c>
      <c r="E144" s="10">
        <v>31</v>
      </c>
      <c r="F144" s="10">
        <v>1</v>
      </c>
      <c r="G144" s="16">
        <v>351.91199999999998</v>
      </c>
      <c r="H144" s="16">
        <v>662.5</v>
      </c>
      <c r="I144" s="16">
        <f>'CDM Activity'!F37</f>
        <v>480997.66585365217</v>
      </c>
      <c r="J144" s="16">
        <v>37.817124735729408</v>
      </c>
      <c r="K144" s="162">
        <v>139.61037495974546</v>
      </c>
      <c r="L144" s="111">
        <f>L143+(L152-L140)/12</f>
        <v>48173.833333333343</v>
      </c>
      <c r="M144" s="10">
        <v>133100</v>
      </c>
      <c r="N144" s="10">
        <f>U18+U19*C144+U20*D144+U21*E144+U22*F144+U23*G144+U24*H144+U25*I144+U26*J144</f>
        <v>132612912.0732803</v>
      </c>
      <c r="O144" s="53">
        <f t="shared" si="8"/>
        <v>2417502.0732803047</v>
      </c>
      <c r="P144" s="171">
        <f t="shared" si="9"/>
        <v>1.8568258844764995E-2</v>
      </c>
      <c r="Q144" s="13">
        <f t="shared" si="10"/>
        <v>1.8568258844764995E-2</v>
      </c>
      <c r="R144" s="13"/>
      <c r="S144" s="13"/>
    </row>
    <row r="145" spans="1:19" x14ac:dyDescent="0.2">
      <c r="A145" s="54">
        <f t="shared" si="11"/>
        <v>39416</v>
      </c>
      <c r="B145" s="10">
        <v>132285360</v>
      </c>
      <c r="C145" s="1">
        <v>511.8</v>
      </c>
      <c r="D145" s="1">
        <v>0</v>
      </c>
      <c r="E145" s="10">
        <v>30</v>
      </c>
      <c r="F145" s="10">
        <v>1</v>
      </c>
      <c r="G145" s="16">
        <v>352.08</v>
      </c>
      <c r="H145" s="16">
        <v>666.7</v>
      </c>
      <c r="I145" s="16">
        <f>'CDM Activity'!F38</f>
        <v>500991.34228837019</v>
      </c>
      <c r="J145" s="16">
        <v>38.056871035940844</v>
      </c>
      <c r="K145" s="162">
        <v>139.84095284458306</v>
      </c>
      <c r="L145" s="111">
        <f>L144+(L152-L140)/12</f>
        <v>48225.791666666679</v>
      </c>
      <c r="M145" s="10">
        <v>133264</v>
      </c>
      <c r="N145" s="10">
        <f>U18+U19*C145+U20*D145+U21*E145+U22*F145+U23*G145+U24*H145+U25*I145+U26*J145</f>
        <v>136725422.05125508</v>
      </c>
      <c r="O145" s="53">
        <f t="shared" si="8"/>
        <v>4440062.0512550771</v>
      </c>
      <c r="P145" s="171">
        <f t="shared" si="9"/>
        <v>3.356427386413037E-2</v>
      </c>
      <c r="Q145" s="13">
        <f t="shared" si="10"/>
        <v>3.356427386413037E-2</v>
      </c>
      <c r="R145" s="13"/>
      <c r="S145" s="13"/>
    </row>
    <row r="146" spans="1:19" x14ac:dyDescent="0.2">
      <c r="A146" s="54">
        <f t="shared" si="11"/>
        <v>39447</v>
      </c>
      <c r="B146" s="10">
        <v>132714082</v>
      </c>
      <c r="C146" s="1">
        <v>686.6</v>
      </c>
      <c r="D146" s="1">
        <v>0</v>
      </c>
      <c r="E146" s="10">
        <v>31</v>
      </c>
      <c r="F146" s="10">
        <v>0</v>
      </c>
      <c r="G146" s="16">
        <v>304.29599999999999</v>
      </c>
      <c r="H146" s="16">
        <v>668.5</v>
      </c>
      <c r="I146" s="16">
        <f>'CDM Activity'!F39</f>
        <v>520985.0187230882</v>
      </c>
      <c r="J146" s="16">
        <v>38.159619450317109</v>
      </c>
      <c r="K146" s="162">
        <v>140.07191154754381</v>
      </c>
      <c r="L146" s="111">
        <f>L145+(L152-L140)/12</f>
        <v>48277.750000000015</v>
      </c>
      <c r="M146" s="10">
        <v>133428</v>
      </c>
      <c r="N146" s="10">
        <f>U18+U19*C146+U20*D146+U21*E146+U22*F146+U23*G146+U24*H146+U25*I146+U26*J146</f>
        <v>138860570.53823832</v>
      </c>
      <c r="O146" s="53">
        <f t="shared" si="8"/>
        <v>6146488.5382383168</v>
      </c>
      <c r="P146" s="171">
        <f t="shared" si="9"/>
        <v>4.6313762982878613E-2</v>
      </c>
      <c r="Q146" s="13">
        <f t="shared" si="10"/>
        <v>4.6313762982878613E-2</v>
      </c>
      <c r="R146" s="13"/>
      <c r="S146" s="13"/>
    </row>
    <row r="147" spans="1:19" x14ac:dyDescent="0.2">
      <c r="A147" s="54">
        <f>EOMONTH(A146,1)</f>
        <v>39478</v>
      </c>
      <c r="B147" s="10">
        <v>140041421</v>
      </c>
      <c r="C147" s="1">
        <v>676.8</v>
      </c>
      <c r="D147" s="1">
        <v>0</v>
      </c>
      <c r="E147" s="10">
        <v>31</v>
      </c>
      <c r="F147" s="10">
        <v>0</v>
      </c>
      <c r="G147" s="16">
        <v>352</v>
      </c>
      <c r="H147" s="16">
        <v>661.4</v>
      </c>
      <c r="I147" s="16">
        <f>'CDM Activity'!F40</f>
        <v>533133.78983730474</v>
      </c>
      <c r="J147" s="16">
        <v>39.97857900318138</v>
      </c>
      <c r="K147" s="162">
        <v>139.96642175819056</v>
      </c>
      <c r="L147" s="111">
        <f>L146+(L152-L140)/12</f>
        <v>48329.70833333335</v>
      </c>
      <c r="M147" s="10">
        <v>133520</v>
      </c>
      <c r="N147" s="10">
        <f>U18+U19*C147+U20*D147+U21*E147+U22*F147+U23*G147+U24*H147+U25*I147+U26*J147</f>
        <v>141413214.71276823</v>
      </c>
      <c r="O147" s="53">
        <f t="shared" si="8"/>
        <v>1371793.7127682269</v>
      </c>
      <c r="P147" s="171">
        <f t="shared" si="9"/>
        <v>9.7956283431901679E-3</v>
      </c>
      <c r="Q147" s="13">
        <f t="shared" si="10"/>
        <v>9.7956283431901679E-3</v>
      </c>
      <c r="R147" s="13"/>
      <c r="S147" s="13"/>
    </row>
    <row r="148" spans="1:19" x14ac:dyDescent="0.2">
      <c r="A148" s="54">
        <f t="shared" si="11"/>
        <v>39507</v>
      </c>
      <c r="B148" s="10">
        <v>132651127</v>
      </c>
      <c r="C148" s="1">
        <v>651.20000000000005</v>
      </c>
      <c r="D148" s="1">
        <v>0</v>
      </c>
      <c r="E148" s="10">
        <v>28</v>
      </c>
      <c r="F148" s="10">
        <v>0</v>
      </c>
      <c r="G148" s="16">
        <v>320</v>
      </c>
      <c r="H148" s="16">
        <v>656.3</v>
      </c>
      <c r="I148" s="16">
        <f>'CDM Activity'!F41</f>
        <v>545282.56095152127</v>
      </c>
      <c r="J148" s="16">
        <v>39.670307529162301</v>
      </c>
      <c r="K148" s="162">
        <v>139.86101141442734</v>
      </c>
      <c r="L148" s="111">
        <f>L147+(L152-L140)/12</f>
        <v>48381.666666666686</v>
      </c>
      <c r="M148" s="10">
        <v>133612</v>
      </c>
      <c r="N148" s="10">
        <f>U18+U19*C148+U20*D148+U21*E148+U22*F148+U23*G148+U24*H148+U25*I148+U26*J148</f>
        <v>131833558.06699833</v>
      </c>
      <c r="O148" s="53">
        <f t="shared" si="8"/>
        <v>-817568.93300166726</v>
      </c>
      <c r="P148" s="171">
        <f t="shared" si="9"/>
        <v>-6.1633018240521038E-3</v>
      </c>
      <c r="Q148" s="13">
        <f t="shared" si="10"/>
        <v>6.1633018240521038E-3</v>
      </c>
      <c r="R148" s="13"/>
      <c r="S148" s="13"/>
    </row>
    <row r="149" spans="1:19" x14ac:dyDescent="0.2">
      <c r="A149" s="54">
        <f t="shared" si="11"/>
        <v>39538</v>
      </c>
      <c r="B149" s="10">
        <v>133457374</v>
      </c>
      <c r="C149" s="1">
        <v>686.1</v>
      </c>
      <c r="D149" s="1">
        <v>0</v>
      </c>
      <c r="E149" s="10">
        <v>31</v>
      </c>
      <c r="F149" s="10">
        <v>1</v>
      </c>
      <c r="G149" s="16">
        <v>304</v>
      </c>
      <c r="H149" s="16">
        <v>647</v>
      </c>
      <c r="I149" s="16">
        <f>'CDM Activity'!F42</f>
        <v>557431.33206573781</v>
      </c>
      <c r="J149" s="16">
        <v>39.108165429480437</v>
      </c>
      <c r="K149" s="162">
        <v>139.75568045642274</v>
      </c>
      <c r="L149" s="111">
        <f>L148+(L152-L140)/12</f>
        <v>48433.625000000022</v>
      </c>
      <c r="M149" s="10">
        <v>133704</v>
      </c>
      <c r="N149" s="10">
        <f>U18+U19*C149+U20*D149+U21*E149+U22*F149+U23*G149+U24*H149+U25*I149+U26*J149</f>
        <v>132384618.6485558</v>
      </c>
      <c r="O149" s="53">
        <f t="shared" si="8"/>
        <v>-1072755.3514441997</v>
      </c>
      <c r="P149" s="171">
        <f t="shared" si="9"/>
        <v>-8.0381871701162028E-3</v>
      </c>
      <c r="Q149" s="13">
        <f t="shared" si="10"/>
        <v>8.0381871701162028E-3</v>
      </c>
      <c r="R149" s="13"/>
      <c r="S149" s="13"/>
    </row>
    <row r="150" spans="1:19" x14ac:dyDescent="0.2">
      <c r="A150" s="54">
        <f t="shared" si="11"/>
        <v>39568</v>
      </c>
      <c r="B150" s="10">
        <v>122596206</v>
      </c>
      <c r="C150" s="1">
        <v>297.89999999999998</v>
      </c>
      <c r="D150" s="1">
        <v>0</v>
      </c>
      <c r="E150" s="10">
        <v>30</v>
      </c>
      <c r="F150" s="10">
        <v>1</v>
      </c>
      <c r="G150" s="16">
        <v>352</v>
      </c>
      <c r="H150" s="16">
        <v>647.20000000000005</v>
      </c>
      <c r="I150" s="16">
        <f>'CDM Activity'!F43</f>
        <v>569580.10317995434</v>
      </c>
      <c r="J150" s="16">
        <v>39.120254506892934</v>
      </c>
      <c r="K150" s="162">
        <v>139.65042882439042</v>
      </c>
      <c r="L150" s="111">
        <f>L149+(L152-L140)/12</f>
        <v>48485.583333333358</v>
      </c>
      <c r="M150" s="10">
        <v>133796</v>
      </c>
      <c r="N150" s="10">
        <f>U18+U19*C150+U20*D150+U21*E150+U22*F150+U23*G150+U24*H150+U25*I150+U26*J150</f>
        <v>127348534.34950708</v>
      </c>
      <c r="O150" s="53">
        <f t="shared" si="8"/>
        <v>4752328.3495070785</v>
      </c>
      <c r="P150" s="171">
        <f t="shared" si="9"/>
        <v>3.8764073575874594E-2</v>
      </c>
      <c r="Q150" s="13">
        <f t="shared" si="10"/>
        <v>3.8764073575874594E-2</v>
      </c>
      <c r="R150" s="13"/>
      <c r="S150" s="13"/>
    </row>
    <row r="151" spans="1:19" x14ac:dyDescent="0.2">
      <c r="A151" s="54">
        <f t="shared" si="11"/>
        <v>39599</v>
      </c>
      <c r="B151" s="10">
        <v>121120167</v>
      </c>
      <c r="C151" s="1">
        <v>243.1</v>
      </c>
      <c r="D151" s="1">
        <v>0.7</v>
      </c>
      <c r="E151" s="10">
        <v>31</v>
      </c>
      <c r="F151" s="10">
        <v>1</v>
      </c>
      <c r="G151" s="16">
        <v>336</v>
      </c>
      <c r="H151" s="16">
        <v>648.79999999999995</v>
      </c>
      <c r="I151" s="16">
        <f>'CDM Activity'!F44</f>
        <v>581728.87429417088</v>
      </c>
      <c r="J151" s="16">
        <v>39.216967126193026</v>
      </c>
      <c r="K151" s="162">
        <v>139.54525645858905</v>
      </c>
      <c r="L151" s="111">
        <f>L150+(L152-L140)/12</f>
        <v>48537.541666666693</v>
      </c>
      <c r="M151" s="10">
        <v>133888</v>
      </c>
      <c r="N151" s="10">
        <f>U18+U19*C151+U20*D151+U21*E151+U22*F151+U23*G151+U24*H151+U25*I151+U26*J151</f>
        <v>126478531.53460397</v>
      </c>
      <c r="O151" s="53">
        <f t="shared" si="8"/>
        <v>5358364.5346039683</v>
      </c>
      <c r="P151" s="171">
        <f t="shared" si="9"/>
        <v>4.424006891110023E-2</v>
      </c>
      <c r="Q151" s="13">
        <f t="shared" si="10"/>
        <v>4.424006891110023E-2</v>
      </c>
      <c r="R151" s="13"/>
      <c r="S151" s="13"/>
    </row>
    <row r="152" spans="1:19" x14ac:dyDescent="0.2">
      <c r="A152" s="54">
        <f t="shared" si="11"/>
        <v>39629</v>
      </c>
      <c r="B152" s="10">
        <v>130438115</v>
      </c>
      <c r="C152" s="1">
        <v>40.6</v>
      </c>
      <c r="D152" s="1">
        <v>53</v>
      </c>
      <c r="E152" s="10">
        <v>30</v>
      </c>
      <c r="F152" s="10">
        <v>0</v>
      </c>
      <c r="G152" s="16">
        <v>336</v>
      </c>
      <c r="H152" s="16">
        <v>656.8</v>
      </c>
      <c r="I152" s="16">
        <f>'CDM Activity'!F45</f>
        <v>593877.64540838741</v>
      </c>
      <c r="J152" s="16">
        <v>39.700530222693601</v>
      </c>
      <c r="K152" s="162">
        <v>139.44016329932234</v>
      </c>
      <c r="L152" s="111">
        <f>'Rate Class Customer Model'!N12</f>
        <v>48589.5</v>
      </c>
      <c r="M152" s="10">
        <v>133980</v>
      </c>
      <c r="N152" s="10">
        <f>U18+U19*C152+U20*D152+U21*E152+U22*F152+U23*G152+U24*H152+U25*I152+U26*J152</f>
        <v>133616052.91830327</v>
      </c>
      <c r="O152" s="53">
        <f t="shared" si="8"/>
        <v>3177937.9183032662</v>
      </c>
      <c r="P152" s="171">
        <f t="shared" si="9"/>
        <v>2.4363568258428652E-2</v>
      </c>
      <c r="Q152" s="13">
        <f t="shared" si="10"/>
        <v>2.4363568258428652E-2</v>
      </c>
      <c r="R152" s="13"/>
      <c r="S152" s="13"/>
    </row>
    <row r="153" spans="1:19" x14ac:dyDescent="0.2">
      <c r="A153" s="54">
        <f t="shared" si="11"/>
        <v>39660</v>
      </c>
      <c r="B153" s="10">
        <v>139693948</v>
      </c>
      <c r="C153" s="1">
        <v>7.6</v>
      </c>
      <c r="D153" s="1">
        <v>75.8</v>
      </c>
      <c r="E153" s="10">
        <v>31</v>
      </c>
      <c r="F153" s="10">
        <v>0</v>
      </c>
      <c r="G153" s="16">
        <v>352</v>
      </c>
      <c r="H153" s="16">
        <v>663.6</v>
      </c>
      <c r="I153" s="16">
        <f>'CDM Activity'!F46</f>
        <v>606026.41652260395</v>
      </c>
      <c r="J153" s="16">
        <v>40.111558854718965</v>
      </c>
      <c r="K153" s="162">
        <v>139.3351492869389</v>
      </c>
      <c r="L153" s="111">
        <f>L152+(L164-L152)/12</f>
        <v>48640.333333333336</v>
      </c>
      <c r="M153" s="10">
        <v>134072</v>
      </c>
      <c r="N153" s="10">
        <f>U18+U19*C153+U20*D153+U21*E153+U22*F153+U23*G153+U24*H153+U25*I153+U26*J153</f>
        <v>141794535.03952301</v>
      </c>
      <c r="O153" s="53">
        <f t="shared" si="8"/>
        <v>2100587.0395230055</v>
      </c>
      <c r="P153" s="171">
        <f t="shared" si="9"/>
        <v>1.5037065453422545E-2</v>
      </c>
      <c r="Q153" s="13">
        <f t="shared" si="10"/>
        <v>1.5037065453422545E-2</v>
      </c>
      <c r="R153" s="13"/>
      <c r="S153" s="13"/>
    </row>
    <row r="154" spans="1:19" x14ac:dyDescent="0.2">
      <c r="A154" s="54">
        <f t="shared" si="11"/>
        <v>39691</v>
      </c>
      <c r="B154" s="10">
        <v>131943162</v>
      </c>
      <c r="C154" s="1">
        <v>36.200000000000003</v>
      </c>
      <c r="D154" s="1">
        <v>29.5</v>
      </c>
      <c r="E154" s="10">
        <v>31</v>
      </c>
      <c r="F154" s="10">
        <v>0</v>
      </c>
      <c r="G154" s="16">
        <v>320</v>
      </c>
      <c r="H154" s="16">
        <v>666.6</v>
      </c>
      <c r="I154" s="16">
        <f>'CDM Activity'!F47</f>
        <v>618175.18763682048</v>
      </c>
      <c r="J154" s="16">
        <v>40.292895015906765</v>
      </c>
      <c r="K154" s="162">
        <v>139.23021436183228</v>
      </c>
      <c r="L154" s="111">
        <f>L153+(L164-L152)/12</f>
        <v>48691.166666666672</v>
      </c>
      <c r="M154" s="10">
        <v>134164</v>
      </c>
      <c r="N154" s="10">
        <f>U18+U19*C154+U20*D154+U21*E154+U22*F154+U23*G154+U24*H154+U25*I154+U26*J154</f>
        <v>130641218.11577363</v>
      </c>
      <c r="O154" s="53">
        <f t="shared" si="8"/>
        <v>-1301943.8842263669</v>
      </c>
      <c r="P154" s="171">
        <f t="shared" si="9"/>
        <v>-9.8674600827465906E-3</v>
      </c>
      <c r="Q154" s="13">
        <f t="shared" si="10"/>
        <v>9.8674600827465906E-3</v>
      </c>
      <c r="R154" s="13"/>
      <c r="S154" s="13"/>
    </row>
    <row r="155" spans="1:19" x14ac:dyDescent="0.2">
      <c r="A155" s="54">
        <f t="shared" si="11"/>
        <v>39721</v>
      </c>
      <c r="B155" s="10">
        <v>126425825</v>
      </c>
      <c r="C155" s="1">
        <v>93.2</v>
      </c>
      <c r="D155" s="1">
        <v>12</v>
      </c>
      <c r="E155" s="10">
        <v>30</v>
      </c>
      <c r="F155" s="10">
        <v>1</v>
      </c>
      <c r="G155" s="16">
        <v>336</v>
      </c>
      <c r="H155" s="16">
        <v>669.7</v>
      </c>
      <c r="I155" s="16">
        <f>'CDM Activity'!F48</f>
        <v>630323.95875103702</v>
      </c>
      <c r="J155" s="16">
        <v>40.480275715800644</v>
      </c>
      <c r="K155" s="162">
        <v>139.12535846444095</v>
      </c>
      <c r="L155" s="111">
        <f>L154+(L164-L152)/12</f>
        <v>48742.000000000007</v>
      </c>
      <c r="M155" s="10">
        <v>134256</v>
      </c>
      <c r="N155" s="10">
        <f>U18+U19*C155+U20*D155+U21*E155+U22*F155+U23*G155+U24*H155+U25*I155+U26*J155</f>
        <v>127640324.3082706</v>
      </c>
      <c r="O155" s="53">
        <f t="shared" si="8"/>
        <v>1214499.3082706034</v>
      </c>
      <c r="P155" s="171">
        <f t="shared" si="9"/>
        <v>9.6064178997495447E-3</v>
      </c>
      <c r="Q155" s="13">
        <f t="shared" si="10"/>
        <v>9.6064178997495447E-3</v>
      </c>
      <c r="R155" s="13"/>
      <c r="S155" s="13"/>
    </row>
    <row r="156" spans="1:19" x14ac:dyDescent="0.2">
      <c r="A156" s="54">
        <f t="shared" si="11"/>
        <v>39752</v>
      </c>
      <c r="B156" s="10">
        <v>125628543</v>
      </c>
      <c r="C156" s="1">
        <v>325.7</v>
      </c>
      <c r="D156" s="1">
        <v>0</v>
      </c>
      <c r="E156" s="10">
        <v>31</v>
      </c>
      <c r="F156" s="10">
        <v>1</v>
      </c>
      <c r="G156" s="16">
        <v>352</v>
      </c>
      <c r="H156" s="16">
        <v>673</v>
      </c>
      <c r="I156" s="16">
        <f>'CDM Activity'!F49</f>
        <v>642472.72986525355</v>
      </c>
      <c r="J156" s="16">
        <v>40.679745493107134</v>
      </c>
      <c r="K156" s="162">
        <v>139.02058153524823</v>
      </c>
      <c r="L156" s="111">
        <f>L155+(L164-L152)/12</f>
        <v>48792.833333333343</v>
      </c>
      <c r="M156" s="10">
        <v>134348</v>
      </c>
      <c r="N156" s="10">
        <f>U18+U19*C156+U20*D156+U21*E156+U22*F156+U23*G156+U24*H156+U25*I156+U26*J156</f>
        <v>134121989.61954355</v>
      </c>
      <c r="O156" s="53">
        <f t="shared" si="8"/>
        <v>8493446.6195435524</v>
      </c>
      <c r="P156" s="171">
        <f t="shared" si="9"/>
        <v>6.7607618593041804E-2</v>
      </c>
      <c r="Q156" s="13">
        <f t="shared" si="10"/>
        <v>6.7607618593041804E-2</v>
      </c>
      <c r="R156" s="13"/>
      <c r="S156" s="13"/>
    </row>
    <row r="157" spans="1:19" x14ac:dyDescent="0.2">
      <c r="A157" s="54">
        <f t="shared" si="11"/>
        <v>39782</v>
      </c>
      <c r="B157" s="10">
        <v>125038661</v>
      </c>
      <c r="C157" s="1">
        <v>499.7</v>
      </c>
      <c r="D157" s="1">
        <v>0</v>
      </c>
      <c r="E157" s="10">
        <v>30</v>
      </c>
      <c r="F157" s="10">
        <v>1</v>
      </c>
      <c r="G157" s="16">
        <v>304</v>
      </c>
      <c r="H157" s="16">
        <v>676.9</v>
      </c>
      <c r="I157" s="16">
        <f>'CDM Activity'!F50</f>
        <v>654621.50097947009</v>
      </c>
      <c r="J157" s="16">
        <v>40.915482502651116</v>
      </c>
      <c r="K157" s="162">
        <v>138.91588351478222</v>
      </c>
      <c r="L157" s="111">
        <f>L156+(L164-L152)/12</f>
        <v>48843.666666666679</v>
      </c>
      <c r="M157" s="10">
        <v>134440</v>
      </c>
      <c r="N157" s="10">
        <f>U18+U19*C157+U20*D157+U21*E157+U22*F157+U23*G157+U24*H157+U25*I157+U26*J157</f>
        <v>132066095.04055357</v>
      </c>
      <c r="O157" s="53">
        <f t="shared" si="8"/>
        <v>7027434.0405535698</v>
      </c>
      <c r="P157" s="171">
        <f t="shared" si="9"/>
        <v>5.6202089692511739E-2</v>
      </c>
      <c r="Q157" s="13">
        <f t="shared" si="10"/>
        <v>5.6202089692511739E-2</v>
      </c>
      <c r="R157" s="13"/>
      <c r="S157" s="13"/>
    </row>
    <row r="158" spans="1:19" x14ac:dyDescent="0.2">
      <c r="A158" s="54">
        <f t="shared" si="11"/>
        <v>39813</v>
      </c>
      <c r="B158" s="160">
        <v>128488680</v>
      </c>
      <c r="C158" s="1">
        <v>694</v>
      </c>
      <c r="D158" s="1">
        <v>0</v>
      </c>
      <c r="E158" s="10">
        <v>31</v>
      </c>
      <c r="F158" s="10">
        <v>0</v>
      </c>
      <c r="G158" s="16">
        <v>336</v>
      </c>
      <c r="H158" s="16">
        <v>673.6</v>
      </c>
      <c r="I158" s="16">
        <f>'CDM Activity'!F51</f>
        <v>666770.27209368662</v>
      </c>
      <c r="J158" s="16">
        <v>40.71601272534474</v>
      </c>
      <c r="K158" s="162">
        <v>138.8112643436159</v>
      </c>
      <c r="L158" s="111">
        <f>L157+(L164-L152)/12</f>
        <v>48894.500000000015</v>
      </c>
      <c r="M158" s="10">
        <v>134532</v>
      </c>
      <c r="N158" s="10">
        <f>U18+U19*C158+U20*D158+U21*E158+U22*F158+U23*G158+U24*H158+U25*I158+U26*J158</f>
        <v>141884992.58917096</v>
      </c>
      <c r="O158" s="53">
        <f t="shared" si="8"/>
        <v>13396312.589170963</v>
      </c>
      <c r="P158" s="171">
        <f t="shared" si="9"/>
        <v>0.10426064451102589</v>
      </c>
      <c r="Q158" s="13">
        <f t="shared" si="10"/>
        <v>0.10426064451102589</v>
      </c>
      <c r="R158" s="13"/>
      <c r="S158" s="13"/>
    </row>
    <row r="159" spans="1:19" x14ac:dyDescent="0.2">
      <c r="A159" s="54">
        <f t="shared" si="11"/>
        <v>39844</v>
      </c>
      <c r="B159" s="161">
        <v>132884999</v>
      </c>
      <c r="C159" s="23">
        <v>891.8</v>
      </c>
      <c r="D159" s="23">
        <v>0</v>
      </c>
      <c r="E159" s="10">
        <v>31</v>
      </c>
      <c r="F159" s="10">
        <v>0</v>
      </c>
      <c r="G159" s="16">
        <v>336</v>
      </c>
      <c r="H159" s="16">
        <v>662.3</v>
      </c>
      <c r="I159" s="16">
        <f>'CDM Activity'!F52</f>
        <v>709773.03017770033</v>
      </c>
      <c r="J159" s="16">
        <v>65.50219780219777</v>
      </c>
      <c r="K159" s="162">
        <v>138.43555825854429</v>
      </c>
      <c r="L159" s="111">
        <f>L158+(L164-L152)/12</f>
        <v>48945.33333333335</v>
      </c>
      <c r="M159" s="10">
        <v>134619</v>
      </c>
      <c r="N159" s="10">
        <f>U18+U19*C159+U20*D159+U21*E159+U22*F159+U23*G159+U24*H159+U25*I159+U26*J159</f>
        <v>135504855.37690324</v>
      </c>
      <c r="O159" s="53">
        <f t="shared" si="8"/>
        <v>2619856.3769032359</v>
      </c>
      <c r="P159" s="171">
        <f t="shared" si="9"/>
        <v>1.9715215386375072E-2</v>
      </c>
      <c r="Q159" s="13">
        <f t="shared" si="10"/>
        <v>1.9715215386375072E-2</v>
      </c>
    </row>
    <row r="160" spans="1:19" x14ac:dyDescent="0.2">
      <c r="A160" s="54">
        <f t="shared" si="11"/>
        <v>39872</v>
      </c>
      <c r="B160" s="161">
        <v>117645114</v>
      </c>
      <c r="C160" s="23">
        <v>649.6</v>
      </c>
      <c r="D160" s="23">
        <v>0</v>
      </c>
      <c r="E160" s="10">
        <v>29</v>
      </c>
      <c r="F160" s="10">
        <v>0</v>
      </c>
      <c r="G160" s="16">
        <v>304</v>
      </c>
      <c r="H160" s="16">
        <v>649.29999999999995</v>
      </c>
      <c r="I160" s="16">
        <f>'CDM Activity'!F53</f>
        <v>752775.78826171404</v>
      </c>
      <c r="J160" s="16">
        <v>64.216483516483436</v>
      </c>
      <c r="K160" s="162">
        <v>138.06086905825526</v>
      </c>
      <c r="L160" s="111">
        <f>L159+(L164-L152)/12</f>
        <v>48996.166666666686</v>
      </c>
      <c r="M160" s="10">
        <v>134706</v>
      </c>
      <c r="N160" s="10">
        <f>U18+U19*C160+U20*D160+U21*E160+U22*F160+U23*G160+U24*H160+U25*I160+U26*J160</f>
        <v>121339332.7633023</v>
      </c>
      <c r="O160" s="53">
        <f t="shared" si="8"/>
        <v>3694218.7633022964</v>
      </c>
      <c r="P160" s="171">
        <f t="shared" si="9"/>
        <v>3.1401378584258899E-2</v>
      </c>
      <c r="Q160" s="13">
        <f t="shared" si="10"/>
        <v>3.1401378584258899E-2</v>
      </c>
    </row>
    <row r="161" spans="1:17" x14ac:dyDescent="0.2">
      <c r="A161" s="54">
        <f t="shared" si="11"/>
        <v>39903</v>
      </c>
      <c r="B161" s="161">
        <v>124919264</v>
      </c>
      <c r="C161" s="23">
        <v>562.6</v>
      </c>
      <c r="D161" s="23">
        <v>0</v>
      </c>
      <c r="E161" s="10">
        <v>31</v>
      </c>
      <c r="F161" s="10">
        <v>1</v>
      </c>
      <c r="G161" s="16">
        <v>352</v>
      </c>
      <c r="H161" s="16">
        <v>636.29999999999995</v>
      </c>
      <c r="I161" s="16">
        <f>'CDM Activity'!F54</f>
        <v>795778.54634572775</v>
      </c>
      <c r="J161" s="16">
        <v>62.930769230769215</v>
      </c>
      <c r="K161" s="162">
        <v>137.68719399045199</v>
      </c>
      <c r="L161" s="111">
        <f>L160+(L164-L152)/12</f>
        <v>49047.000000000022</v>
      </c>
      <c r="M161" s="10">
        <v>134793</v>
      </c>
      <c r="N161" s="10">
        <f>U18+U19*C161+U20*D161+U21*E161+U22*F161+U23*G161+U24*H161+U25*I161+U26*J161</f>
        <v>123590159.32225068</v>
      </c>
      <c r="O161" s="53">
        <f t="shared" si="8"/>
        <v>-1329104.6777493209</v>
      </c>
      <c r="P161" s="171">
        <f t="shared" si="9"/>
        <v>-1.0639709482672911E-2</v>
      </c>
      <c r="Q161" s="13">
        <f t="shared" si="10"/>
        <v>1.0639709482672911E-2</v>
      </c>
    </row>
    <row r="162" spans="1:17" x14ac:dyDescent="0.2">
      <c r="A162" s="54">
        <f t="shared" si="11"/>
        <v>39933</v>
      </c>
      <c r="B162" s="161">
        <v>113413654</v>
      </c>
      <c r="C162" s="23">
        <v>341.5</v>
      </c>
      <c r="D162" s="23">
        <v>3.2</v>
      </c>
      <c r="E162" s="10">
        <v>30</v>
      </c>
      <c r="F162" s="10">
        <v>1</v>
      </c>
      <c r="G162" s="16">
        <v>320</v>
      </c>
      <c r="H162" s="16">
        <v>632.20000000000005</v>
      </c>
      <c r="I162" s="16">
        <f>'CDM Activity'!F55</f>
        <v>838781.30442974146</v>
      </c>
      <c r="J162" s="16">
        <v>62.525274725274699</v>
      </c>
      <c r="K162" s="162">
        <v>137.31453031028698</v>
      </c>
      <c r="L162" s="111">
        <f>L161+(L164-L152)/12</f>
        <v>49097.833333333358</v>
      </c>
      <c r="M162" s="10">
        <v>134880</v>
      </c>
      <c r="N162" s="10">
        <f>U18+U19*C162+U20*D162+U21*E162+U22*F162+U23*G162+U24*H162+U25*I162+U26*J162</f>
        <v>113658253.84963508</v>
      </c>
      <c r="O162" s="53">
        <f t="shared" si="8"/>
        <v>244599.8496350795</v>
      </c>
      <c r="P162" s="171">
        <f t="shared" si="9"/>
        <v>2.156705484818252E-3</v>
      </c>
      <c r="Q162" s="13">
        <f t="shared" si="10"/>
        <v>2.156705484818252E-3</v>
      </c>
    </row>
    <row r="163" spans="1:17" x14ac:dyDescent="0.2">
      <c r="A163" s="54">
        <f t="shared" si="11"/>
        <v>39964</v>
      </c>
      <c r="B163" s="161">
        <v>110681364</v>
      </c>
      <c r="C163" s="23">
        <v>192.8</v>
      </c>
      <c r="D163" s="23">
        <v>2.2999999999999998</v>
      </c>
      <c r="E163" s="10">
        <v>31</v>
      </c>
      <c r="F163" s="10">
        <v>1</v>
      </c>
      <c r="G163" s="16">
        <v>320</v>
      </c>
      <c r="H163" s="16">
        <v>631.70000000000005</v>
      </c>
      <c r="I163" s="16">
        <f>'CDM Activity'!F56</f>
        <v>881784.06251375517</v>
      </c>
      <c r="J163" s="16">
        <v>62.475824175824187</v>
      </c>
      <c r="K163" s="162">
        <v>136.94287528034204</v>
      </c>
      <c r="L163" s="111">
        <f>L162+(L164-L152)/12</f>
        <v>49148.666666666693</v>
      </c>
      <c r="M163" s="10">
        <v>134967</v>
      </c>
      <c r="N163" s="10">
        <f>U18+U19*C163+U20*D163+U21*E163+U22*F163+U23*G163+U24*H163+U25*I163+U26*J163</f>
        <v>111565512.67219052</v>
      </c>
      <c r="O163" s="53">
        <f t="shared" si="8"/>
        <v>884148.67219051719</v>
      </c>
      <c r="P163" s="171">
        <f t="shared" si="9"/>
        <v>7.9882343353711947E-3</v>
      </c>
      <c r="Q163" s="13">
        <f t="shared" si="10"/>
        <v>7.9882343353711947E-3</v>
      </c>
    </row>
    <row r="164" spans="1:17" x14ac:dyDescent="0.2">
      <c r="A164" s="54">
        <f t="shared" si="11"/>
        <v>39994</v>
      </c>
      <c r="B164" s="161">
        <v>118125725</v>
      </c>
      <c r="C164" s="23">
        <v>75.7</v>
      </c>
      <c r="D164" s="23">
        <v>26.2</v>
      </c>
      <c r="E164" s="10">
        <v>30</v>
      </c>
      <c r="F164" s="10">
        <v>0</v>
      </c>
      <c r="G164" s="16">
        <v>352</v>
      </c>
      <c r="H164" s="16">
        <v>642.70000000000005</v>
      </c>
      <c r="I164" s="16">
        <f>'CDM Activity'!F57</f>
        <v>924786.82059776888</v>
      </c>
      <c r="J164" s="16">
        <v>63.563736263736246</v>
      </c>
      <c r="K164" s="162">
        <v>136.57222617060793</v>
      </c>
      <c r="L164" s="111">
        <f>'Rate Class Customer Model'!N13</f>
        <v>49199.5</v>
      </c>
      <c r="M164" s="10">
        <v>135054</v>
      </c>
      <c r="N164" s="10">
        <f>U18+U19*C164+U20*D164+U21*E164+U22*F164+U23*G164+U24*H164+U25*I164+U26*J164</f>
        <v>118616976.48638627</v>
      </c>
      <c r="O164" s="53">
        <f t="shared" si="8"/>
        <v>491251.48638626933</v>
      </c>
      <c r="P164" s="171">
        <f t="shared" si="9"/>
        <v>4.1587172174923741E-3</v>
      </c>
      <c r="Q164" s="13">
        <f t="shared" si="10"/>
        <v>4.1587172174923741E-3</v>
      </c>
    </row>
    <row r="165" spans="1:17" x14ac:dyDescent="0.2">
      <c r="A165" s="54">
        <f t="shared" si="11"/>
        <v>40025</v>
      </c>
      <c r="B165" s="161">
        <v>117925787</v>
      </c>
      <c r="C165" s="23">
        <v>37.6</v>
      </c>
      <c r="D165" s="23">
        <v>14.5</v>
      </c>
      <c r="E165" s="10">
        <v>31</v>
      </c>
      <c r="F165" s="10">
        <v>0</v>
      </c>
      <c r="G165" s="16">
        <v>352</v>
      </c>
      <c r="H165" s="16">
        <v>650</v>
      </c>
      <c r="I165" s="16">
        <f>'CDM Activity'!F58</f>
        <v>967789.57868178259</v>
      </c>
      <c r="J165" s="16">
        <v>64.285714285714221</v>
      </c>
      <c r="K165" s="162">
        <v>136.20258025846454</v>
      </c>
      <c r="L165" s="111">
        <f>L164+(L176-L164)/12</f>
        <v>49288</v>
      </c>
      <c r="M165" s="10">
        <v>135141</v>
      </c>
      <c r="N165" s="10">
        <f>U18+U19*C165+U20*D165+U21*E165+U22*F165+U23*G165+U24*H165+U25*I165+U26*J165</f>
        <v>118203361.64368893</v>
      </c>
      <c r="O165" s="53">
        <f t="shared" si="8"/>
        <v>277574.64368893206</v>
      </c>
      <c r="P165" s="171">
        <f t="shared" si="9"/>
        <v>2.3538078545020189E-3</v>
      </c>
      <c r="Q165" s="13">
        <f t="shared" si="10"/>
        <v>2.3538078545020189E-3</v>
      </c>
    </row>
    <row r="166" spans="1:17" x14ac:dyDescent="0.2">
      <c r="A166" s="54">
        <f t="shared" si="11"/>
        <v>40056</v>
      </c>
      <c r="B166" s="161">
        <v>129756657</v>
      </c>
      <c r="C166" s="23">
        <v>34.4</v>
      </c>
      <c r="D166" s="23">
        <v>57.3</v>
      </c>
      <c r="E166" s="10">
        <v>31</v>
      </c>
      <c r="F166" s="10">
        <v>0</v>
      </c>
      <c r="G166" s="16">
        <v>320</v>
      </c>
      <c r="H166" s="16">
        <v>655.29999999999995</v>
      </c>
      <c r="I166" s="16">
        <f>'CDM Activity'!F59</f>
        <v>1010792.3367657963</v>
      </c>
      <c r="J166" s="16">
        <v>64.809890109890034</v>
      </c>
      <c r="K166" s="162">
        <v>135.83393482866074</v>
      </c>
      <c r="L166" s="111">
        <f>L165+(L176-L164)/12</f>
        <v>49376.5</v>
      </c>
      <c r="M166" s="10">
        <v>135228</v>
      </c>
      <c r="N166" s="10">
        <f>U18+U19*C166+U20*D166+U21*E166+U22*F166+U23*G166+U24*H166+U25*I166+U26*J166</f>
        <v>123921290.50115147</v>
      </c>
      <c r="O166" s="53">
        <f t="shared" si="8"/>
        <v>-5835366.4988485277</v>
      </c>
      <c r="P166" s="171">
        <f t="shared" si="9"/>
        <v>-4.4971615590008056E-2</v>
      </c>
      <c r="Q166" s="13">
        <f t="shared" si="10"/>
        <v>4.4971615590008056E-2</v>
      </c>
    </row>
    <row r="167" spans="1:17" x14ac:dyDescent="0.2">
      <c r="A167" s="54">
        <f t="shared" si="11"/>
        <v>40086</v>
      </c>
      <c r="B167" s="161">
        <v>117720372</v>
      </c>
      <c r="C167" s="23">
        <v>88.8</v>
      </c>
      <c r="D167" s="23">
        <v>5.5</v>
      </c>
      <c r="E167" s="10">
        <v>30</v>
      </c>
      <c r="F167" s="10">
        <v>1</v>
      </c>
      <c r="G167" s="16">
        <v>336</v>
      </c>
      <c r="H167" s="16">
        <v>654.9</v>
      </c>
      <c r="I167" s="16">
        <f>'CDM Activity'!F60</f>
        <v>1053795.09484981</v>
      </c>
      <c r="J167" s="16">
        <v>64.770329670329602</v>
      </c>
      <c r="K167" s="162">
        <v>135.46628717329455</v>
      </c>
      <c r="L167" s="111">
        <f>L166+(L176-L164)/12</f>
        <v>49465</v>
      </c>
      <c r="M167" s="10">
        <v>135315</v>
      </c>
      <c r="N167" s="10">
        <f>U18+U19*C167+U20*D167+U21*E167+U22*F167+U23*G167+U24*H167+U25*I167+U26*J167</f>
        <v>113400126.82823333</v>
      </c>
      <c r="O167" s="53">
        <f t="shared" si="8"/>
        <v>-4320245.1717666686</v>
      </c>
      <c r="P167" s="171">
        <f t="shared" si="9"/>
        <v>-3.669921440417015E-2</v>
      </c>
      <c r="Q167" s="13">
        <f t="shared" si="10"/>
        <v>3.669921440417015E-2</v>
      </c>
    </row>
    <row r="168" spans="1:17" x14ac:dyDescent="0.2">
      <c r="A168" s="54">
        <f t="shared" si="11"/>
        <v>40117</v>
      </c>
      <c r="B168" s="161">
        <v>119665804</v>
      </c>
      <c r="C168" s="23">
        <v>329.1</v>
      </c>
      <c r="D168" s="23">
        <v>0</v>
      </c>
      <c r="E168" s="10">
        <v>31</v>
      </c>
      <c r="F168" s="10">
        <v>1</v>
      </c>
      <c r="G168" s="16">
        <v>336</v>
      </c>
      <c r="H168" s="16">
        <v>656.6</v>
      </c>
      <c r="I168" s="16">
        <f>'CDM Activity'!F61</f>
        <v>1096797.8529338236</v>
      </c>
      <c r="J168" s="16">
        <v>64.938461538461524</v>
      </c>
      <c r="K168" s="162">
        <v>135.09963459179312</v>
      </c>
      <c r="L168" s="111">
        <f>L167+(L176-L164)/12</f>
        <v>49553.5</v>
      </c>
      <c r="M168" s="10">
        <v>135402</v>
      </c>
      <c r="N168" s="10">
        <f>U18+U19*C168+U20*D168+U21*E168+U22*F168+U23*G168+U24*H168+U25*I168+U26*J168</f>
        <v>119208284.61836886</v>
      </c>
      <c r="O168" s="53">
        <f t="shared" si="8"/>
        <v>-457519.38163113594</v>
      </c>
      <c r="P168" s="171">
        <f t="shared" si="9"/>
        <v>-3.8233093025567765E-3</v>
      </c>
      <c r="Q168" s="13">
        <f t="shared" si="10"/>
        <v>3.8233093025567765E-3</v>
      </c>
    </row>
    <row r="169" spans="1:17" x14ac:dyDescent="0.2">
      <c r="A169" s="54">
        <f t="shared" si="11"/>
        <v>40147</v>
      </c>
      <c r="B169" s="161">
        <v>119039063</v>
      </c>
      <c r="C169" s="23">
        <v>396.5</v>
      </c>
      <c r="D169" s="23">
        <v>0</v>
      </c>
      <c r="E169" s="10">
        <v>30</v>
      </c>
      <c r="F169" s="10">
        <v>1</v>
      </c>
      <c r="G169" s="16">
        <v>320</v>
      </c>
      <c r="H169" s="16">
        <v>654.79999999999995</v>
      </c>
      <c r="I169" s="16">
        <f>'CDM Activity'!F62</f>
        <v>1139800.6110178372</v>
      </c>
      <c r="J169" s="16">
        <v>64.760439560439522</v>
      </c>
      <c r="K169" s="162">
        <v>134.733974390893</v>
      </c>
      <c r="L169" s="111">
        <f>L168+(L176-L164)/12</f>
        <v>49642</v>
      </c>
      <c r="M169" s="10">
        <v>135489</v>
      </c>
      <c r="N169" s="10">
        <f>U18+U19*C169+U20*D169+U21*E169+U22*F169+U23*G169+U24*H169+U25*I169+U26*J169</f>
        <v>116941227.32980731</v>
      </c>
      <c r="O169" s="53">
        <f t="shared" si="8"/>
        <v>-2097835.6701926887</v>
      </c>
      <c r="P169" s="171">
        <f t="shared" si="9"/>
        <v>-1.7623086214923322E-2</v>
      </c>
      <c r="Q169" s="13">
        <f t="shared" si="10"/>
        <v>1.7623086214923322E-2</v>
      </c>
    </row>
    <row r="170" spans="1:17" x14ac:dyDescent="0.2">
      <c r="A170" s="54">
        <f t="shared" si="11"/>
        <v>40178</v>
      </c>
      <c r="B170" s="161">
        <v>128577043</v>
      </c>
      <c r="C170" s="23">
        <v>669.5</v>
      </c>
      <c r="D170" s="23">
        <v>0</v>
      </c>
      <c r="E170" s="10">
        <v>31</v>
      </c>
      <c r="F170" s="10">
        <v>0</v>
      </c>
      <c r="G170" s="16">
        <v>352</v>
      </c>
      <c r="H170" s="16">
        <v>652.29999999999995</v>
      </c>
      <c r="I170" s="16">
        <f>'CDM Activity'!F63</f>
        <v>1182803.3691018508</v>
      </c>
      <c r="J170" s="16">
        <v>64.513186813186735</v>
      </c>
      <c r="K170" s="162">
        <v>134.36930388462019</v>
      </c>
      <c r="L170" s="111">
        <f>L169+(L176-L164)/12</f>
        <v>49730.5</v>
      </c>
      <c r="M170" s="10">
        <v>135576</v>
      </c>
      <c r="N170" s="10">
        <f>U18+U19*C170+U20*D170+U21*E170+U22*F170+U23*G170+U24*H170+U25*I170+U26*J170</f>
        <v>128509987.52370118</v>
      </c>
      <c r="O170" s="53">
        <f t="shared" si="8"/>
        <v>-67055.476298823953</v>
      </c>
      <c r="P170" s="171">
        <f t="shared" si="9"/>
        <v>-5.2151981982369864E-4</v>
      </c>
      <c r="Q170" s="13">
        <f t="shared" si="10"/>
        <v>5.2151981982369864E-4</v>
      </c>
    </row>
    <row r="171" spans="1:17" x14ac:dyDescent="0.2">
      <c r="A171" s="54">
        <f t="shared" si="11"/>
        <v>40209</v>
      </c>
      <c r="B171" s="161">
        <v>134104887</v>
      </c>
      <c r="C171" s="23">
        <f>'[7]eng-daily-01012010-12312010'!M56</f>
        <v>727.0999999999998</v>
      </c>
      <c r="D171" s="23">
        <f>'[7]eng-daily-01012010-12312010'!$O$56</f>
        <v>0</v>
      </c>
      <c r="E171" s="10">
        <v>31</v>
      </c>
      <c r="F171" s="10">
        <v>0</v>
      </c>
      <c r="G171" s="16">
        <v>320</v>
      </c>
      <c r="H171" s="16">
        <v>646</v>
      </c>
      <c r="I171" s="16">
        <f>'CDM Activity'!F64</f>
        <v>1207627.1711869936</v>
      </c>
      <c r="J171" s="16">
        <v>57.703703703703695</v>
      </c>
      <c r="K171" s="162">
        <v>134.70069483711632</v>
      </c>
      <c r="L171" s="111">
        <f t="shared" ref="L171:L175" si="12">L170+($L$176-$L$164)/12</f>
        <v>49819</v>
      </c>
      <c r="M171" s="10">
        <v>135659</v>
      </c>
      <c r="N171" s="10">
        <f t="shared" ref="N171:N195" si="13">$U$18+$U$19*C171+$U$20*D171+$U$21*E171+$U$22*F171+$U$23*G171+$U$24*H171+$U$25*I171+$U$26*J171</f>
        <v>127253006.35078485</v>
      </c>
      <c r="O171" s="53">
        <f t="shared" si="8"/>
        <v>-6851880.6492151469</v>
      </c>
      <c r="P171" s="171">
        <f t="shared" si="9"/>
        <v>-5.1093444858688462E-2</v>
      </c>
      <c r="Q171" s="13">
        <f t="shared" si="10"/>
        <v>5.1093444858688462E-2</v>
      </c>
    </row>
    <row r="172" spans="1:17" x14ac:dyDescent="0.2">
      <c r="A172" s="54">
        <f t="shared" si="11"/>
        <v>40237</v>
      </c>
      <c r="B172" s="27">
        <v>119717521</v>
      </c>
      <c r="C172" s="23">
        <f>'[7]eng-daily-01012010-12312010'!$M$85</f>
        <v>644.6999999999997</v>
      </c>
      <c r="D172" s="23">
        <f>'[7]eng-daily-01012010-12312010'!$O$85</f>
        <v>0</v>
      </c>
      <c r="E172" s="10">
        <v>28</v>
      </c>
      <c r="F172" s="10">
        <v>0</v>
      </c>
      <c r="G172" s="16">
        <v>304</v>
      </c>
      <c r="H172" s="16">
        <v>642.29999999999995</v>
      </c>
      <c r="I172" s="16">
        <f>'CDM Activity'!F65</f>
        <v>1232450.9732721364</v>
      </c>
      <c r="J172" s="16">
        <v>57.373202614379011</v>
      </c>
      <c r="K172" s="162">
        <v>135.03290308910141</v>
      </c>
      <c r="L172" s="111">
        <f t="shared" si="12"/>
        <v>49907.5</v>
      </c>
      <c r="M172" s="10">
        <v>135742</v>
      </c>
      <c r="N172" s="10">
        <f t="shared" si="13"/>
        <v>118338058.61052923</v>
      </c>
      <c r="O172" s="53">
        <f t="shared" si="8"/>
        <v>-1379462.389470771</v>
      </c>
      <c r="P172" s="171">
        <f t="shared" si="9"/>
        <v>-1.1522644120494033E-2</v>
      </c>
      <c r="Q172" s="13">
        <f t="shared" si="10"/>
        <v>1.1522644120494033E-2</v>
      </c>
    </row>
    <row r="173" spans="1:17" x14ac:dyDescent="0.2">
      <c r="A173" s="54">
        <f t="shared" si="11"/>
        <v>40268</v>
      </c>
      <c r="B173" s="27">
        <v>125455107</v>
      </c>
      <c r="C173" s="23">
        <f>'[7]eng-daily-01012010-12312010'!$M$116</f>
        <v>470.90000000000003</v>
      </c>
      <c r="D173" s="23">
        <f>'[7]eng-daily-01012010-12312010'!$O$116</f>
        <v>0</v>
      </c>
      <c r="E173" s="10">
        <v>31</v>
      </c>
      <c r="F173" s="10">
        <v>1</v>
      </c>
      <c r="G173" s="16">
        <v>368</v>
      </c>
      <c r="H173" s="16">
        <v>639.5</v>
      </c>
      <c r="I173" s="16">
        <f>'CDM Activity'!F66</f>
        <v>1257274.7753572792</v>
      </c>
      <c r="J173" s="16">
        <v>57.123093681917226</v>
      </c>
      <c r="K173" s="162">
        <v>135.36593065625647</v>
      </c>
      <c r="L173" s="111">
        <f t="shared" si="12"/>
        <v>49996</v>
      </c>
      <c r="M173" s="10">
        <v>135825</v>
      </c>
      <c r="N173" s="10">
        <f t="shared" si="13"/>
        <v>123816423.99944039</v>
      </c>
      <c r="O173" s="53">
        <f t="shared" si="8"/>
        <v>-1638683.0005596131</v>
      </c>
      <c r="P173" s="171">
        <f t="shared" si="9"/>
        <v>-1.306190748025597E-2</v>
      </c>
      <c r="Q173" s="13">
        <f t="shared" si="10"/>
        <v>1.306190748025597E-2</v>
      </c>
    </row>
    <row r="174" spans="1:17" x14ac:dyDescent="0.2">
      <c r="A174" s="54">
        <f t="shared" si="11"/>
        <v>40298</v>
      </c>
      <c r="B174" s="27">
        <v>112822227</v>
      </c>
      <c r="C174" s="23">
        <f>'[7]eng-daily-01012010-12312010'!$M$146+'[8]eng-daily-01012010-12312010 par'!$M$146</f>
        <v>255.70000000000002</v>
      </c>
      <c r="D174" s="23">
        <f>'[7]eng-daily-01012010-12312010'!$O$146+'[8]eng-daily-01012010-12312010 par'!$O$146</f>
        <v>0</v>
      </c>
      <c r="E174" s="10">
        <v>30</v>
      </c>
      <c r="F174" s="10">
        <v>1</v>
      </c>
      <c r="G174" s="16">
        <v>320</v>
      </c>
      <c r="H174" s="16">
        <v>643.79999999999995</v>
      </c>
      <c r="I174" s="16">
        <f>'CDM Activity'!F67</f>
        <v>1282098.577442422</v>
      </c>
      <c r="J174" s="16">
        <v>57.507189542483616</v>
      </c>
      <c r="K174" s="162">
        <v>135.69977955923375</v>
      </c>
      <c r="L174" s="111">
        <f t="shared" si="12"/>
        <v>50084.5</v>
      </c>
      <c r="M174" s="10">
        <v>135908</v>
      </c>
      <c r="N174" s="10">
        <f t="shared" si="13"/>
        <v>113333619.51430276</v>
      </c>
      <c r="O174" s="53">
        <f t="shared" si="8"/>
        <v>511392.51430276036</v>
      </c>
      <c r="P174" s="171">
        <f t="shared" si="9"/>
        <v>4.5327284162079194E-3</v>
      </c>
      <c r="Q174" s="13">
        <f t="shared" si="10"/>
        <v>4.5327284162079194E-3</v>
      </c>
    </row>
    <row r="175" spans="1:17" x14ac:dyDescent="0.2">
      <c r="A175" s="54">
        <f t="shared" si="11"/>
        <v>40329</v>
      </c>
      <c r="B175" s="27">
        <v>122392253</v>
      </c>
      <c r="C175" s="23">
        <f>'[8]eng-daily-01012010-12312010 par'!$M$177</f>
        <v>144.69999999999999</v>
      </c>
      <c r="D175" s="23">
        <f>'[8]eng-daily-01012010-12312010 par'!$O$177</f>
        <v>21</v>
      </c>
      <c r="E175" s="10">
        <v>31</v>
      </c>
      <c r="F175" s="10">
        <v>1</v>
      </c>
      <c r="G175" s="16">
        <v>320</v>
      </c>
      <c r="H175" s="16">
        <v>653.4</v>
      </c>
      <c r="I175" s="16">
        <f>'CDM Activity'!F68</f>
        <v>1306922.3795275649</v>
      </c>
      <c r="J175" s="16">
        <v>58.364705882352951</v>
      </c>
      <c r="K175" s="162">
        <v>136.03445182366895</v>
      </c>
      <c r="L175" s="111">
        <f t="shared" si="12"/>
        <v>50173</v>
      </c>
      <c r="M175" s="10">
        <v>135991</v>
      </c>
      <c r="N175" s="10">
        <f t="shared" si="13"/>
        <v>118220532.90091264</v>
      </c>
      <c r="O175" s="53">
        <f t="shared" si="8"/>
        <v>-4171720.0990873575</v>
      </c>
      <c r="P175" s="171">
        <f t="shared" si="9"/>
        <v>-3.4084837862142774E-2</v>
      </c>
      <c r="Q175" s="13">
        <f t="shared" si="10"/>
        <v>3.4084837862142774E-2</v>
      </c>
    </row>
    <row r="176" spans="1:17" x14ac:dyDescent="0.2">
      <c r="A176" s="54">
        <f t="shared" si="11"/>
        <v>40359</v>
      </c>
      <c r="B176" s="27">
        <v>127582818</v>
      </c>
      <c r="C176" s="23">
        <f>'[8]eng-daily-01012010-12312010 par'!$M$207</f>
        <v>37.699999999999996</v>
      </c>
      <c r="D176" s="23">
        <f>'[8]eng-daily-01012010-12312010 par'!$O$207</f>
        <v>26.800000000000004</v>
      </c>
      <c r="E176" s="10">
        <v>30</v>
      </c>
      <c r="F176" s="10">
        <v>0</v>
      </c>
      <c r="G176" s="16">
        <v>352</v>
      </c>
      <c r="H176" s="16">
        <v>668.5</v>
      </c>
      <c r="I176" s="16">
        <f>'CDM Activity'!F69</f>
        <v>1331746.1816127077</v>
      </c>
      <c r="J176" s="16">
        <v>59.713507625272314</v>
      </c>
      <c r="K176" s="162">
        <v>136.36994948019355</v>
      </c>
      <c r="L176" s="111">
        <f>'Rate Class Customer Model'!N14</f>
        <v>50261.5</v>
      </c>
      <c r="M176" s="10">
        <v>136074</v>
      </c>
      <c r="N176" s="10">
        <f t="shared" si="13"/>
        <v>122828216.24737301</v>
      </c>
      <c r="O176" s="53">
        <f t="shared" si="8"/>
        <v>-4754601.7526269853</v>
      </c>
      <c r="P176" s="171">
        <f t="shared" si="9"/>
        <v>-3.7266787386895511E-2</v>
      </c>
      <c r="Q176" s="13">
        <f t="shared" si="10"/>
        <v>3.7266787386895511E-2</v>
      </c>
    </row>
    <row r="177" spans="1:17" x14ac:dyDescent="0.2">
      <c r="A177" s="54">
        <f t="shared" si="11"/>
        <v>40390</v>
      </c>
      <c r="B177" s="27">
        <v>140727870</v>
      </c>
      <c r="C177" s="23">
        <f>'[8]eng-daily-01012010-12312010 par'!$M$238</f>
        <v>6.7</v>
      </c>
      <c r="D177" s="23">
        <f>'[8]eng-daily-01012010-12312010 par'!$O$238</f>
        <v>100.59999999999998</v>
      </c>
      <c r="E177" s="10">
        <v>31</v>
      </c>
      <c r="F177" s="10">
        <v>0</v>
      </c>
      <c r="G177" s="16">
        <v>336</v>
      </c>
      <c r="H177" s="16">
        <v>680.1</v>
      </c>
      <c r="I177" s="16">
        <f>'CDM Activity'!F70</f>
        <v>1356569.9836978505</v>
      </c>
      <c r="J177" s="16">
        <v>60.749673202614304</v>
      </c>
      <c r="K177" s="162">
        <v>136.70627456444714</v>
      </c>
      <c r="L177" s="111">
        <f t="shared" ref="L177:L187" si="14">L176+($L$188-$L$176)/12</f>
        <v>50336.75</v>
      </c>
      <c r="M177" s="10">
        <v>136157</v>
      </c>
      <c r="N177" s="10">
        <f t="shared" si="13"/>
        <v>138424672.63887307</v>
      </c>
      <c r="O177" s="53">
        <f t="shared" si="8"/>
        <v>-2303197.3611269295</v>
      </c>
      <c r="P177" s="171">
        <f t="shared" si="9"/>
        <v>-1.6366320055344614E-2</v>
      </c>
      <c r="Q177" s="13">
        <f t="shared" si="10"/>
        <v>1.6366320055344614E-2</v>
      </c>
    </row>
    <row r="178" spans="1:17" x14ac:dyDescent="0.2">
      <c r="A178" s="54">
        <f t="shared" si="11"/>
        <v>40421</v>
      </c>
      <c r="B178" s="27">
        <v>139365541</v>
      </c>
      <c r="C178" s="23">
        <f>'[8]eng-daily-01012010-12312010 par'!$M$269</f>
        <v>9.6999999999999993</v>
      </c>
      <c r="D178" s="23">
        <f>'[8]eng-daily-01012010-12312010 par'!$O$269</f>
        <v>79.200000000000017</v>
      </c>
      <c r="E178" s="10">
        <v>31</v>
      </c>
      <c r="F178" s="10">
        <v>0</v>
      </c>
      <c r="G178" s="16">
        <v>336</v>
      </c>
      <c r="H178" s="16">
        <v>683.1</v>
      </c>
      <c r="I178" s="16">
        <f>'CDM Activity'!F71</f>
        <v>1381393.7857829933</v>
      </c>
      <c r="J178" s="16">
        <v>61.017647058823513</v>
      </c>
      <c r="K178" s="162">
        <v>137.04342911708969</v>
      </c>
      <c r="L178" s="111">
        <f t="shared" si="14"/>
        <v>50412</v>
      </c>
      <c r="M178" s="10">
        <v>136240</v>
      </c>
      <c r="N178" s="10">
        <f t="shared" si="13"/>
        <v>134765321.79407689</v>
      </c>
      <c r="O178" s="53">
        <f t="shared" si="8"/>
        <v>-4600219.2059231102</v>
      </c>
      <c r="P178" s="171">
        <f t="shared" si="9"/>
        <v>-3.3008297265700065E-2</v>
      </c>
      <c r="Q178" s="13">
        <f t="shared" si="10"/>
        <v>3.3008297265700065E-2</v>
      </c>
    </row>
    <row r="179" spans="1:17" x14ac:dyDescent="0.2">
      <c r="A179" s="54">
        <f t="shared" si="11"/>
        <v>40451</v>
      </c>
      <c r="B179" s="27">
        <v>119162847</v>
      </c>
      <c r="C179" s="23">
        <f>'[8]eng-daily-01012010-12312010 par'!$M$299</f>
        <v>122.70000000000002</v>
      </c>
      <c r="D179" s="23">
        <f>'[8]eng-daily-01012010-12312010 par'!$O$299</f>
        <v>16.7</v>
      </c>
      <c r="E179" s="10">
        <v>30</v>
      </c>
      <c r="F179" s="10">
        <v>1</v>
      </c>
      <c r="G179" s="16">
        <v>336</v>
      </c>
      <c r="H179" s="16">
        <v>677.1</v>
      </c>
      <c r="I179" s="16">
        <f>'CDM Activity'!F72</f>
        <v>1406217.5878681361</v>
      </c>
      <c r="J179" s="16">
        <v>60.481699346405208</v>
      </c>
      <c r="K179" s="162">
        <v>137.381415183814</v>
      </c>
      <c r="L179" s="111">
        <f t="shared" si="14"/>
        <v>50487.25</v>
      </c>
      <c r="M179" s="10">
        <v>136323</v>
      </c>
      <c r="N179" s="10">
        <f t="shared" si="13"/>
        <v>120847841.83675122</v>
      </c>
      <c r="O179" s="53">
        <f t="shared" si="8"/>
        <v>1684994.8367512226</v>
      </c>
      <c r="P179" s="171">
        <f t="shared" si="9"/>
        <v>1.4140270052050893E-2</v>
      </c>
      <c r="Q179" s="13">
        <f t="shared" si="10"/>
        <v>1.4140270052050893E-2</v>
      </c>
    </row>
    <row r="180" spans="1:17" x14ac:dyDescent="0.2">
      <c r="A180" s="54">
        <f t="shared" si="11"/>
        <v>40482</v>
      </c>
      <c r="B180" s="27">
        <v>117558713</v>
      </c>
      <c r="C180" s="23">
        <f>'[8]eng-daily-01012010-12312010 par'!$M$330</f>
        <v>279.59999999999997</v>
      </c>
      <c r="D180" s="23">
        <f>'[8]eng-daily-01012010-12312010 par'!$O$330</f>
        <v>0</v>
      </c>
      <c r="E180" s="10">
        <v>31</v>
      </c>
      <c r="F180" s="10">
        <v>1</v>
      </c>
      <c r="G180" s="16">
        <v>320</v>
      </c>
      <c r="H180" s="16">
        <v>670.2</v>
      </c>
      <c r="I180" s="16">
        <f>'CDM Activity'!F73</f>
        <v>1431041.3899532789</v>
      </c>
      <c r="J180" s="16">
        <v>59.865359477124116</v>
      </c>
      <c r="K180" s="162">
        <v>137.72023481535814</v>
      </c>
      <c r="L180" s="111">
        <f t="shared" si="14"/>
        <v>50562.5</v>
      </c>
      <c r="M180" s="10">
        <v>136406</v>
      </c>
      <c r="N180" s="10">
        <f t="shared" si="13"/>
        <v>119557802.71404749</v>
      </c>
      <c r="O180" s="53">
        <f t="shared" si="8"/>
        <v>1999089.7140474916</v>
      </c>
      <c r="P180" s="171">
        <f t="shared" si="9"/>
        <v>1.7005032319871445E-2</v>
      </c>
      <c r="Q180" s="13">
        <f t="shared" si="10"/>
        <v>1.7005032319871445E-2</v>
      </c>
    </row>
    <row r="181" spans="1:17" x14ac:dyDescent="0.2">
      <c r="A181" s="54">
        <f t="shared" si="11"/>
        <v>40512</v>
      </c>
      <c r="B181" s="27">
        <v>122844772</v>
      </c>
      <c r="C181" s="23">
        <f>'[8]eng-daily-01012010-12312010 par'!$M$360</f>
        <v>337.9</v>
      </c>
      <c r="D181" s="23">
        <f>'[8]eng-daily-01012010-12312010 par'!$O$360</f>
        <v>0</v>
      </c>
      <c r="E181" s="10">
        <v>30</v>
      </c>
      <c r="F181" s="10">
        <v>1</v>
      </c>
      <c r="G181" s="16">
        <v>336</v>
      </c>
      <c r="H181" s="16">
        <v>668.1</v>
      </c>
      <c r="I181" s="16">
        <f>'CDM Activity'!F74</f>
        <v>1455865.1920384218</v>
      </c>
      <c r="J181" s="16">
        <v>59.677777777777806</v>
      </c>
      <c r="K181" s="162">
        <v>138.05989006751781</v>
      </c>
      <c r="L181" s="111">
        <f t="shared" si="14"/>
        <v>50637.75</v>
      </c>
      <c r="M181" s="10">
        <v>136489</v>
      </c>
      <c r="N181" s="10">
        <f t="shared" si="13"/>
        <v>120403204.70609066</v>
      </c>
      <c r="O181" s="53">
        <f t="shared" si="8"/>
        <v>-2441567.2939093411</v>
      </c>
      <c r="P181" s="171">
        <f t="shared" si="9"/>
        <v>-1.9875223456064871E-2</v>
      </c>
      <c r="Q181" s="13">
        <f t="shared" si="10"/>
        <v>1.9875223456064871E-2</v>
      </c>
    </row>
    <row r="182" spans="1:17" x14ac:dyDescent="0.2">
      <c r="A182" s="54">
        <f t="shared" si="11"/>
        <v>40543</v>
      </c>
      <c r="B182" s="27">
        <v>131431074</v>
      </c>
      <c r="C182" s="23">
        <f>'[8]eng-daily-01012010-12312010 par'!$M$391</f>
        <v>719.39999999999986</v>
      </c>
      <c r="D182" s="23">
        <f>'[8]eng-daily-01012010-12312010 par'!$O$391</f>
        <v>0</v>
      </c>
      <c r="E182" s="10">
        <v>31</v>
      </c>
      <c r="F182" s="10">
        <v>0</v>
      </c>
      <c r="G182" s="16">
        <v>368</v>
      </c>
      <c r="H182" s="16">
        <v>666.9</v>
      </c>
      <c r="I182" s="16">
        <f>'CDM Activity'!F75</f>
        <v>1480688.9941235646</v>
      </c>
      <c r="J182" s="16">
        <v>59.570588235294053</v>
      </c>
      <c r="K182" s="162">
        <v>138.40038300115881</v>
      </c>
      <c r="L182" s="111">
        <f t="shared" si="14"/>
        <v>50713</v>
      </c>
      <c r="M182" s="10">
        <v>136572</v>
      </c>
      <c r="N182" s="10">
        <f t="shared" si="13"/>
        <v>134622638.67454782</v>
      </c>
      <c r="O182" s="53">
        <f t="shared" si="8"/>
        <v>3191564.6745478213</v>
      </c>
      <c r="P182" s="171">
        <f t="shared" si="9"/>
        <v>2.4283181879407159E-2</v>
      </c>
      <c r="Q182" s="13">
        <f t="shared" si="10"/>
        <v>2.4283181879407159E-2</v>
      </c>
    </row>
    <row r="183" spans="1:17" x14ac:dyDescent="0.2">
      <c r="A183" s="54">
        <f t="shared" si="11"/>
        <v>40574</v>
      </c>
      <c r="B183" s="27">
        <f>135907935+(2912181.71/12)</f>
        <v>136150616.80916667</v>
      </c>
      <c r="C183" s="23">
        <f>'[9]eng-daily-01012011-12312011'!$M$56</f>
        <v>770.00000000000011</v>
      </c>
      <c r="D183" s="23">
        <f>'[9]eng-daily-01012011-12312011'!$O$56</f>
        <v>0</v>
      </c>
      <c r="E183" s="10">
        <v>31</v>
      </c>
      <c r="F183" s="16">
        <v>0</v>
      </c>
      <c r="G183" s="16">
        <v>336</v>
      </c>
      <c r="H183" s="16">
        <v>663.9</v>
      </c>
      <c r="I183" s="16">
        <f>'CDM Activity'!F76</f>
        <v>1592898.8024259633</v>
      </c>
      <c r="J183" s="16">
        <v>51.509482758620607</v>
      </c>
      <c r="K183" s="162">
        <v>138.640283295465</v>
      </c>
      <c r="L183" s="111">
        <f t="shared" si="14"/>
        <v>50788.25</v>
      </c>
      <c r="M183" s="111">
        <f>M182+M182-M181</f>
        <v>136655</v>
      </c>
      <c r="N183" s="10">
        <f t="shared" si="13"/>
        <v>133937295.33128126</v>
      </c>
      <c r="O183" s="53">
        <f t="shared" si="8"/>
        <v>-2213321.4778854102</v>
      </c>
      <c r="P183" s="171">
        <f t="shared" si="9"/>
        <v>-1.6256419028844185E-2</v>
      </c>
      <c r="Q183" s="13">
        <f t="shared" si="10"/>
        <v>1.6256419028844185E-2</v>
      </c>
    </row>
    <row r="184" spans="1:17" x14ac:dyDescent="0.2">
      <c r="A184" s="54">
        <f t="shared" si="11"/>
        <v>40602</v>
      </c>
      <c r="B184" s="27">
        <f>122520649+(2912181.71/12)</f>
        <v>122763330.80916667</v>
      </c>
      <c r="C184" s="23">
        <f>'[9]eng-daily-01012011-12312011'!$M$85</f>
        <v>640.80000000000007</v>
      </c>
      <c r="D184" s="23">
        <f>'[9]eng-daily-01012011-12312011'!$O$85</f>
        <v>0</v>
      </c>
      <c r="E184" s="10">
        <v>28</v>
      </c>
      <c r="F184" s="16">
        <v>0</v>
      </c>
      <c r="G184" s="16">
        <v>304</v>
      </c>
      <c r="H184" s="16">
        <v>666.1</v>
      </c>
      <c r="I184" s="16">
        <f>'CDM Activity'!F77</f>
        <v>1705108.6107283621</v>
      </c>
      <c r="J184" s="16">
        <v>51.680172413793116</v>
      </c>
      <c r="K184" s="162">
        <v>138.88059942786325</v>
      </c>
      <c r="L184" s="111">
        <f t="shared" si="14"/>
        <v>50863.5</v>
      </c>
      <c r="M184" s="111">
        <f t="shared" ref="M184:M206" si="15">M183+M183-M182</f>
        <v>136738</v>
      </c>
      <c r="N184" s="10">
        <f t="shared" si="13"/>
        <v>123064248.7254484</v>
      </c>
      <c r="O184" s="53">
        <f t="shared" si="8"/>
        <v>300917.91628172994</v>
      </c>
      <c r="P184" s="171">
        <f t="shared" si="9"/>
        <v>2.4512035825217326E-3</v>
      </c>
      <c r="Q184" s="13">
        <f t="shared" si="10"/>
        <v>2.4512035825217326E-3</v>
      </c>
    </row>
    <row r="185" spans="1:17" x14ac:dyDescent="0.2">
      <c r="A185" s="54">
        <f t="shared" si="11"/>
        <v>40633</v>
      </c>
      <c r="B185" s="27">
        <f>131001103+(2912181.71/12)</f>
        <v>131243784.80916667</v>
      </c>
      <c r="C185" s="23">
        <f>'[9]eng-daily-01012011-12312011'!$M$116</f>
        <v>605.29999999999995</v>
      </c>
      <c r="D185" s="23">
        <f>'[9]eng-daily-01012011-12312011'!$O$116</f>
        <v>0</v>
      </c>
      <c r="E185" s="10">
        <v>31</v>
      </c>
      <c r="F185" s="16">
        <v>1</v>
      </c>
      <c r="G185" s="16">
        <v>368</v>
      </c>
      <c r="H185" s="16">
        <v>671.2</v>
      </c>
      <c r="I185" s="16">
        <f>'CDM Activity'!F78</f>
        <v>1817318.4190307609</v>
      </c>
      <c r="J185" s="16">
        <v>52.075862068965534</v>
      </c>
      <c r="K185" s="162">
        <v>139.12133211915852</v>
      </c>
      <c r="L185" s="111">
        <f t="shared" si="14"/>
        <v>50938.75</v>
      </c>
      <c r="M185" s="111">
        <f t="shared" si="15"/>
        <v>136821</v>
      </c>
      <c r="N185" s="10">
        <f t="shared" si="13"/>
        <v>132601678.37807158</v>
      </c>
      <c r="O185" s="53">
        <f t="shared" si="8"/>
        <v>1357893.5689049065</v>
      </c>
      <c r="P185" s="171">
        <f t="shared" si="9"/>
        <v>1.0346345702231417E-2</v>
      </c>
      <c r="Q185" s="13">
        <f t="shared" si="10"/>
        <v>1.0346345702231417E-2</v>
      </c>
    </row>
    <row r="186" spans="1:17" x14ac:dyDescent="0.2">
      <c r="A186" s="54">
        <f t="shared" si="11"/>
        <v>40663</v>
      </c>
      <c r="B186" s="27">
        <f>114525009+(2912181.71/12)</f>
        <v>114767690.80916667</v>
      </c>
      <c r="C186" s="23">
        <f>'[9]eng-daily-01012011-12312011'!$M$146</f>
        <v>298.69999999999993</v>
      </c>
      <c r="D186" s="23">
        <f>'[9]eng-daily-01012011-12312011'!$O$146</f>
        <v>0</v>
      </c>
      <c r="E186" s="10">
        <v>30</v>
      </c>
      <c r="F186" s="16">
        <v>1</v>
      </c>
      <c r="G186" s="16">
        <v>320</v>
      </c>
      <c r="H186" s="16">
        <v>679.9</v>
      </c>
      <c r="I186" s="16">
        <f>'CDM Activity'!F79</f>
        <v>1929528.2273331597</v>
      </c>
      <c r="J186" s="16">
        <v>52.750862068965489</v>
      </c>
      <c r="K186" s="162">
        <v>139.36248209140518</v>
      </c>
      <c r="L186" s="111">
        <f t="shared" si="14"/>
        <v>51014</v>
      </c>
      <c r="M186" s="111">
        <f t="shared" si="15"/>
        <v>136904</v>
      </c>
      <c r="N186" s="10">
        <f t="shared" si="13"/>
        <v>120595349.72514728</v>
      </c>
      <c r="O186" s="53">
        <f t="shared" si="8"/>
        <v>5827658.9159806073</v>
      </c>
      <c r="P186" s="171">
        <f t="shared" si="9"/>
        <v>5.0777870277713591E-2</v>
      </c>
      <c r="Q186" s="13">
        <f t="shared" si="10"/>
        <v>5.0777870277713591E-2</v>
      </c>
    </row>
    <row r="187" spans="1:17" x14ac:dyDescent="0.2">
      <c r="A187" s="54">
        <f t="shared" si="11"/>
        <v>40694</v>
      </c>
      <c r="B187" s="27">
        <f>114078847+(2912181.71/12)</f>
        <v>114321528.80916667</v>
      </c>
      <c r="C187" s="23">
        <f>'[9]eng-daily-01012011-12312011'!$M$177</f>
        <v>148.69999999999996</v>
      </c>
      <c r="D187" s="23">
        <f>'[9]eng-daily-01012011-12312011'!$O$177</f>
        <v>13.2</v>
      </c>
      <c r="E187" s="10">
        <v>31</v>
      </c>
      <c r="F187" s="16">
        <v>1</v>
      </c>
      <c r="G187" s="16">
        <v>336</v>
      </c>
      <c r="H187" s="16">
        <v>685.8</v>
      </c>
      <c r="I187" s="16">
        <f>'CDM Activity'!F80</f>
        <v>2041738.0356355584</v>
      </c>
      <c r="J187" s="16">
        <v>53.208620689655163</v>
      </c>
      <c r="K187" s="162">
        <v>139.60405006790918</v>
      </c>
      <c r="L187" s="111">
        <f t="shared" si="14"/>
        <v>51089.25</v>
      </c>
      <c r="M187" s="111">
        <f t="shared" si="15"/>
        <v>136987</v>
      </c>
      <c r="N187" s="10">
        <f t="shared" si="13"/>
        <v>123740602.2870013</v>
      </c>
      <c r="O187" s="53">
        <f t="shared" si="8"/>
        <v>9419073.477834627</v>
      </c>
      <c r="P187" s="171">
        <f t="shared" si="9"/>
        <v>8.2391073457017794E-2</v>
      </c>
      <c r="Q187" s="13">
        <f t="shared" si="10"/>
        <v>8.2391073457017794E-2</v>
      </c>
    </row>
    <row r="188" spans="1:17" x14ac:dyDescent="0.2">
      <c r="A188" s="54">
        <f t="shared" si="11"/>
        <v>40724</v>
      </c>
      <c r="B188" s="27">
        <f>124489030+(2912181.71/12)</f>
        <v>124731711.80916667</v>
      </c>
      <c r="C188" s="23">
        <f>'[9]eng-daily-01012011-12312011'!$M$207</f>
        <v>48.500000000000007</v>
      </c>
      <c r="D188" s="23">
        <f>'[9]eng-daily-01012011-12312011'!$O$207</f>
        <v>21.599999999999998</v>
      </c>
      <c r="E188" s="10">
        <v>30</v>
      </c>
      <c r="F188" s="16">
        <v>0</v>
      </c>
      <c r="G188" s="16">
        <v>352</v>
      </c>
      <c r="H188" s="16">
        <v>697.1</v>
      </c>
      <c r="I188" s="16">
        <f>'CDM Activity'!F81</f>
        <v>2153947.8439379572</v>
      </c>
      <c r="J188" s="16">
        <v>54.085344827586141</v>
      </c>
      <c r="K188" s="162">
        <v>139.84603677323028</v>
      </c>
      <c r="L188" s="111">
        <f>'Rate Class Customer Model'!N15</f>
        <v>51164.5</v>
      </c>
      <c r="M188" s="111">
        <f t="shared" si="15"/>
        <v>137070</v>
      </c>
      <c r="N188" s="10">
        <f t="shared" si="13"/>
        <v>126330230.36333689</v>
      </c>
      <c r="O188" s="53">
        <f t="shared" si="8"/>
        <v>1598518.5541702211</v>
      </c>
      <c r="P188" s="171">
        <f t="shared" si="9"/>
        <v>1.2815654743966596E-2</v>
      </c>
      <c r="Q188" s="13">
        <f t="shared" si="10"/>
        <v>1.2815654743966596E-2</v>
      </c>
    </row>
    <row r="189" spans="1:17" x14ac:dyDescent="0.2">
      <c r="A189" s="54">
        <f t="shared" si="11"/>
        <v>40755</v>
      </c>
      <c r="B189" s="27">
        <f>144144406+(2912181.71/12)</f>
        <v>144387087.80916667</v>
      </c>
      <c r="C189" s="23">
        <f>'[9]eng-daily-01012011-12312011'!$M$238</f>
        <v>0.8</v>
      </c>
      <c r="D189" s="23">
        <f>'[9]eng-daily-01012011-12312011'!$O$238</f>
        <v>128.19999999999999</v>
      </c>
      <c r="E189" s="10">
        <v>31</v>
      </c>
      <c r="F189" s="16">
        <v>0</v>
      </c>
      <c r="G189" s="16">
        <v>320</v>
      </c>
      <c r="H189" s="16">
        <v>707.5</v>
      </c>
      <c r="I189" s="16">
        <f>'CDM Activity'!F82</f>
        <v>2266157.652240356</v>
      </c>
      <c r="J189" s="16">
        <v>54.892241379310349</v>
      </c>
      <c r="K189" s="162">
        <v>140.08844293318413</v>
      </c>
      <c r="L189" s="111">
        <f t="shared" ref="L189:L199" si="16">L188+($L$200-$L$188)/12</f>
        <v>51210.041666666664</v>
      </c>
      <c r="M189" s="111">
        <f t="shared" si="15"/>
        <v>137153</v>
      </c>
      <c r="N189" s="10">
        <f t="shared" si="13"/>
        <v>145739406.87609884</v>
      </c>
      <c r="O189" s="53">
        <f t="shared" si="8"/>
        <v>1352319.0669321716</v>
      </c>
      <c r="P189" s="171">
        <f t="shared" si="9"/>
        <v>9.3659279887928961E-3</v>
      </c>
      <c r="Q189" s="13">
        <f t="shared" si="10"/>
        <v>9.3659279887928961E-3</v>
      </c>
    </row>
    <row r="190" spans="1:17" x14ac:dyDescent="0.2">
      <c r="A190" s="54">
        <f t="shared" si="11"/>
        <v>40786</v>
      </c>
      <c r="B190" s="27">
        <f>137697927+(2912181.71/12)</f>
        <v>137940608.80916667</v>
      </c>
      <c r="C190" s="23">
        <f>'[9]eng-daily-01012011-12312011'!$M$269</f>
        <v>6.8999999999999995</v>
      </c>
      <c r="D190" s="23">
        <f>'[9]eng-daily-01012011-12312011'!$O$269</f>
        <v>54.3</v>
      </c>
      <c r="E190" s="10">
        <v>31</v>
      </c>
      <c r="F190" s="16">
        <v>0</v>
      </c>
      <c r="G190" s="16">
        <v>352</v>
      </c>
      <c r="H190" s="16">
        <v>708.3</v>
      </c>
      <c r="I190" s="16">
        <f>'CDM Activity'!F83</f>
        <v>2378367.4605427547</v>
      </c>
      <c r="J190" s="16">
        <v>54.954310344827491</v>
      </c>
      <c r="K190" s="162">
        <v>140.33126927484452</v>
      </c>
      <c r="L190" s="111">
        <f t="shared" si="16"/>
        <v>51255.583333333328</v>
      </c>
      <c r="M190" s="111">
        <f t="shared" si="15"/>
        <v>137236</v>
      </c>
      <c r="N190" s="10">
        <f t="shared" si="13"/>
        <v>134455877.48007083</v>
      </c>
      <c r="O190" s="53">
        <f t="shared" si="8"/>
        <v>-3484731.3290958405</v>
      </c>
      <c r="P190" s="171">
        <f t="shared" si="9"/>
        <v>-2.526254856477237E-2</v>
      </c>
      <c r="Q190" s="13">
        <f t="shared" si="10"/>
        <v>2.526254856477237E-2</v>
      </c>
    </row>
    <row r="191" spans="1:17" x14ac:dyDescent="0.2">
      <c r="A191" s="54">
        <f t="shared" si="11"/>
        <v>40816</v>
      </c>
      <c r="B191" s="27">
        <f>121686966+(2912181.71/12)</f>
        <v>121929647.80916667</v>
      </c>
      <c r="C191" s="23">
        <f>'[9]eng-daily-01012011-12312011'!$M$299</f>
        <v>88.9</v>
      </c>
      <c r="D191" s="23">
        <f>'[9]eng-daily-01012011-12312011'!$O$299</f>
        <v>17.2</v>
      </c>
      <c r="E191" s="10">
        <v>30</v>
      </c>
      <c r="F191" s="16">
        <v>1</v>
      </c>
      <c r="G191" s="16">
        <v>336</v>
      </c>
      <c r="H191" s="16">
        <v>700.8</v>
      </c>
      <c r="I191" s="16">
        <f>'CDM Activity'!F84</f>
        <v>2490577.2688451535</v>
      </c>
      <c r="J191" s="16">
        <v>54.372413793103419</v>
      </c>
      <c r="K191" s="162">
        <v>140.57451652654552</v>
      </c>
      <c r="L191" s="111">
        <f t="shared" si="16"/>
        <v>51301.124999999993</v>
      </c>
      <c r="M191" s="111">
        <f t="shared" si="15"/>
        <v>137319</v>
      </c>
      <c r="N191" s="10">
        <f t="shared" si="13"/>
        <v>122480765.87120661</v>
      </c>
      <c r="O191" s="53">
        <f t="shared" si="8"/>
        <v>551118.06203994155</v>
      </c>
      <c r="P191" s="171">
        <f t="shared" si="9"/>
        <v>4.5199676366038718E-3</v>
      </c>
      <c r="Q191" s="13">
        <f t="shared" si="10"/>
        <v>4.5199676366038718E-3</v>
      </c>
    </row>
    <row r="192" spans="1:17" x14ac:dyDescent="0.2">
      <c r="A192" s="54">
        <f t="shared" si="11"/>
        <v>40847</v>
      </c>
      <c r="B192" s="27">
        <f>119815218+(2912181.71/12)</f>
        <v>120057899.80916667</v>
      </c>
      <c r="C192" s="23">
        <f>'[9]eng-daily-01012011-12312011'!$M$330</f>
        <v>279.89999999999998</v>
      </c>
      <c r="D192" s="23">
        <f>'[9]eng-daily-01012011-12312011'!$O$330</f>
        <v>0</v>
      </c>
      <c r="E192" s="10">
        <v>31</v>
      </c>
      <c r="F192" s="16">
        <v>1</v>
      </c>
      <c r="G192" s="16">
        <v>320</v>
      </c>
      <c r="H192" s="16">
        <v>693.6</v>
      </c>
      <c r="I192" s="16">
        <f>'CDM Activity'!F85</f>
        <v>2602787.0771475523</v>
      </c>
      <c r="J192" s="16">
        <v>53.813793103448234</v>
      </c>
      <c r="K192" s="162">
        <v>140.81818541788368</v>
      </c>
      <c r="L192" s="111">
        <f t="shared" si="16"/>
        <v>51346.666666666657</v>
      </c>
      <c r="M192" s="111">
        <f t="shared" si="15"/>
        <v>137402</v>
      </c>
      <c r="N192" s="10">
        <f t="shared" si="13"/>
        <v>121368300.3896172</v>
      </c>
      <c r="O192" s="53">
        <f t="shared" si="8"/>
        <v>1310400.5804505348</v>
      </c>
      <c r="P192" s="171">
        <f t="shared" si="9"/>
        <v>1.0914738493122324E-2</v>
      </c>
      <c r="Q192" s="13">
        <f t="shared" si="10"/>
        <v>1.0914738493122324E-2</v>
      </c>
    </row>
    <row r="193" spans="1:18" x14ac:dyDescent="0.2">
      <c r="A193" s="54">
        <f t="shared" ref="A193:A222" si="17">EOMONTH(A192,1)</f>
        <v>40877</v>
      </c>
      <c r="B193" s="27">
        <f>123068812+(2912181.71/12)</f>
        <v>123311493.80916667</v>
      </c>
      <c r="C193" s="23">
        <f>'[9]eng-daily-01012011-12312011'!$M$360</f>
        <v>382.4</v>
      </c>
      <c r="D193" s="23">
        <f>'[9]eng-daily-01012011-12312011'!$O$360</f>
        <v>0</v>
      </c>
      <c r="E193" s="10">
        <v>30</v>
      </c>
      <c r="F193" s="16">
        <v>1</v>
      </c>
      <c r="G193" s="16">
        <v>352</v>
      </c>
      <c r="H193" s="16">
        <v>690.2</v>
      </c>
      <c r="I193" s="16">
        <f>'CDM Activity'!F86</f>
        <v>2714996.885449951</v>
      </c>
      <c r="J193" s="16">
        <v>53.549999999999955</v>
      </c>
      <c r="K193" s="162">
        <v>141.06227667972024</v>
      </c>
      <c r="L193" s="111">
        <f t="shared" si="16"/>
        <v>51392.208333333321</v>
      </c>
      <c r="M193" s="111">
        <f t="shared" si="15"/>
        <v>137485</v>
      </c>
      <c r="N193" s="10">
        <f t="shared" si="13"/>
        <v>124184964.57987577</v>
      </c>
      <c r="O193" s="53">
        <f t="shared" si="8"/>
        <v>873470.77070909739</v>
      </c>
      <c r="P193" s="171">
        <f t="shared" si="9"/>
        <v>7.0834497557936953E-3</v>
      </c>
      <c r="Q193" s="13">
        <f t="shared" si="10"/>
        <v>7.0834497557936953E-3</v>
      </c>
    </row>
    <row r="194" spans="1:18" x14ac:dyDescent="0.2">
      <c r="A194" s="54">
        <f t="shared" si="17"/>
        <v>40908</v>
      </c>
      <c r="B194" s="27">
        <f>127591184+(2912181.71/12)</f>
        <v>127833865.80916667</v>
      </c>
      <c r="C194" s="23">
        <f>'[9]eng-daily-01012011-12312011'!$M$391</f>
        <v>574.79999999999995</v>
      </c>
      <c r="D194" s="23">
        <f>'[9]eng-daily-01012011-12312011'!$O$391</f>
        <v>0</v>
      </c>
      <c r="E194" s="10">
        <v>31</v>
      </c>
      <c r="F194" s="16">
        <v>0</v>
      </c>
      <c r="G194" s="16">
        <v>336</v>
      </c>
      <c r="H194" s="16">
        <v>690.4</v>
      </c>
      <c r="I194" s="16">
        <f>'CDM Activity'!F87</f>
        <v>2827206.6937523498</v>
      </c>
      <c r="J194" s="16">
        <v>53.565517241379325</v>
      </c>
      <c r="K194" s="162">
        <v>141.30679104418314</v>
      </c>
      <c r="L194" s="111">
        <f t="shared" si="16"/>
        <v>51437.749999999985</v>
      </c>
      <c r="M194" s="111">
        <f t="shared" si="15"/>
        <v>137568</v>
      </c>
      <c r="N194" s="10">
        <f t="shared" si="13"/>
        <v>129259031.86752725</v>
      </c>
      <c r="O194" s="53">
        <f t="shared" si="8"/>
        <v>1425166.0583605766</v>
      </c>
      <c r="P194" s="171">
        <f t="shared" si="9"/>
        <v>1.1148579833203959E-2</v>
      </c>
      <c r="Q194" s="13">
        <f t="shared" si="10"/>
        <v>1.1148579833203959E-2</v>
      </c>
    </row>
    <row r="195" spans="1:18" x14ac:dyDescent="0.2">
      <c r="A195" s="54">
        <f t="shared" si="17"/>
        <v>40939</v>
      </c>
      <c r="B195" s="27">
        <f>134139861.54+(5510021/12)</f>
        <v>134599029.95666668</v>
      </c>
      <c r="C195" s="23">
        <f>'[10]eng-daily-01012012-12312012'!$M$56</f>
        <v>657.30000000000007</v>
      </c>
      <c r="D195" s="23">
        <f>'[10]eng-daily-01012012-12312012'!$O$56</f>
        <v>0</v>
      </c>
      <c r="E195" s="10">
        <v>31</v>
      </c>
      <c r="F195" s="16">
        <v>0</v>
      </c>
      <c r="G195" s="16">
        <v>336</v>
      </c>
      <c r="H195" s="16">
        <v>684.2</v>
      </c>
      <c r="I195" s="16">
        <f>'CDM Activity'!F88</f>
        <v>2858409.1551103732</v>
      </c>
      <c r="J195" s="16">
        <v>48.348179871520415</v>
      </c>
      <c r="K195" s="162">
        <v>141.54017069810607</v>
      </c>
      <c r="L195" s="111">
        <f t="shared" si="16"/>
        <v>51483.29166666665</v>
      </c>
      <c r="M195" s="111">
        <f t="shared" si="15"/>
        <v>137651</v>
      </c>
      <c r="N195" s="10">
        <f t="shared" si="13"/>
        <v>131303686.29481696</v>
      </c>
      <c r="O195" s="53">
        <f t="shared" ref="O195:O206" si="18">N195-B195</f>
        <v>-3295343.6618497223</v>
      </c>
      <c r="P195" s="171">
        <f t="shared" ref="P195:P206" si="19">O195/B195</f>
        <v>-2.448267021620169E-2</v>
      </c>
      <c r="Q195" s="13">
        <f t="shared" si="10"/>
        <v>2.448267021620169E-2</v>
      </c>
    </row>
    <row r="196" spans="1:18" x14ac:dyDescent="0.2">
      <c r="A196" s="54">
        <f t="shared" si="17"/>
        <v>40968</v>
      </c>
      <c r="B196" s="27">
        <f>124214753.85+(5510021/12)</f>
        <v>124673922.26666667</v>
      </c>
      <c r="C196" s="23">
        <f>'[10]eng-daily-01012012-12312012'!$M$85</f>
        <v>573</v>
      </c>
      <c r="D196" s="23">
        <f>'[10]eng-daily-01012012-12312012'!$O$85</f>
        <v>0</v>
      </c>
      <c r="E196" s="10">
        <v>29</v>
      </c>
      <c r="F196" s="16">
        <v>0</v>
      </c>
      <c r="G196" s="16">
        <v>320</v>
      </c>
      <c r="H196" s="16">
        <v>682.8</v>
      </c>
      <c r="I196" s="16">
        <f>'CDM Activity'!F89</f>
        <v>2889611.6164683965</v>
      </c>
      <c r="J196" s="16">
        <v>48.249250535331953</v>
      </c>
      <c r="K196" s="162">
        <v>141.77393579750165</v>
      </c>
      <c r="L196" s="111">
        <f t="shared" si="16"/>
        <v>51528.833333333314</v>
      </c>
      <c r="M196" s="111">
        <f t="shared" si="15"/>
        <v>137734</v>
      </c>
      <c r="N196" s="10">
        <f t="shared" ref="N196:N230" si="20">$U$18+$U$19*C196+$U$20*D196+$U$21*E196+$U$22*F196+$U$23*G196+$U$24*H196+$U$25*I196+$U$26*J196</f>
        <v>124298772.14367996</v>
      </c>
      <c r="O196" s="53">
        <f t="shared" si="18"/>
        <v>-375150.12298670411</v>
      </c>
      <c r="P196" s="171">
        <f t="shared" si="19"/>
        <v>-3.0090504587181486E-3</v>
      </c>
      <c r="Q196" s="13">
        <f t="shared" ref="Q196:Q206" si="21">ABS(P196)</f>
        <v>3.0090504587181486E-3</v>
      </c>
    </row>
    <row r="197" spans="1:18" x14ac:dyDescent="0.2">
      <c r="A197" s="54">
        <f t="shared" si="17"/>
        <v>40999</v>
      </c>
      <c r="B197" s="27">
        <f>124384646.15+(5510021/12)</f>
        <v>124843814.56666668</v>
      </c>
      <c r="C197" s="23">
        <f>'[10]eng-daily-01012012-12312012'!$M$116</f>
        <v>370.1</v>
      </c>
      <c r="D197" s="23">
        <f>'[10]eng-daily-01012012-12312012'!$O$116</f>
        <v>0</v>
      </c>
      <c r="E197" s="10">
        <v>31</v>
      </c>
      <c r="F197" s="16">
        <v>1</v>
      </c>
      <c r="G197" s="16">
        <v>352</v>
      </c>
      <c r="H197" s="16">
        <v>680.8</v>
      </c>
      <c r="I197" s="16">
        <f>'CDM Activity'!F90</f>
        <v>2920814.0778264198</v>
      </c>
      <c r="J197" s="16">
        <v>48.107922912205595</v>
      </c>
      <c r="K197" s="162">
        <v>142.00808697896443</v>
      </c>
      <c r="L197" s="111">
        <f t="shared" si="16"/>
        <v>51574.374999999978</v>
      </c>
      <c r="M197" s="111">
        <f t="shared" si="15"/>
        <v>137817</v>
      </c>
      <c r="N197" s="10">
        <f t="shared" si="20"/>
        <v>124393134.50082317</v>
      </c>
      <c r="O197" s="53">
        <f t="shared" si="18"/>
        <v>-450680.06584350765</v>
      </c>
      <c r="P197" s="171">
        <f t="shared" si="19"/>
        <v>-3.6099511009641907E-3</v>
      </c>
      <c r="Q197" s="13">
        <f t="shared" si="21"/>
        <v>3.6099511009641907E-3</v>
      </c>
    </row>
    <row r="198" spans="1:18" x14ac:dyDescent="0.2">
      <c r="A198" s="54">
        <f t="shared" si="17"/>
        <v>41029</v>
      </c>
      <c r="B198" s="27">
        <f>114550515.38+(27225356.55/9)+(5510021/12)</f>
        <v>118034723.41333333</v>
      </c>
      <c r="C198" s="23">
        <f>'[10]eng-daily-01012012-12312012'!$M$146</f>
        <v>365.3</v>
      </c>
      <c r="D198" s="23">
        <f>'[10]eng-daily-01012012-12312012'!$O$146</f>
        <v>0</v>
      </c>
      <c r="E198" s="10">
        <v>30</v>
      </c>
      <c r="F198" s="16">
        <v>1</v>
      </c>
      <c r="G198" s="16">
        <v>320</v>
      </c>
      <c r="H198" s="16">
        <v>682.9</v>
      </c>
      <c r="I198" s="16">
        <f>'CDM Activity'!F91</f>
        <v>2952016.5391844432</v>
      </c>
      <c r="J198" s="16">
        <v>48.256316916488231</v>
      </c>
      <c r="K198" s="162">
        <v>142.24262488014034</v>
      </c>
      <c r="L198" s="111">
        <f t="shared" si="16"/>
        <v>51619.916666666642</v>
      </c>
      <c r="M198" s="111">
        <f t="shared" si="15"/>
        <v>137900</v>
      </c>
      <c r="N198" s="10">
        <f t="shared" si="20"/>
        <v>119686732.88472262</v>
      </c>
      <c r="O198" s="53">
        <f t="shared" si="18"/>
        <v>1652009.4713892937</v>
      </c>
      <c r="P198" s="171">
        <f t="shared" si="19"/>
        <v>1.3995961727332525E-2</v>
      </c>
      <c r="Q198" s="13">
        <f t="shared" si="21"/>
        <v>1.3995961727332525E-2</v>
      </c>
    </row>
    <row r="199" spans="1:18" x14ac:dyDescent="0.2">
      <c r="A199" s="54">
        <f t="shared" si="17"/>
        <v>41060</v>
      </c>
      <c r="B199" s="27">
        <f>120400400+(27225356.55/9)+(5510021/12)</f>
        <v>123884608.03333333</v>
      </c>
      <c r="C199" s="23">
        <f>'[10]eng-daily-01012012-12312012'!$M$177</f>
        <v>103.8</v>
      </c>
      <c r="D199" s="23">
        <f>'[10]eng-daily-01012012-12312012'!$O$177</f>
        <v>18.2</v>
      </c>
      <c r="E199" s="10">
        <v>31</v>
      </c>
      <c r="F199" s="16">
        <v>1</v>
      </c>
      <c r="G199" s="16">
        <v>352</v>
      </c>
      <c r="H199" s="16">
        <v>686.7</v>
      </c>
      <c r="I199" s="16">
        <f>'CDM Activity'!F92</f>
        <v>2983219.0005424665</v>
      </c>
      <c r="J199" s="16">
        <v>48.524839400428277</v>
      </c>
      <c r="K199" s="162">
        <v>142.47755013972844</v>
      </c>
      <c r="L199" s="111">
        <f t="shared" si="16"/>
        <v>51665.458333333307</v>
      </c>
      <c r="M199" s="111">
        <f t="shared" si="15"/>
        <v>137983</v>
      </c>
      <c r="N199" s="10">
        <f t="shared" si="20"/>
        <v>123012404.49589892</v>
      </c>
      <c r="O199" s="53">
        <f t="shared" si="18"/>
        <v>-872203.53743441403</v>
      </c>
      <c r="P199" s="171">
        <f t="shared" si="19"/>
        <v>-7.040451201167237E-3</v>
      </c>
      <c r="Q199" s="13">
        <f t="shared" si="21"/>
        <v>7.040451201167237E-3</v>
      </c>
    </row>
    <row r="200" spans="1:18" x14ac:dyDescent="0.2">
      <c r="A200" s="54">
        <f t="shared" si="17"/>
        <v>41090</v>
      </c>
      <c r="B200" s="27">
        <f>127372618.18+(27225356.55/9)+(5510021/12)</f>
        <v>130856826.21333334</v>
      </c>
      <c r="C200" s="23">
        <f>'[10]eng-daily-01012012-12312012'!$M$207</f>
        <v>42.100000000000009</v>
      </c>
      <c r="D200" s="23">
        <f>'[10]eng-daily-01012012-12312012'!$O$207</f>
        <v>61.199999999999996</v>
      </c>
      <c r="E200" s="10">
        <v>30</v>
      </c>
      <c r="F200" s="16">
        <v>0</v>
      </c>
      <c r="G200" s="16">
        <v>336</v>
      </c>
      <c r="H200" s="16">
        <v>691.5</v>
      </c>
      <c r="I200" s="16">
        <f>'CDM Activity'!F93</f>
        <v>3014421.4619004899</v>
      </c>
      <c r="J200" s="16">
        <v>48.864025695931559</v>
      </c>
      <c r="K200" s="162">
        <v>142.71286339748261</v>
      </c>
      <c r="L200" s="111">
        <f>'Rate Class Customer Model'!N16</f>
        <v>51711</v>
      </c>
      <c r="M200" s="111">
        <f t="shared" si="15"/>
        <v>138066</v>
      </c>
      <c r="N200" s="10">
        <f t="shared" si="20"/>
        <v>129029667.27223361</v>
      </c>
      <c r="O200" s="53">
        <f t="shared" si="18"/>
        <v>-1827158.9410997331</v>
      </c>
      <c r="P200" s="171">
        <f t="shared" si="19"/>
        <v>-1.3963038795706014E-2</v>
      </c>
      <c r="Q200" s="13">
        <f t="shared" si="21"/>
        <v>1.3963038795706014E-2</v>
      </c>
    </row>
    <row r="201" spans="1:18" x14ac:dyDescent="0.2">
      <c r="A201" s="54">
        <f t="shared" si="17"/>
        <v>41121</v>
      </c>
      <c r="B201" s="27">
        <f>141753854.55+(27225356.55/9)+(5510021/12)</f>
        <v>145238062.58333334</v>
      </c>
      <c r="C201" s="23">
        <f>'[10]eng-daily-01012012-12312012'!$M$238</f>
        <v>0</v>
      </c>
      <c r="D201" s="23">
        <f>'[10]eng-daily-01012012-12312012'!$O$238</f>
        <v>116.40000000000002</v>
      </c>
      <c r="E201" s="10">
        <v>31</v>
      </c>
      <c r="F201" s="16">
        <v>0</v>
      </c>
      <c r="G201" s="16">
        <v>336</v>
      </c>
      <c r="H201" s="16">
        <v>694.4</v>
      </c>
      <c r="I201" s="16">
        <f>'CDM Activity'!F94</f>
        <v>3045623.9232585132</v>
      </c>
      <c r="J201" s="16">
        <v>49.068950749464761</v>
      </c>
      <c r="K201" s="162">
        <v>142.94856529421338</v>
      </c>
      <c r="L201" s="111">
        <f t="shared" ref="L201:L206" si="22">L200+($L$200-$L$188)/12</f>
        <v>51756.541666666664</v>
      </c>
      <c r="M201" s="111">
        <f t="shared" si="15"/>
        <v>138149</v>
      </c>
      <c r="N201" s="10">
        <f t="shared" si="20"/>
        <v>140828727.67246106</v>
      </c>
      <c r="O201" s="53">
        <f t="shared" si="18"/>
        <v>-4409334.9108722806</v>
      </c>
      <c r="P201" s="171">
        <f t="shared" si="19"/>
        <v>-3.0359361949918146E-2</v>
      </c>
      <c r="Q201" s="13">
        <f t="shared" si="21"/>
        <v>3.0359361949918146E-2</v>
      </c>
    </row>
    <row r="202" spans="1:18" x14ac:dyDescent="0.2">
      <c r="A202" s="54">
        <f t="shared" si="17"/>
        <v>41152</v>
      </c>
      <c r="B202" s="27">
        <f>132844609.09+(27225356.55/9)+(5510021/12)</f>
        <v>136328817.12333333</v>
      </c>
      <c r="C202" s="23">
        <f>'[10]eng-daily-01012012-12312012'!$M$269</f>
        <v>19.400000000000002</v>
      </c>
      <c r="D202" s="23">
        <f>'[10]eng-daily-01012012-12312012'!$O$269</f>
        <v>58.100000000000009</v>
      </c>
      <c r="E202" s="10">
        <v>31</v>
      </c>
      <c r="F202" s="16">
        <v>0</v>
      </c>
      <c r="G202" s="16">
        <v>352</v>
      </c>
      <c r="H202" s="16">
        <v>689.7</v>
      </c>
      <c r="I202" s="16">
        <f>'CDM Activity'!F95</f>
        <v>3076826.3846165366</v>
      </c>
      <c r="J202" s="16">
        <v>48.736830835117871</v>
      </c>
      <c r="K202" s="162">
        <v>143.18465647178962</v>
      </c>
      <c r="L202" s="111">
        <f t="shared" si="22"/>
        <v>51802.083333333328</v>
      </c>
      <c r="M202" s="111">
        <f t="shared" si="15"/>
        <v>138232</v>
      </c>
      <c r="N202" s="10">
        <f t="shared" si="20"/>
        <v>130543639.16240814</v>
      </c>
      <c r="O202" s="53">
        <f t="shared" si="18"/>
        <v>-5785177.9609251916</v>
      </c>
      <c r="P202" s="171">
        <f t="shared" si="19"/>
        <v>-4.2435473900514248E-2</v>
      </c>
      <c r="Q202" s="13">
        <f t="shared" si="21"/>
        <v>4.2435473900514248E-2</v>
      </c>
    </row>
    <row r="203" spans="1:18" x14ac:dyDescent="0.2">
      <c r="A203" s="54">
        <f t="shared" si="17"/>
        <v>41182</v>
      </c>
      <c r="B203" s="27">
        <f>115005427.27+(27225356.55/9)+(5510021/12)</f>
        <v>118489635.30333333</v>
      </c>
      <c r="C203" s="23">
        <f>'[10]eng-daily-01012012-12312012'!$M$299</f>
        <v>125.40000000000002</v>
      </c>
      <c r="D203" s="23">
        <f>'[10]eng-daily-01012012-12312012'!$O$299</f>
        <v>16.399999999999999</v>
      </c>
      <c r="E203" s="10">
        <v>30</v>
      </c>
      <c r="F203" s="16">
        <v>1</v>
      </c>
      <c r="G203" s="16">
        <v>304</v>
      </c>
      <c r="H203" s="16">
        <v>681.9</v>
      </c>
      <c r="I203" s="16">
        <f>'CDM Activity'!F96</f>
        <v>3108028.8459745599</v>
      </c>
      <c r="J203" s="16">
        <v>48.185653104925109</v>
      </c>
      <c r="K203" s="162">
        <v>143.4211375731403</v>
      </c>
      <c r="L203" s="111">
        <f t="shared" si="22"/>
        <v>51847.624999999993</v>
      </c>
      <c r="M203" s="111">
        <f t="shared" si="15"/>
        <v>138315</v>
      </c>
      <c r="N203" s="10">
        <f t="shared" si="20"/>
        <v>115181804.33833902</v>
      </c>
      <c r="O203" s="53">
        <f t="shared" si="18"/>
        <v>-3307830.9649943113</v>
      </c>
      <c r="P203" s="171">
        <f t="shared" si="19"/>
        <v>-2.7916627108575936E-2</v>
      </c>
      <c r="Q203" s="13">
        <f t="shared" si="21"/>
        <v>2.7916627108575936E-2</v>
      </c>
    </row>
    <row r="204" spans="1:18" x14ac:dyDescent="0.2">
      <c r="A204" s="54">
        <f t="shared" si="17"/>
        <v>41213</v>
      </c>
      <c r="B204" s="27">
        <f>116946700+(27225356.55/9)+(5510021/12)</f>
        <v>120430908.03333333</v>
      </c>
      <c r="C204" s="23">
        <f>'[10]eng-daily-01012012-12312012'!$M$330</f>
        <v>279.2</v>
      </c>
      <c r="D204" s="23">
        <f>'[10]eng-daily-01012012-12312012'!$O$330</f>
        <v>0</v>
      </c>
      <c r="E204" s="10">
        <v>31</v>
      </c>
      <c r="F204" s="16">
        <v>1</v>
      </c>
      <c r="G204" s="16">
        <v>352</v>
      </c>
      <c r="H204" s="16">
        <v>681.8</v>
      </c>
      <c r="I204" s="16">
        <f>'CDM Activity'!F97</f>
        <v>3139231.3073325832</v>
      </c>
      <c r="J204" s="16">
        <v>48.178586723768831</v>
      </c>
      <c r="K204" s="162">
        <v>143.65800924225621</v>
      </c>
      <c r="L204" s="111">
        <f t="shared" si="22"/>
        <v>51893.166666666657</v>
      </c>
      <c r="M204" s="111">
        <f t="shared" si="15"/>
        <v>138398</v>
      </c>
      <c r="N204" s="10">
        <f t="shared" si="20"/>
        <v>121667275.9697549</v>
      </c>
      <c r="O204" s="53">
        <f t="shared" si="18"/>
        <v>1236367.9364215732</v>
      </c>
      <c r="P204" s="171">
        <f t="shared" si="19"/>
        <v>1.0266201231990764E-2</v>
      </c>
      <c r="Q204" s="13">
        <f t="shared" si="21"/>
        <v>1.0266201231990764E-2</v>
      </c>
    </row>
    <row r="205" spans="1:18" x14ac:dyDescent="0.2">
      <c r="A205" s="54">
        <f t="shared" si="17"/>
        <v>41243</v>
      </c>
      <c r="B205" s="27">
        <f>120693809.09+(27225356.55/9)+(5510021/12)</f>
        <v>124178017.12333333</v>
      </c>
      <c r="C205" s="23">
        <f>'[10]eng-daily-01012012-12312012'!$M$360</f>
        <v>483.60000000000014</v>
      </c>
      <c r="D205" s="23">
        <f>'[10]eng-daily-01012012-12312012'!$O$360</f>
        <v>0</v>
      </c>
      <c r="E205" s="10">
        <v>30</v>
      </c>
      <c r="F205" s="16">
        <v>1</v>
      </c>
      <c r="G205" s="16">
        <v>352</v>
      </c>
      <c r="H205" s="16">
        <v>686.5</v>
      </c>
      <c r="I205" s="16">
        <f>'CDM Activity'!F98</f>
        <v>3170433.7686906066</v>
      </c>
      <c r="J205" s="16">
        <v>48.510706638115721</v>
      </c>
      <c r="K205" s="162">
        <v>143.89527212419182</v>
      </c>
      <c r="L205" s="111">
        <f t="shared" si="22"/>
        <v>51938.708333333321</v>
      </c>
      <c r="M205" s="111">
        <f t="shared" si="15"/>
        <v>138481</v>
      </c>
      <c r="N205" s="10">
        <f t="shared" si="20"/>
        <v>125257125.04153003</v>
      </c>
      <c r="O205" s="53">
        <f t="shared" si="18"/>
        <v>1079107.9181966931</v>
      </c>
      <c r="P205" s="171">
        <f t="shared" si="19"/>
        <v>8.6900076454347434E-3</v>
      </c>
      <c r="Q205" s="13">
        <f t="shared" si="21"/>
        <v>8.6900076454347434E-3</v>
      </c>
    </row>
    <row r="206" spans="1:18" x14ac:dyDescent="0.2">
      <c r="A206" s="54">
        <f t="shared" si="17"/>
        <v>41274</v>
      </c>
      <c r="B206" s="27">
        <f>121548763.64+(27225356.55/9)+(5510021/12)</f>
        <v>125032971.67333333</v>
      </c>
      <c r="C206" s="23">
        <f>'[10]eng-daily-01012012-12312012'!$M$391</f>
        <v>565.50000000000011</v>
      </c>
      <c r="D206" s="23">
        <f>'[10]eng-daily-01012012-12312012'!$O$391</f>
        <v>0</v>
      </c>
      <c r="E206" s="10">
        <v>31</v>
      </c>
      <c r="F206" s="16">
        <v>0</v>
      </c>
      <c r="G206" s="16">
        <v>304</v>
      </c>
      <c r="H206" s="16">
        <v>693.7</v>
      </c>
      <c r="I206" s="16">
        <f>'CDM Activity'!F99</f>
        <v>3201636.2300486299</v>
      </c>
      <c r="J206" s="16">
        <v>49.019486081370474</v>
      </c>
      <c r="K206" s="162">
        <v>144.13292686506682</v>
      </c>
      <c r="L206" s="111">
        <f t="shared" si="22"/>
        <v>51984.249999999985</v>
      </c>
      <c r="M206" s="111">
        <f t="shared" si="15"/>
        <v>138564</v>
      </c>
      <c r="N206" s="10">
        <f t="shared" si="20"/>
        <v>126318144.94155149</v>
      </c>
      <c r="O206" s="53">
        <f t="shared" si="18"/>
        <v>1285173.2682181597</v>
      </c>
      <c r="P206" s="171">
        <f t="shared" si="19"/>
        <v>1.0278674904855178E-2</v>
      </c>
      <c r="Q206" s="13">
        <f t="shared" si="21"/>
        <v>1.0278674904855178E-2</v>
      </c>
    </row>
    <row r="207" spans="1:18" x14ac:dyDescent="0.2">
      <c r="A207" s="54">
        <f>EOMONTH(A206,1)</f>
        <v>41305</v>
      </c>
      <c r="C207" s="334">
        <f t="shared" ref="C207:D218" si="23">(C3+C15+C27+C39+C51+C63+C75+C87+C99+C111+C123+C135+C147+C159+C171+C183+C195)/17</f>
        <v>746.91764705882338</v>
      </c>
      <c r="D207" s="334">
        <f t="shared" si="23"/>
        <v>0</v>
      </c>
      <c r="E207" s="10">
        <v>31</v>
      </c>
      <c r="F207" s="16">
        <v>0</v>
      </c>
      <c r="G207" s="16">
        <v>352</v>
      </c>
      <c r="H207" s="16">
        <f>H206</f>
        <v>693.7</v>
      </c>
      <c r="I207" s="16">
        <f>'CDM Activity'!F100</f>
        <v>3174072.3208114323</v>
      </c>
      <c r="J207" s="174">
        <f>J206</f>
        <v>49.019486081370474</v>
      </c>
      <c r="K207" s="162">
        <v>144.35917379447397</v>
      </c>
      <c r="L207"/>
      <c r="M207" s="10"/>
      <c r="N207" s="10">
        <f t="shared" si="20"/>
        <v>135291995.25045934</v>
      </c>
      <c r="O207"/>
      <c r="P207"/>
      <c r="Q207" s="5">
        <f>AVERAGE(Q3:Q206)</f>
        <v>2.2900993973613351E-2</v>
      </c>
      <c r="R207" s="172" t="s">
        <v>160</v>
      </c>
    </row>
    <row r="208" spans="1:18" x14ac:dyDescent="0.2">
      <c r="A208" s="54">
        <f t="shared" si="17"/>
        <v>41333</v>
      </c>
      <c r="C208" s="334">
        <f t="shared" si="23"/>
        <v>649.60588235294108</v>
      </c>
      <c r="D208" s="334">
        <f t="shared" si="23"/>
        <v>0</v>
      </c>
      <c r="E208" s="10">
        <v>28</v>
      </c>
      <c r="F208" s="16">
        <v>0</v>
      </c>
      <c r="G208" s="16">
        <v>304</v>
      </c>
      <c r="H208" s="16">
        <f t="shared" ref="H208:H230" si="24">H207</f>
        <v>693.7</v>
      </c>
      <c r="I208" s="16">
        <f>'CDM Activity'!F101</f>
        <v>3146508.4115742347</v>
      </c>
      <c r="J208" s="174">
        <f t="shared" ref="J208:J230" si="25">J207</f>
        <v>49.019486081370474</v>
      </c>
      <c r="K208" s="162">
        <v>144.58577586600015</v>
      </c>
      <c r="L208"/>
      <c r="M208" s="10"/>
      <c r="N208" s="10">
        <f t="shared" si="20"/>
        <v>123663288.1971239</v>
      </c>
      <c r="O208"/>
      <c r="P208"/>
    </row>
    <row r="209" spans="1:16" x14ac:dyDescent="0.2">
      <c r="A209" s="54">
        <f t="shared" si="17"/>
        <v>41364</v>
      </c>
      <c r="C209" s="334">
        <f t="shared" si="23"/>
        <v>572.55294117647043</v>
      </c>
      <c r="D209" s="334">
        <f t="shared" si="23"/>
        <v>0</v>
      </c>
      <c r="E209" s="10">
        <v>31</v>
      </c>
      <c r="F209" s="16">
        <v>1</v>
      </c>
      <c r="G209" s="16">
        <v>320</v>
      </c>
      <c r="H209" s="16">
        <f t="shared" si="24"/>
        <v>693.7</v>
      </c>
      <c r="I209" s="16">
        <f>'CDM Activity'!F102</f>
        <v>3118944.5023370371</v>
      </c>
      <c r="J209" s="174">
        <f t="shared" si="25"/>
        <v>49.019486081370474</v>
      </c>
      <c r="K209" s="162">
        <v>144.81273363711554</v>
      </c>
      <c r="L209"/>
      <c r="M209" s="10"/>
      <c r="N209" s="10">
        <f t="shared" si="20"/>
        <v>127031836.64387827</v>
      </c>
      <c r="O209"/>
      <c r="P209"/>
    </row>
    <row r="210" spans="1:16" x14ac:dyDescent="0.2">
      <c r="A210" s="54">
        <f t="shared" si="17"/>
        <v>41394</v>
      </c>
      <c r="C210" s="334">
        <f t="shared" si="23"/>
        <v>346.36470588235295</v>
      </c>
      <c r="D210" s="334">
        <f t="shared" si="23"/>
        <v>0.61764705882352944</v>
      </c>
      <c r="E210" s="10">
        <v>30</v>
      </c>
      <c r="F210" s="16">
        <v>1</v>
      </c>
      <c r="G210" s="16">
        <v>352</v>
      </c>
      <c r="H210" s="16">
        <f t="shared" si="24"/>
        <v>693.7</v>
      </c>
      <c r="I210" s="16">
        <f>'CDM Activity'!F103</f>
        <v>3091380.5930998395</v>
      </c>
      <c r="J210" s="174">
        <f t="shared" si="25"/>
        <v>49.019486081370474</v>
      </c>
      <c r="K210" s="162">
        <v>145.04004766616546</v>
      </c>
      <c r="L210"/>
      <c r="M210" s="10"/>
      <c r="N210" s="10">
        <f t="shared" si="20"/>
        <v>124105129.70400552</v>
      </c>
      <c r="O210"/>
      <c r="P210"/>
    </row>
    <row r="211" spans="1:16" x14ac:dyDescent="0.2">
      <c r="A211" s="54">
        <f t="shared" si="17"/>
        <v>41425</v>
      </c>
      <c r="C211" s="334">
        <f t="shared" si="23"/>
        <v>182.57647058823531</v>
      </c>
      <c r="D211" s="334">
        <f t="shared" si="23"/>
        <v>9.4117647058823533</v>
      </c>
      <c r="E211" s="10">
        <v>31</v>
      </c>
      <c r="F211" s="16">
        <v>1</v>
      </c>
      <c r="G211" s="16">
        <v>352</v>
      </c>
      <c r="H211" s="16">
        <f t="shared" si="24"/>
        <v>693.7</v>
      </c>
      <c r="I211" s="16">
        <f>'CDM Activity'!F104</f>
        <v>3063816.6838626419</v>
      </c>
      <c r="J211" s="174">
        <f t="shared" si="25"/>
        <v>49.019486081370474</v>
      </c>
      <c r="K211" s="162">
        <v>145.2677185123716</v>
      </c>
      <c r="L211"/>
      <c r="M211" s="10"/>
      <c r="N211" s="10">
        <f t="shared" si="20"/>
        <v>123966754.02334271</v>
      </c>
      <c r="O211"/>
      <c r="P211"/>
    </row>
    <row r="212" spans="1:16" x14ac:dyDescent="0.2">
      <c r="A212" s="54">
        <f t="shared" si="17"/>
        <v>41455</v>
      </c>
      <c r="C212" s="334">
        <f t="shared" si="23"/>
        <v>48.317647058823539</v>
      </c>
      <c r="D212" s="334">
        <f t="shared" si="23"/>
        <v>47.076470588235296</v>
      </c>
      <c r="E212" s="10">
        <v>30</v>
      </c>
      <c r="F212" s="16">
        <v>0</v>
      </c>
      <c r="G212" s="16">
        <v>320</v>
      </c>
      <c r="H212" s="16">
        <f t="shared" si="24"/>
        <v>693.7</v>
      </c>
      <c r="I212" s="16">
        <f>'CDM Activity'!F105</f>
        <v>3036252.7746254443</v>
      </c>
      <c r="J212" s="174">
        <f t="shared" si="25"/>
        <v>49.019486081370474</v>
      </c>
      <c r="K212" s="162">
        <v>145.49574673583354</v>
      </c>
      <c r="L212"/>
      <c r="M212" s="10"/>
      <c r="N212" s="10">
        <f t="shared" si="20"/>
        <v>125090715.02724688</v>
      </c>
      <c r="O212"/>
      <c r="P212"/>
    </row>
    <row r="213" spans="1:16" x14ac:dyDescent="0.2">
      <c r="A213" s="54">
        <f t="shared" si="17"/>
        <v>41486</v>
      </c>
      <c r="C213" s="334">
        <f t="shared" si="23"/>
        <v>13.205882352941176</v>
      </c>
      <c r="D213" s="334">
        <f t="shared" si="23"/>
        <v>79.776470588235298</v>
      </c>
      <c r="E213" s="10">
        <v>31</v>
      </c>
      <c r="F213" s="16">
        <v>0</v>
      </c>
      <c r="G213" s="16">
        <v>352</v>
      </c>
      <c r="H213" s="16">
        <f t="shared" si="24"/>
        <v>693.7</v>
      </c>
      <c r="I213" s="16">
        <f>'CDM Activity'!F106</f>
        <v>3008688.8653882467</v>
      </c>
      <c r="J213" s="174">
        <f t="shared" si="25"/>
        <v>49.019486081370474</v>
      </c>
      <c r="K213" s="162">
        <v>145.72413289752996</v>
      </c>
      <c r="L213"/>
      <c r="M213" s="10"/>
      <c r="N213" s="10">
        <f t="shared" si="20"/>
        <v>135669135.28964463</v>
      </c>
    </row>
    <row r="214" spans="1:16" x14ac:dyDescent="0.2">
      <c r="A214" s="54">
        <f t="shared" si="17"/>
        <v>41517</v>
      </c>
      <c r="C214" s="334">
        <f t="shared" si="23"/>
        <v>22.299999999999994</v>
      </c>
      <c r="D214" s="334">
        <f t="shared" si="23"/>
        <v>56.694117647058818</v>
      </c>
      <c r="E214" s="10">
        <v>31</v>
      </c>
      <c r="F214" s="16">
        <v>0</v>
      </c>
      <c r="G214" s="16">
        <v>336</v>
      </c>
      <c r="H214" s="16">
        <f t="shared" si="24"/>
        <v>693.7</v>
      </c>
      <c r="I214" s="16">
        <f>'CDM Activity'!F107</f>
        <v>2981124.9561510491</v>
      </c>
      <c r="J214" s="174">
        <f t="shared" si="25"/>
        <v>49.019486081370474</v>
      </c>
      <c r="K214" s="162">
        <v>145.9528775593202</v>
      </c>
      <c r="L214"/>
      <c r="M214" s="10"/>
      <c r="N214" s="10">
        <f t="shared" si="20"/>
        <v>129853401.40072535</v>
      </c>
    </row>
    <row r="215" spans="1:16" x14ac:dyDescent="0.2">
      <c r="A215" s="54">
        <f t="shared" si="17"/>
        <v>41547</v>
      </c>
      <c r="C215" s="334">
        <f t="shared" si="23"/>
        <v>96.182352941176475</v>
      </c>
      <c r="D215" s="334">
        <f t="shared" si="23"/>
        <v>17.247058823529407</v>
      </c>
      <c r="E215" s="10">
        <v>30</v>
      </c>
      <c r="F215" s="16">
        <v>1</v>
      </c>
      <c r="G215" s="16">
        <v>320</v>
      </c>
      <c r="H215" s="16">
        <f t="shared" si="24"/>
        <v>693.7</v>
      </c>
      <c r="I215" s="16">
        <f>'CDM Activity'!F108</f>
        <v>2953561.0469138515</v>
      </c>
      <c r="J215" s="174">
        <f t="shared" si="25"/>
        <v>49.019486081370474</v>
      </c>
      <c r="K215" s="162">
        <v>146.18198128394553</v>
      </c>
      <c r="L215"/>
      <c r="M215" s="10"/>
      <c r="N215" s="10">
        <f t="shared" si="20"/>
        <v>119242436.51127879</v>
      </c>
    </row>
    <row r="216" spans="1:16" x14ac:dyDescent="0.2">
      <c r="A216" s="54">
        <f t="shared" si="17"/>
        <v>41578</v>
      </c>
      <c r="C216" s="334">
        <f t="shared" si="23"/>
        <v>290.2</v>
      </c>
      <c r="D216" s="334">
        <f t="shared" si="23"/>
        <v>1.2588235294117647</v>
      </c>
      <c r="E216" s="10">
        <v>31</v>
      </c>
      <c r="F216" s="16">
        <v>1</v>
      </c>
      <c r="G216" s="16">
        <v>352</v>
      </c>
      <c r="H216" s="16">
        <f t="shared" si="24"/>
        <v>693.7</v>
      </c>
      <c r="I216" s="16">
        <f>'CDM Activity'!F109</f>
        <v>2925997.1376766539</v>
      </c>
      <c r="J216" s="174">
        <f t="shared" si="25"/>
        <v>49.019486081370474</v>
      </c>
      <c r="K216" s="162">
        <v>146.41144463503053</v>
      </c>
      <c r="L216"/>
      <c r="M216" s="10"/>
      <c r="N216" s="10">
        <f t="shared" si="20"/>
        <v>125305954.63413404</v>
      </c>
    </row>
    <row r="217" spans="1:16" x14ac:dyDescent="0.2">
      <c r="A217" s="54">
        <f t="shared" si="17"/>
        <v>41608</v>
      </c>
      <c r="C217" s="334">
        <f t="shared" si="23"/>
        <v>442.41176470588238</v>
      </c>
      <c r="D217" s="334">
        <f t="shared" si="23"/>
        <v>0</v>
      </c>
      <c r="E217" s="10">
        <v>30</v>
      </c>
      <c r="F217" s="16">
        <v>1</v>
      </c>
      <c r="G217" s="16">
        <v>336</v>
      </c>
      <c r="H217" s="16">
        <f t="shared" si="24"/>
        <v>693.7</v>
      </c>
      <c r="I217" s="16">
        <f>'CDM Activity'!F110</f>
        <v>2898433.2284394563</v>
      </c>
      <c r="J217" s="174">
        <f t="shared" si="25"/>
        <v>49.019486081370474</v>
      </c>
      <c r="K217" s="162">
        <v>146.64126817708456</v>
      </c>
      <c r="L217"/>
      <c r="M217" s="10"/>
      <c r="N217" s="10">
        <f t="shared" si="20"/>
        <v>125253715.70230119</v>
      </c>
    </row>
    <row r="218" spans="1:16" x14ac:dyDescent="0.2">
      <c r="A218" s="54">
        <f t="shared" si="17"/>
        <v>41639</v>
      </c>
      <c r="C218" s="334">
        <f t="shared" si="23"/>
        <v>645.59411764705885</v>
      </c>
      <c r="D218" s="334">
        <f t="shared" si="23"/>
        <v>0</v>
      </c>
      <c r="E218" s="10">
        <v>31</v>
      </c>
      <c r="F218" s="16">
        <v>0</v>
      </c>
      <c r="G218" s="16">
        <v>320</v>
      </c>
      <c r="H218" s="16">
        <f t="shared" si="24"/>
        <v>693.7</v>
      </c>
      <c r="I218" s="16">
        <f>'CDM Activity'!F111</f>
        <v>2870869.3192022587</v>
      </c>
      <c r="J218" s="174">
        <f t="shared" si="25"/>
        <v>49.019486081370474</v>
      </c>
      <c r="K218" s="162">
        <v>146.87145247550308</v>
      </c>
      <c r="L218"/>
      <c r="M218" s="10"/>
      <c r="N218" s="10">
        <f t="shared" si="20"/>
        <v>131131351.20586579</v>
      </c>
    </row>
    <row r="219" spans="1:16" x14ac:dyDescent="0.2">
      <c r="A219" s="54">
        <f t="shared" si="17"/>
        <v>41670</v>
      </c>
      <c r="C219" s="334">
        <f>C207</f>
        <v>746.91764705882338</v>
      </c>
      <c r="D219" s="334">
        <f>D207</f>
        <v>0</v>
      </c>
      <c r="E219" s="10">
        <v>31</v>
      </c>
      <c r="F219" s="16">
        <v>0</v>
      </c>
      <c r="G219" s="16">
        <v>352</v>
      </c>
      <c r="H219" s="16">
        <f t="shared" si="24"/>
        <v>693.7</v>
      </c>
      <c r="I219" s="16">
        <f>'CDM Activity'!F112</f>
        <v>2887596.9127637479</v>
      </c>
      <c r="J219" s="174">
        <f t="shared" si="25"/>
        <v>49.019486081370474</v>
      </c>
      <c r="K219" s="162">
        <v>147.1500314630903</v>
      </c>
      <c r="L219"/>
      <c r="M219" s="10"/>
      <c r="N219" s="10">
        <f t="shared" si="20"/>
        <v>136537438.7556479</v>
      </c>
    </row>
    <row r="220" spans="1:16" x14ac:dyDescent="0.2">
      <c r="A220" s="54">
        <f t="shared" si="17"/>
        <v>41698</v>
      </c>
      <c r="C220" s="334">
        <f t="shared" ref="C220:D230" si="26">C208</f>
        <v>649.60588235294108</v>
      </c>
      <c r="D220" s="334">
        <f t="shared" si="26"/>
        <v>0</v>
      </c>
      <c r="E220" s="10">
        <v>28</v>
      </c>
      <c r="F220" s="16">
        <v>0</v>
      </c>
      <c r="G220" s="16">
        <v>304</v>
      </c>
      <c r="H220" s="16">
        <f t="shared" si="24"/>
        <v>693.7</v>
      </c>
      <c r="I220" s="16">
        <f>'CDM Activity'!F113</f>
        <v>2904324.506325237</v>
      </c>
      <c r="J220" s="174">
        <f t="shared" si="25"/>
        <v>49.019486081370474</v>
      </c>
      <c r="K220" s="162">
        <v>147.42913884643463</v>
      </c>
      <c r="L220"/>
      <c r="M220" s="10"/>
      <c r="N220" s="10">
        <f t="shared" si="20"/>
        <v>124716175.68198387</v>
      </c>
    </row>
    <row r="221" spans="1:16" x14ac:dyDescent="0.2">
      <c r="A221" s="54">
        <f t="shared" si="17"/>
        <v>41729</v>
      </c>
      <c r="C221" s="334">
        <f t="shared" si="26"/>
        <v>572.55294117647043</v>
      </c>
      <c r="D221" s="334">
        <f t="shared" si="26"/>
        <v>0</v>
      </c>
      <c r="E221" s="10">
        <v>31</v>
      </c>
      <c r="F221" s="16">
        <v>1</v>
      </c>
      <c r="G221" s="16">
        <v>336</v>
      </c>
      <c r="H221" s="16">
        <f t="shared" si="24"/>
        <v>693.7</v>
      </c>
      <c r="I221" s="16">
        <f>'CDM Activity'!F114</f>
        <v>2921052.0998867261</v>
      </c>
      <c r="J221" s="174">
        <f t="shared" si="25"/>
        <v>49.019486081370474</v>
      </c>
      <c r="K221" s="162">
        <v>147.7087756277727</v>
      </c>
      <c r="L221"/>
      <c r="M221" s="10"/>
      <c r="N221" s="10">
        <f t="shared" si="20"/>
        <v>129537171.07099174</v>
      </c>
    </row>
    <row r="222" spans="1:16" x14ac:dyDescent="0.2">
      <c r="A222" s="54">
        <f t="shared" si="17"/>
        <v>41759</v>
      </c>
      <c r="C222" s="334">
        <f t="shared" si="26"/>
        <v>346.36470588235295</v>
      </c>
      <c r="D222" s="334">
        <f t="shared" si="26"/>
        <v>0.61764705882352944</v>
      </c>
      <c r="E222" s="10">
        <v>30</v>
      </c>
      <c r="F222" s="16">
        <v>1</v>
      </c>
      <c r="G222" s="16">
        <v>320</v>
      </c>
      <c r="H222" s="16">
        <f t="shared" si="24"/>
        <v>693.7</v>
      </c>
      <c r="I222" s="16">
        <f>'CDM Activity'!F115</f>
        <v>2937779.6934482153</v>
      </c>
      <c r="J222" s="174">
        <f t="shared" si="25"/>
        <v>49.019486081370474</v>
      </c>
      <c r="K222" s="162">
        <v>147.9889428112422</v>
      </c>
      <c r="L222"/>
      <c r="M222" s="10"/>
      <c r="N222" s="10">
        <f t="shared" si="20"/>
        <v>121482899.22304429</v>
      </c>
    </row>
    <row r="223" spans="1:16" x14ac:dyDescent="0.2">
      <c r="A223" s="54">
        <f t="shared" ref="A223:A230" si="27">EOMONTH(A222,1)</f>
        <v>41790</v>
      </c>
      <c r="C223" s="334">
        <f t="shared" si="26"/>
        <v>182.57647058823531</v>
      </c>
      <c r="D223" s="334">
        <f t="shared" si="26"/>
        <v>9.4117647058823533</v>
      </c>
      <c r="E223" s="10">
        <v>31</v>
      </c>
      <c r="F223" s="16">
        <v>1</v>
      </c>
      <c r="G223" s="16">
        <v>336</v>
      </c>
      <c r="H223" s="16">
        <f t="shared" si="24"/>
        <v>693.7</v>
      </c>
      <c r="I223" s="16">
        <f>'CDM Activity'!F116</f>
        <v>2954507.2870097044</v>
      </c>
      <c r="J223" s="174">
        <f t="shared" si="25"/>
        <v>49.019486081370474</v>
      </c>
      <c r="K223" s="162">
        <v>148.26964140288536</v>
      </c>
      <c r="L223"/>
      <c r="M223" s="10"/>
      <c r="N223" s="10">
        <f t="shared" si="20"/>
        <v>122796970.48463492</v>
      </c>
    </row>
    <row r="224" spans="1:16" x14ac:dyDescent="0.2">
      <c r="A224" s="54">
        <f t="shared" si="27"/>
        <v>41820</v>
      </c>
      <c r="C224" s="334">
        <f t="shared" si="26"/>
        <v>48.317647058823539</v>
      </c>
      <c r="D224" s="334">
        <f t="shared" si="26"/>
        <v>47.076470588235296</v>
      </c>
      <c r="E224" s="10">
        <v>30</v>
      </c>
      <c r="F224" s="16">
        <v>0</v>
      </c>
      <c r="G224" s="16">
        <v>336</v>
      </c>
      <c r="H224" s="16">
        <f t="shared" si="24"/>
        <v>693.7</v>
      </c>
      <c r="I224" s="16">
        <f>'CDM Activity'!F117</f>
        <v>2971234.8805711935</v>
      </c>
      <c r="J224" s="174">
        <f t="shared" si="25"/>
        <v>49.019486081370474</v>
      </c>
      <c r="K224" s="162">
        <v>148.55087241065269</v>
      </c>
      <c r="L224"/>
      <c r="M224" s="10"/>
      <c r="N224" s="10">
        <f t="shared" si="20"/>
        <v>127018381.39337464</v>
      </c>
    </row>
    <row r="225" spans="1:19" x14ac:dyDescent="0.2">
      <c r="A225" s="54">
        <f t="shared" si="27"/>
        <v>41851</v>
      </c>
      <c r="C225" s="334">
        <f t="shared" si="26"/>
        <v>13.205882352941176</v>
      </c>
      <c r="D225" s="334">
        <f t="shared" si="26"/>
        <v>79.776470588235298</v>
      </c>
      <c r="E225" s="10">
        <v>31</v>
      </c>
      <c r="F225" s="16">
        <v>0</v>
      </c>
      <c r="G225" s="16">
        <v>352</v>
      </c>
      <c r="H225" s="16">
        <f t="shared" si="24"/>
        <v>693.7</v>
      </c>
      <c r="I225" s="16">
        <f>'CDM Activity'!F118</f>
        <v>2987962.4741326827</v>
      </c>
      <c r="J225" s="174">
        <f t="shared" si="25"/>
        <v>49.019486081370474</v>
      </c>
      <c r="K225" s="162">
        <v>148.83263684440649</v>
      </c>
      <c r="L225"/>
      <c r="M225" s="10"/>
      <c r="N225" s="10">
        <f t="shared" si="20"/>
        <v>135759242.67286175</v>
      </c>
    </row>
    <row r="226" spans="1:19" x14ac:dyDescent="0.2">
      <c r="A226" s="54">
        <f t="shared" si="27"/>
        <v>41882</v>
      </c>
      <c r="C226" s="334">
        <f t="shared" si="26"/>
        <v>22.299999999999994</v>
      </c>
      <c r="D226" s="334">
        <f t="shared" si="26"/>
        <v>56.694117647058818</v>
      </c>
      <c r="E226" s="10">
        <v>31</v>
      </c>
      <c r="F226" s="16">
        <v>0</v>
      </c>
      <c r="G226" s="16">
        <v>320</v>
      </c>
      <c r="H226" s="16">
        <f t="shared" si="24"/>
        <v>693.7</v>
      </c>
      <c r="I226" s="16">
        <f>'CDM Activity'!F119</f>
        <v>3004690.0676941718</v>
      </c>
      <c r="J226" s="174">
        <f t="shared" si="25"/>
        <v>49.019486081370474</v>
      </c>
      <c r="K226" s="162">
        <v>149.11493571592456</v>
      </c>
      <c r="L226"/>
      <c r="M226" s="10"/>
      <c r="N226" s="10">
        <f t="shared" si="20"/>
        <v>128105949.8010319</v>
      </c>
    </row>
    <row r="227" spans="1:19" x14ac:dyDescent="0.2">
      <c r="A227" s="54">
        <f t="shared" si="27"/>
        <v>41912</v>
      </c>
      <c r="C227" s="334">
        <f t="shared" si="26"/>
        <v>96.182352941176475</v>
      </c>
      <c r="D227" s="334">
        <f t="shared" si="26"/>
        <v>17.247058823529407</v>
      </c>
      <c r="E227" s="10">
        <v>30</v>
      </c>
      <c r="F227" s="16">
        <v>1</v>
      </c>
      <c r="G227" s="16">
        <v>336</v>
      </c>
      <c r="H227" s="16">
        <f t="shared" si="24"/>
        <v>693.7</v>
      </c>
      <c r="I227" s="16">
        <f>'CDM Activity'!F120</f>
        <v>3021417.6612556609</v>
      </c>
      <c r="J227" s="174">
        <f t="shared" si="25"/>
        <v>49.019486081370474</v>
      </c>
      <c r="K227" s="162">
        <v>149.39777003890373</v>
      </c>
      <c r="L227"/>
      <c r="M227" s="10"/>
      <c r="N227" s="10">
        <f t="shared" si="20"/>
        <v>120592434.81642087</v>
      </c>
    </row>
    <row r="228" spans="1:19" x14ac:dyDescent="0.2">
      <c r="A228" s="54">
        <f t="shared" si="27"/>
        <v>41943</v>
      </c>
      <c r="C228" s="334">
        <f t="shared" si="26"/>
        <v>290.2</v>
      </c>
      <c r="D228" s="334">
        <f t="shared" si="26"/>
        <v>1.2588235294117647</v>
      </c>
      <c r="E228" s="10">
        <v>31</v>
      </c>
      <c r="F228" s="16">
        <v>1</v>
      </c>
      <c r="G228" s="16">
        <v>352</v>
      </c>
      <c r="H228" s="16">
        <f t="shared" si="24"/>
        <v>693.7</v>
      </c>
      <c r="I228" s="16">
        <f>'CDM Activity'!F121</f>
        <v>3038145.2548171501</v>
      </c>
      <c r="J228" s="174">
        <f t="shared" si="25"/>
        <v>49.019486081370474</v>
      </c>
      <c r="K228" s="162">
        <v>149.68114082896363</v>
      </c>
      <c r="L228"/>
      <c r="M228" s="10"/>
      <c r="N228" s="10">
        <f t="shared" si="20"/>
        <v>124818393.95636545</v>
      </c>
    </row>
    <row r="229" spans="1:19" x14ac:dyDescent="0.2">
      <c r="A229" s="54">
        <f t="shared" si="27"/>
        <v>41973</v>
      </c>
      <c r="C229" s="334">
        <f t="shared" si="26"/>
        <v>442.41176470588238</v>
      </c>
      <c r="D229" s="334">
        <f t="shared" si="26"/>
        <v>0</v>
      </c>
      <c r="E229" s="10">
        <v>30</v>
      </c>
      <c r="F229" s="16">
        <v>1</v>
      </c>
      <c r="G229" s="16">
        <v>304</v>
      </c>
      <c r="H229" s="16">
        <f t="shared" si="24"/>
        <v>693.7</v>
      </c>
      <c r="I229" s="16">
        <f>'CDM Activity'!F122</f>
        <v>3054872.8483786392</v>
      </c>
      <c r="J229" s="174">
        <f t="shared" si="25"/>
        <v>49.019486081370474</v>
      </c>
      <c r="K229" s="162">
        <v>149.96504910365024</v>
      </c>
      <c r="L229"/>
      <c r="M229" s="10"/>
      <c r="N229" s="10">
        <f t="shared" si="20"/>
        <v>121283593.07903998</v>
      </c>
    </row>
    <row r="230" spans="1:19" x14ac:dyDescent="0.2">
      <c r="A230" s="54">
        <f t="shared" si="27"/>
        <v>42004</v>
      </c>
      <c r="C230" s="334">
        <f t="shared" si="26"/>
        <v>645.59411764705885</v>
      </c>
      <c r="D230" s="334">
        <f t="shared" si="26"/>
        <v>0</v>
      </c>
      <c r="E230" s="10">
        <v>31</v>
      </c>
      <c r="F230" s="16">
        <v>0</v>
      </c>
      <c r="G230" s="16">
        <v>336</v>
      </c>
      <c r="H230" s="16">
        <f t="shared" si="24"/>
        <v>693.7</v>
      </c>
      <c r="I230" s="16">
        <f>'CDM Activity'!F123</f>
        <v>3071600.4419401283</v>
      </c>
      <c r="J230" s="174">
        <f t="shared" si="25"/>
        <v>49.019486081370474</v>
      </c>
      <c r="K230" s="162">
        <v>150.24949588243965</v>
      </c>
      <c r="L230"/>
      <c r="M230" s="10"/>
      <c r="N230" s="10">
        <f t="shared" si="20"/>
        <v>131903681.45002215</v>
      </c>
    </row>
    <row r="231" spans="1:19" x14ac:dyDescent="0.2">
      <c r="A231" s="54"/>
      <c r="E231" s="10"/>
      <c r="F231" s="10"/>
    </row>
    <row r="232" spans="1:19" x14ac:dyDescent="0.2">
      <c r="A232" s="54"/>
      <c r="C232" s="17"/>
      <c r="D232" s="60" t="s">
        <v>88</v>
      </c>
      <c r="E232" s="10"/>
      <c r="F232" s="10"/>
      <c r="I232" s="174">
        <f>SUM(I3:I231)</f>
        <v>176349652.4552336</v>
      </c>
      <c r="N232" s="53">
        <f>SUM(N3:N230)</f>
        <v>27846161905.875423</v>
      </c>
    </row>
    <row r="233" spans="1:19" x14ac:dyDescent="0.2">
      <c r="A233" s="54"/>
      <c r="E233" s="10"/>
      <c r="F233" s="10"/>
    </row>
    <row r="234" spans="1:19" x14ac:dyDescent="0.2">
      <c r="A234" s="42">
        <v>1996</v>
      </c>
      <c r="B234" s="6">
        <f>SUM(B3:B14)</f>
        <v>1126778593</v>
      </c>
      <c r="E234" s="10"/>
      <c r="F234" s="10"/>
      <c r="N234" s="6">
        <f>SUM(N3:N14)</f>
        <v>1160636229.055681</v>
      </c>
      <c r="O234" s="38">
        <f t="shared" ref="O234:O250" si="28">N234-B234</f>
        <v>33857636.05568099</v>
      </c>
      <c r="P234" s="5">
        <f t="shared" ref="P234:P250" si="29">O234/B234</f>
        <v>3.004817118999082E-2</v>
      </c>
      <c r="Q234" s="5">
        <f>ABS(P234)</f>
        <v>3.004817118999082E-2</v>
      </c>
      <c r="R234" s="5"/>
      <c r="S234" s="5"/>
    </row>
    <row r="235" spans="1:19" x14ac:dyDescent="0.2">
      <c r="A235" s="55">
        <v>1997</v>
      </c>
      <c r="B235" s="6">
        <f>SUM(B15:B26)</f>
        <v>1202822244</v>
      </c>
      <c r="E235" s="10"/>
      <c r="F235" s="10"/>
      <c r="N235" s="6">
        <f>SUM(N15:N26)</f>
        <v>1199638191.9534881</v>
      </c>
      <c r="O235" s="38">
        <f t="shared" si="28"/>
        <v>-3184052.0465118885</v>
      </c>
      <c r="P235" s="5">
        <f t="shared" si="29"/>
        <v>-2.6471509505205729E-3</v>
      </c>
      <c r="Q235" s="5">
        <f t="shared" ref="Q235:Q250" si="30">ABS(P235)</f>
        <v>2.6471509505205729E-3</v>
      </c>
      <c r="R235" s="5"/>
      <c r="S235" s="5"/>
    </row>
    <row r="236" spans="1:19" x14ac:dyDescent="0.2">
      <c r="A236" s="42">
        <v>1998</v>
      </c>
      <c r="B236" s="6">
        <f>SUM(B27:B38)</f>
        <v>1272551157</v>
      </c>
      <c r="E236" s="10"/>
      <c r="F236" s="10"/>
      <c r="N236" s="6">
        <f>SUM(N27:N38)</f>
        <v>1275643895.298501</v>
      </c>
      <c r="O236" s="38">
        <f t="shared" si="28"/>
        <v>3092738.2985010147</v>
      </c>
      <c r="P236" s="5">
        <f t="shared" si="29"/>
        <v>2.4303449660853316E-3</v>
      </c>
      <c r="Q236" s="5">
        <f t="shared" si="30"/>
        <v>2.4303449660853316E-3</v>
      </c>
      <c r="R236" s="5"/>
      <c r="S236" s="5"/>
    </row>
    <row r="237" spans="1:19" x14ac:dyDescent="0.2">
      <c r="A237" s="55">
        <v>1999</v>
      </c>
      <c r="B237" s="6">
        <f>SUM(B39:B50)</f>
        <v>1350815390.1000001</v>
      </c>
      <c r="E237" s="10"/>
      <c r="F237" s="10"/>
      <c r="N237" s="6">
        <f>SUM(N39:N50)</f>
        <v>1379213967.0884619</v>
      </c>
      <c r="O237" s="38">
        <f t="shared" si="28"/>
        <v>28398576.988461733</v>
      </c>
      <c r="P237" s="5">
        <f t="shared" si="29"/>
        <v>2.1023285044420022E-2</v>
      </c>
      <c r="Q237" s="5">
        <f t="shared" si="30"/>
        <v>2.1023285044420022E-2</v>
      </c>
      <c r="R237" s="5"/>
      <c r="S237" s="5"/>
    </row>
    <row r="238" spans="1:19" x14ac:dyDescent="0.2">
      <c r="A238" s="42">
        <v>2000</v>
      </c>
      <c r="B238" s="6">
        <f>SUM(B51:B62)</f>
        <v>1392173591.8</v>
      </c>
      <c r="E238" s="10"/>
      <c r="F238" s="10"/>
      <c r="N238" s="6">
        <f>SUM(N51:N62)</f>
        <v>1382039533.6418393</v>
      </c>
      <c r="O238" s="38">
        <f t="shared" si="28"/>
        <v>-10134058.158160686</v>
      </c>
      <c r="P238" s="5">
        <f t="shared" si="29"/>
        <v>-7.2793064154147149E-3</v>
      </c>
      <c r="Q238" s="5">
        <f t="shared" si="30"/>
        <v>7.2793064154147149E-3</v>
      </c>
      <c r="R238" s="5"/>
      <c r="S238" s="5"/>
    </row>
    <row r="239" spans="1:19" x14ac:dyDescent="0.2">
      <c r="A239" s="55">
        <v>2001</v>
      </c>
      <c r="B239" s="6">
        <f>SUM(B63:B74)</f>
        <v>1420977730</v>
      </c>
      <c r="E239" s="10"/>
      <c r="F239" s="10"/>
      <c r="N239" s="6">
        <f>SUM(N63:N74)</f>
        <v>1416590403.2563884</v>
      </c>
      <c r="O239" s="38">
        <f t="shared" si="28"/>
        <v>-4387326.7436115742</v>
      </c>
      <c r="P239" s="5">
        <f t="shared" si="29"/>
        <v>-3.087540818540185E-3</v>
      </c>
      <c r="Q239" s="5">
        <f t="shared" si="30"/>
        <v>3.087540818540185E-3</v>
      </c>
      <c r="R239" s="5"/>
      <c r="S239" s="5"/>
    </row>
    <row r="240" spans="1:19" x14ac:dyDescent="0.2">
      <c r="A240" s="42">
        <v>2002</v>
      </c>
      <c r="B240" s="6">
        <f>SUM(B75:B86)</f>
        <v>1519144756</v>
      </c>
      <c r="E240" s="10"/>
      <c r="F240" s="10"/>
      <c r="N240" s="6">
        <f>SUM(N75:N86)</f>
        <v>1470575513.6215622</v>
      </c>
      <c r="O240" s="38">
        <f t="shared" si="28"/>
        <v>-48569242.378437757</v>
      </c>
      <c r="P240" s="5">
        <f t="shared" si="29"/>
        <v>-3.1971437999314505E-2</v>
      </c>
      <c r="Q240" s="5">
        <f t="shared" si="30"/>
        <v>3.1971437999314505E-2</v>
      </c>
      <c r="R240" s="5"/>
      <c r="S240" s="5"/>
    </row>
    <row r="241" spans="1:21" x14ac:dyDescent="0.2">
      <c r="A241" s="55">
        <v>2003</v>
      </c>
      <c r="B241" s="6">
        <f>SUM(B87:B98)</f>
        <v>1523717530</v>
      </c>
      <c r="E241" s="10"/>
      <c r="F241" s="10"/>
      <c r="N241" s="6">
        <f>SUM(N87:N98)</f>
        <v>1500853265.2510455</v>
      </c>
      <c r="O241" s="38">
        <f t="shared" si="28"/>
        <v>-22864264.748954535</v>
      </c>
      <c r="P241" s="5">
        <f t="shared" si="29"/>
        <v>-1.5005579642412156E-2</v>
      </c>
      <c r="Q241" s="5">
        <f t="shared" si="30"/>
        <v>1.5005579642412156E-2</v>
      </c>
      <c r="R241" s="5"/>
      <c r="S241" s="5"/>
    </row>
    <row r="242" spans="1:21" x14ac:dyDescent="0.2">
      <c r="A242" s="42">
        <v>2004</v>
      </c>
      <c r="B242" s="6">
        <f>SUM(B99:B110)</f>
        <v>1570405930</v>
      </c>
      <c r="E242" s="10"/>
      <c r="F242" s="10"/>
      <c r="N242" s="6">
        <f>SUM(N99:N110)</f>
        <v>1539378098.2646749</v>
      </c>
      <c r="O242" s="38">
        <f t="shared" si="28"/>
        <v>-31027831.735325098</v>
      </c>
      <c r="P242" s="5">
        <f t="shared" si="29"/>
        <v>-1.9757841678122737E-2</v>
      </c>
      <c r="Q242" s="5">
        <f t="shared" si="30"/>
        <v>1.9757841678122737E-2</v>
      </c>
      <c r="R242" s="5"/>
      <c r="S242" s="5"/>
    </row>
    <row r="243" spans="1:21" x14ac:dyDescent="0.2">
      <c r="A243" s="55">
        <v>2005</v>
      </c>
      <c r="B243" s="6">
        <f>SUM(B111:B122)</f>
        <v>1640988662</v>
      </c>
      <c r="N243" s="6">
        <f>SUM(N111:N122)</f>
        <v>1627237981.0482955</v>
      </c>
      <c r="O243" s="38">
        <f t="shared" si="28"/>
        <v>-13750680.951704502</v>
      </c>
      <c r="P243" s="5">
        <f t="shared" si="29"/>
        <v>-8.3795100296095177E-3</v>
      </c>
      <c r="Q243" s="5">
        <f t="shared" si="30"/>
        <v>8.3795100296095177E-3</v>
      </c>
      <c r="R243" s="5"/>
      <c r="S243" s="5"/>
    </row>
    <row r="244" spans="1:21" x14ac:dyDescent="0.2">
      <c r="A244" s="42">
        <v>2006</v>
      </c>
      <c r="B244" s="6">
        <f>SUM(B123:B134)</f>
        <v>1599360044</v>
      </c>
      <c r="N244" s="6">
        <f>SUM(N123:N134)</f>
        <v>1634026222.3421593</v>
      </c>
      <c r="O244" s="38">
        <f t="shared" si="28"/>
        <v>34666178.342159271</v>
      </c>
      <c r="P244" s="5">
        <f t="shared" si="29"/>
        <v>2.1675030880138252E-2</v>
      </c>
      <c r="Q244" s="5">
        <f t="shared" si="30"/>
        <v>2.1675030880138252E-2</v>
      </c>
      <c r="R244" s="5"/>
      <c r="S244" s="5"/>
      <c r="T244" s="6"/>
      <c r="U244" s="61"/>
    </row>
    <row r="245" spans="1:21" x14ac:dyDescent="0.2">
      <c r="A245" s="55">
        <v>2007</v>
      </c>
      <c r="B245" s="6">
        <f>SUM(B135:B146)</f>
        <v>1609193923</v>
      </c>
      <c r="N245" s="6">
        <f>SUM(N135:N146)</f>
        <v>1622797318.6380689</v>
      </c>
      <c r="O245" s="38">
        <f t="shared" si="28"/>
        <v>13603395.638068914</v>
      </c>
      <c r="P245" s="5">
        <f t="shared" si="29"/>
        <v>8.453546489106966E-3</v>
      </c>
      <c r="Q245" s="5">
        <f t="shared" si="30"/>
        <v>8.453546489106966E-3</v>
      </c>
      <c r="R245" s="5"/>
      <c r="S245" s="5"/>
      <c r="T245" s="6"/>
      <c r="U245" s="61"/>
    </row>
    <row r="246" spans="1:21" x14ac:dyDescent="0.2">
      <c r="A246" s="42">
        <v>2008</v>
      </c>
      <c r="B246" s="6">
        <f>SUM(B147:B158)</f>
        <v>1557523229</v>
      </c>
      <c r="N246" s="6">
        <f>SUM(N147:N158)</f>
        <v>1601223664.943572</v>
      </c>
      <c r="O246" s="38">
        <f t="shared" si="28"/>
        <v>43700435.943572044</v>
      </c>
      <c r="P246" s="5">
        <f t="shared" si="29"/>
        <v>2.8057646351528055E-2</v>
      </c>
      <c r="Q246" s="5">
        <f t="shared" si="30"/>
        <v>2.8057646351528055E-2</v>
      </c>
      <c r="R246" s="5"/>
      <c r="S246" s="5"/>
      <c r="T246" s="6"/>
      <c r="U246" s="61"/>
    </row>
    <row r="247" spans="1:21" x14ac:dyDescent="0.2">
      <c r="A247" s="55">
        <v>2009</v>
      </c>
      <c r="B247" s="6">
        <f>SUM(B159:B170)</f>
        <v>1450354846</v>
      </c>
      <c r="N247" s="27">
        <f>SUM(N159:N170)</f>
        <v>1444459368.9156191</v>
      </c>
      <c r="O247" s="38">
        <f t="shared" si="28"/>
        <v>-5895477.0843808651</v>
      </c>
      <c r="P247" s="5">
        <f t="shared" si="29"/>
        <v>-4.0648515090222718E-3</v>
      </c>
      <c r="Q247" s="5">
        <f t="shared" si="30"/>
        <v>4.0648515090222718E-3</v>
      </c>
      <c r="R247" s="5"/>
      <c r="S247" s="5"/>
      <c r="T247" s="6"/>
      <c r="U247" s="61"/>
    </row>
    <row r="248" spans="1:21" x14ac:dyDescent="0.2">
      <c r="A248" s="42">
        <v>2010</v>
      </c>
      <c r="B248" s="6">
        <f>SUM(B171:B182)</f>
        <v>1513165630</v>
      </c>
      <c r="N248" s="27">
        <f>SUM(N171:N182)</f>
        <v>1492411339.98773</v>
      </c>
      <c r="O248" s="38">
        <f t="shared" si="28"/>
        <v>-20754290.012269974</v>
      </c>
      <c r="P248" s="5">
        <f t="shared" si="29"/>
        <v>-1.3715808501591445E-2</v>
      </c>
      <c r="Q248" s="5">
        <f t="shared" si="30"/>
        <v>1.3715808501591445E-2</v>
      </c>
      <c r="R248" s="5"/>
      <c r="S248" s="5"/>
      <c r="T248" s="6"/>
      <c r="U248" s="61"/>
    </row>
    <row r="249" spans="1:21" x14ac:dyDescent="0.2">
      <c r="A249" s="42">
        <v>2011</v>
      </c>
      <c r="B249" s="6">
        <f>SUM(B183:B194)</f>
        <v>1519439267.71</v>
      </c>
      <c r="N249" s="6">
        <f>SUM(N183:N194)</f>
        <v>1537757751.8746831</v>
      </c>
      <c r="O249" s="38">
        <f t="shared" si="28"/>
        <v>18318484.164683104</v>
      </c>
      <c r="P249" s="5">
        <f t="shared" si="29"/>
        <v>1.2056081841488491E-2</v>
      </c>
      <c r="Q249" s="5">
        <f t="shared" si="30"/>
        <v>1.2056081841488491E-2</v>
      </c>
      <c r="R249" s="5"/>
      <c r="S249" s="5"/>
      <c r="T249" s="6"/>
      <c r="U249" s="61"/>
    </row>
    <row r="250" spans="1:21" x14ac:dyDescent="0.2">
      <c r="A250" s="42">
        <v>2012</v>
      </c>
      <c r="B250" s="6">
        <f>SUM(B195:B206)</f>
        <v>1526591336.2900002</v>
      </c>
      <c r="N250" s="6">
        <f>SUM(N195:N206)</f>
        <v>1511521114.71822</v>
      </c>
      <c r="O250" s="38">
        <f t="shared" si="28"/>
        <v>-15070221.571780205</v>
      </c>
      <c r="P250" s="5">
        <f t="shared" si="29"/>
        <v>-9.8718112788486155E-3</v>
      </c>
      <c r="Q250" s="5">
        <f t="shared" si="30"/>
        <v>9.8718112788486155E-3</v>
      </c>
      <c r="R250" s="5"/>
      <c r="S250" s="5"/>
      <c r="T250" s="6"/>
      <c r="U250" s="61"/>
    </row>
    <row r="251" spans="1:21" x14ac:dyDescent="0.2">
      <c r="A251" s="42">
        <v>2013</v>
      </c>
      <c r="N251" s="6">
        <f>SUM(N207:N218)</f>
        <v>1525605713.5900066</v>
      </c>
      <c r="O251" s="38"/>
      <c r="P251" s="5"/>
      <c r="Q251" s="5">
        <f>AVERAGE(Q234:Q250)</f>
        <v>1.4089702681538507E-2</v>
      </c>
      <c r="R251" s="6"/>
      <c r="S251" s="5"/>
      <c r="T251" s="6"/>
      <c r="U251" s="61"/>
    </row>
    <row r="252" spans="1:21" x14ac:dyDescent="0.2">
      <c r="A252" s="42">
        <v>2014</v>
      </c>
      <c r="N252" s="6">
        <f>SUM(N219:N230)</f>
        <v>1524552332.3854196</v>
      </c>
      <c r="O252" s="38"/>
      <c r="P252" s="5"/>
      <c r="Q252" s="5"/>
      <c r="R252" s="6"/>
      <c r="S252" s="5"/>
      <c r="T252" s="6"/>
      <c r="U252" s="61"/>
    </row>
    <row r="253" spans="1:21" x14ac:dyDescent="0.2">
      <c r="N253" s="6"/>
    </row>
    <row r="254" spans="1:21" x14ac:dyDescent="0.2">
      <c r="A254" s="42" t="s">
        <v>164</v>
      </c>
      <c r="B254" s="6">
        <f>SUM(B234:B252)</f>
        <v>24796003859.900002</v>
      </c>
      <c r="N254" s="6">
        <f>SUM(N234:N250)</f>
        <v>24796003859.899994</v>
      </c>
      <c r="O254" s="53">
        <f>N254-B254</f>
        <v>0</v>
      </c>
    </row>
    <row r="256" spans="1:21" x14ac:dyDescent="0.2">
      <c r="N256" s="6">
        <f>SUM(N234:N252)</f>
        <v>27846161905.87542</v>
      </c>
      <c r="O256" s="53">
        <f>N232-N256</f>
        <v>0</v>
      </c>
    </row>
    <row r="257" spans="2:19" x14ac:dyDescent="0.2">
      <c r="N257" s="17"/>
      <c r="O257" s="17" t="s">
        <v>79</v>
      </c>
      <c r="P257" s="17"/>
      <c r="Q257" s="17"/>
      <c r="R257" s="17"/>
      <c r="S257" s="17"/>
    </row>
    <row r="260" spans="2:19" x14ac:dyDescent="0.2">
      <c r="B260" s="433" t="s">
        <v>256</v>
      </c>
      <c r="C260" s="434"/>
      <c r="D260" s="434"/>
    </row>
    <row r="261" spans="2:19" x14ac:dyDescent="0.2">
      <c r="C261" s="173">
        <f>'Weather Analysis '!V8</f>
        <v>757.42</v>
      </c>
      <c r="D261" s="173">
        <f>'Weather Analysis '!V28</f>
        <v>0</v>
      </c>
      <c r="E261" s="10">
        <v>31</v>
      </c>
      <c r="F261" s="16">
        <v>0</v>
      </c>
      <c r="G261" s="16">
        <v>352</v>
      </c>
      <c r="H261" s="16">
        <f>H219</f>
        <v>693.7</v>
      </c>
      <c r="I261" s="16">
        <f>I219</f>
        <v>2887596.9127637479</v>
      </c>
      <c r="J261" s="174">
        <f>J219</f>
        <v>49.019486081370474</v>
      </c>
      <c r="K261" s="162">
        <v>147.1500314630903</v>
      </c>
      <c r="L261"/>
      <c r="M261" s="10"/>
      <c r="N261" s="10">
        <f t="shared" ref="N261:N272" si="31">$U$18+$U$19*C261+$U$20*D261+$U$21*E261+$U$22*F261+$U$23*G261+$U$24*H261+$U$25*I261+$U$26*J261</f>
        <v>136764311.97994682</v>
      </c>
    </row>
    <row r="262" spans="2:19" x14ac:dyDescent="0.2">
      <c r="C262" s="173">
        <f>'Weather Analysis '!V9</f>
        <v>673.42000000000007</v>
      </c>
      <c r="D262" s="173">
        <f>'Weather Analysis '!V29</f>
        <v>0</v>
      </c>
      <c r="E262" s="10">
        <v>28</v>
      </c>
      <c r="F262" s="16">
        <v>0</v>
      </c>
      <c r="G262" s="16">
        <v>304</v>
      </c>
      <c r="H262" s="16">
        <f t="shared" ref="H262:H272" si="32">H261</f>
        <v>693.7</v>
      </c>
      <c r="I262" s="16">
        <f t="shared" ref="I262:I272" si="33">I220</f>
        <v>2904324.506325237</v>
      </c>
      <c r="J262" s="174">
        <f t="shared" ref="J262:J272" si="34">J261</f>
        <v>49.019486081370474</v>
      </c>
      <c r="K262" s="162">
        <v>147.42913884643463</v>
      </c>
      <c r="L262"/>
      <c r="M262" s="10"/>
      <c r="N262" s="10">
        <f t="shared" si="31"/>
        <v>125230611.41697429</v>
      </c>
    </row>
    <row r="263" spans="2:19" x14ac:dyDescent="0.2">
      <c r="C263" s="173">
        <f>'Weather Analysis '!V10</f>
        <v>569.95000000000005</v>
      </c>
      <c r="D263" s="173">
        <f>'Weather Analysis '!V30</f>
        <v>0</v>
      </c>
      <c r="E263" s="10">
        <v>31</v>
      </c>
      <c r="F263" s="16">
        <v>1</v>
      </c>
      <c r="G263" s="16">
        <v>336</v>
      </c>
      <c r="H263" s="16">
        <f t="shared" si="32"/>
        <v>693.7</v>
      </c>
      <c r="I263" s="16">
        <f t="shared" si="33"/>
        <v>2921052.0998867261</v>
      </c>
      <c r="J263" s="174">
        <f t="shared" si="34"/>
        <v>49.019486081370474</v>
      </c>
      <c r="K263" s="162">
        <v>147.7087756277727</v>
      </c>
      <c r="L263"/>
      <c r="M263" s="10"/>
      <c r="N263" s="10">
        <f t="shared" si="31"/>
        <v>129480941.98969217</v>
      </c>
    </row>
    <row r="264" spans="2:19" x14ac:dyDescent="0.2">
      <c r="C264" s="173">
        <f>'Weather Analysis '!V11</f>
        <v>339.07</v>
      </c>
      <c r="D264" s="173">
        <f>'Weather Analysis '!V31</f>
        <v>0.39</v>
      </c>
      <c r="E264" s="10">
        <v>30</v>
      </c>
      <c r="F264" s="16">
        <v>1</v>
      </c>
      <c r="G264" s="16">
        <v>320</v>
      </c>
      <c r="H264" s="16">
        <f t="shared" si="32"/>
        <v>693.7</v>
      </c>
      <c r="I264" s="16">
        <f t="shared" si="33"/>
        <v>2937779.6934482153</v>
      </c>
      <c r="J264" s="174">
        <f t="shared" si="34"/>
        <v>49.019486081370474</v>
      </c>
      <c r="K264" s="162">
        <v>147.9889428112422</v>
      </c>
      <c r="L264"/>
      <c r="M264" s="10"/>
      <c r="N264" s="10">
        <f t="shared" si="31"/>
        <v>121281065.33065705</v>
      </c>
    </row>
    <row r="265" spans="2:19" x14ac:dyDescent="0.2">
      <c r="C265" s="173">
        <f>'Weather Analysis '!V12</f>
        <v>183.54000000000002</v>
      </c>
      <c r="D265" s="173">
        <f>'Weather Analysis '!V32</f>
        <v>9.1</v>
      </c>
      <c r="E265" s="10">
        <v>31</v>
      </c>
      <c r="F265" s="16">
        <v>1</v>
      </c>
      <c r="G265" s="16">
        <v>336</v>
      </c>
      <c r="H265" s="16">
        <f t="shared" si="32"/>
        <v>693.7</v>
      </c>
      <c r="I265" s="16">
        <f t="shared" si="33"/>
        <v>2954507.2870097044</v>
      </c>
      <c r="J265" s="174">
        <f t="shared" si="34"/>
        <v>49.019486081370474</v>
      </c>
      <c r="K265" s="162">
        <v>148.26964140288536</v>
      </c>
      <c r="L265"/>
      <c r="M265" s="10"/>
      <c r="N265" s="10">
        <f t="shared" si="31"/>
        <v>122757180.32104312</v>
      </c>
    </row>
    <row r="266" spans="2:19" x14ac:dyDescent="0.2">
      <c r="C266" s="173">
        <f>'Weather Analysis '!V13</f>
        <v>50.930000000000007</v>
      </c>
      <c r="D266" s="173">
        <f>'Weather Analysis '!V33</f>
        <v>41.88</v>
      </c>
      <c r="E266" s="10">
        <v>30</v>
      </c>
      <c r="F266" s="16">
        <v>0</v>
      </c>
      <c r="G266" s="16">
        <v>336</v>
      </c>
      <c r="H266" s="16">
        <f t="shared" si="32"/>
        <v>693.7</v>
      </c>
      <c r="I266" s="16">
        <f t="shared" si="33"/>
        <v>2971234.8805711935</v>
      </c>
      <c r="J266" s="174">
        <f t="shared" si="34"/>
        <v>49.019486081370474</v>
      </c>
      <c r="K266" s="162">
        <v>148.55087241065269</v>
      </c>
      <c r="L266"/>
      <c r="M266" s="10"/>
      <c r="N266" s="10">
        <f t="shared" si="31"/>
        <v>126064663.3230917</v>
      </c>
    </row>
    <row r="267" spans="2:19" x14ac:dyDescent="0.2">
      <c r="C267" s="173">
        <f>'Weather Analysis '!V14</f>
        <v>12.779999999999998</v>
      </c>
      <c r="D267" s="173">
        <f>'Weather Analysis '!V34</f>
        <v>81.13000000000001</v>
      </c>
      <c r="E267" s="10">
        <v>31</v>
      </c>
      <c r="F267" s="16">
        <v>0</v>
      </c>
      <c r="G267" s="16">
        <v>352</v>
      </c>
      <c r="H267" s="16">
        <f t="shared" si="32"/>
        <v>693.7</v>
      </c>
      <c r="I267" s="16">
        <f t="shared" si="33"/>
        <v>2987962.4741326827</v>
      </c>
      <c r="J267" s="174">
        <f t="shared" si="34"/>
        <v>49.019486081370474</v>
      </c>
      <c r="K267" s="162">
        <v>148.83263684440649</v>
      </c>
      <c r="L267"/>
      <c r="M267" s="10"/>
      <c r="N267" s="10">
        <f t="shared" si="31"/>
        <v>136013157.51455307</v>
      </c>
    </row>
    <row r="268" spans="2:19" x14ac:dyDescent="0.2">
      <c r="C268" s="173">
        <f>'Weather Analysis '!V15</f>
        <v>23.96</v>
      </c>
      <c r="D268" s="173">
        <f>'Weather Analysis '!V35</f>
        <v>55.989999999999995</v>
      </c>
      <c r="E268" s="10">
        <v>31</v>
      </c>
      <c r="F268" s="16">
        <v>0</v>
      </c>
      <c r="G268" s="16">
        <v>320</v>
      </c>
      <c r="H268" s="16">
        <f t="shared" si="32"/>
        <v>693.7</v>
      </c>
      <c r="I268" s="16">
        <f t="shared" si="33"/>
        <v>3004690.0676941718</v>
      </c>
      <c r="J268" s="174">
        <f t="shared" si="34"/>
        <v>49.019486081370474</v>
      </c>
      <c r="K268" s="162">
        <v>149.11493571592456</v>
      </c>
      <c r="L268"/>
      <c r="M268" s="10"/>
      <c r="N268" s="10">
        <f t="shared" si="31"/>
        <v>128004934.75401719</v>
      </c>
    </row>
    <row r="269" spans="2:19" x14ac:dyDescent="0.2">
      <c r="C269" s="173">
        <f>'Weather Analysis '!V16</f>
        <v>96.28</v>
      </c>
      <c r="D269" s="173">
        <f>'Weather Analysis '!V36</f>
        <v>13.15</v>
      </c>
      <c r="E269" s="10">
        <v>30</v>
      </c>
      <c r="F269" s="16">
        <v>1</v>
      </c>
      <c r="G269" s="16">
        <v>336</v>
      </c>
      <c r="H269" s="16">
        <f t="shared" si="32"/>
        <v>693.7</v>
      </c>
      <c r="I269" s="16">
        <f t="shared" si="33"/>
        <v>3021417.6612556609</v>
      </c>
      <c r="J269" s="174">
        <f t="shared" si="34"/>
        <v>49.019486081370474</v>
      </c>
      <c r="K269" s="162">
        <v>149.39777003890373</v>
      </c>
      <c r="L269"/>
      <c r="M269" s="10"/>
      <c r="N269" s="10">
        <f t="shared" si="31"/>
        <v>119798110.19685037</v>
      </c>
    </row>
    <row r="270" spans="2:19" x14ac:dyDescent="0.2">
      <c r="C270" s="173">
        <f>'Weather Analysis '!V17</f>
        <v>289.26</v>
      </c>
      <c r="D270" s="173">
        <f>'Weather Analysis '!V37</f>
        <v>1.35</v>
      </c>
      <c r="E270" s="10">
        <v>31</v>
      </c>
      <c r="F270" s="16">
        <v>1</v>
      </c>
      <c r="G270" s="16">
        <v>352</v>
      </c>
      <c r="H270" s="16">
        <f t="shared" si="32"/>
        <v>693.7</v>
      </c>
      <c r="I270" s="16">
        <f t="shared" si="33"/>
        <v>3038145.2548171501</v>
      </c>
      <c r="J270" s="174">
        <f t="shared" si="34"/>
        <v>49.019486081370474</v>
      </c>
      <c r="K270" s="162">
        <v>149.68114082896363</v>
      </c>
      <c r="L270"/>
      <c r="M270" s="10"/>
      <c r="N270" s="10">
        <f t="shared" si="31"/>
        <v>124815811.89551429</v>
      </c>
    </row>
    <row r="271" spans="2:19" x14ac:dyDescent="0.2">
      <c r="C271" s="173">
        <f>'Weather Analysis '!V18</f>
        <v>432.82000000000005</v>
      </c>
      <c r="D271" s="173">
        <f>'Weather Analysis '!V38</f>
        <v>0</v>
      </c>
      <c r="E271" s="10">
        <v>30</v>
      </c>
      <c r="F271" s="16">
        <v>1</v>
      </c>
      <c r="G271" s="16">
        <v>304</v>
      </c>
      <c r="H271" s="16">
        <f t="shared" si="32"/>
        <v>693.7</v>
      </c>
      <c r="I271" s="16">
        <f t="shared" si="33"/>
        <v>3054872.8483786392</v>
      </c>
      <c r="J271" s="174">
        <f t="shared" si="34"/>
        <v>49.019486081370474</v>
      </c>
      <c r="K271" s="162">
        <v>149.96504910365024</v>
      </c>
      <c r="L271"/>
      <c r="M271" s="10"/>
      <c r="N271" s="10">
        <f t="shared" si="31"/>
        <v>121076390.50284313</v>
      </c>
    </row>
    <row r="272" spans="2:19" x14ac:dyDescent="0.2">
      <c r="C272" s="173">
        <f>'Weather Analysis '!V19</f>
        <v>648.66999999999996</v>
      </c>
      <c r="D272" s="173">
        <f>'Weather Analysis '!V39</f>
        <v>0</v>
      </c>
      <c r="E272" s="10">
        <v>31</v>
      </c>
      <c r="F272" s="16">
        <v>0</v>
      </c>
      <c r="G272" s="16">
        <v>336</v>
      </c>
      <c r="H272" s="16">
        <f t="shared" si="32"/>
        <v>693.7</v>
      </c>
      <c r="I272" s="16">
        <f t="shared" si="33"/>
        <v>3071600.4419401283</v>
      </c>
      <c r="J272" s="174">
        <f t="shared" si="34"/>
        <v>49.019486081370474</v>
      </c>
      <c r="K272" s="162">
        <v>150.24949588243965</v>
      </c>
      <c r="L272"/>
      <c r="M272" s="10"/>
      <c r="N272" s="10">
        <f t="shared" si="31"/>
        <v>131970127.06948327</v>
      </c>
      <c r="O272" s="53">
        <f>SUM(N261:N272)</f>
        <v>1523257306.2946665</v>
      </c>
      <c r="P272" s="53"/>
    </row>
    <row r="274" spans="2:15" x14ac:dyDescent="0.2">
      <c r="B274" s="433" t="s">
        <v>243</v>
      </c>
      <c r="C274" s="434"/>
      <c r="D274" s="434"/>
      <c r="E274" s="295"/>
      <c r="F274" s="295"/>
      <c r="L274" s="295"/>
      <c r="M274" s="295"/>
      <c r="N274" s="295"/>
      <c r="O274" s="295"/>
    </row>
    <row r="275" spans="2:15" x14ac:dyDescent="0.2">
      <c r="C275" s="173">
        <f>'Weather Analysis '!W8</f>
        <v>726.22142857142808</v>
      </c>
      <c r="D275" s="173">
        <f>'Weather Analysis '!W28</f>
        <v>0</v>
      </c>
      <c r="E275" s="10">
        <v>31</v>
      </c>
      <c r="F275" s="16">
        <v>0</v>
      </c>
      <c r="G275" s="16">
        <v>352</v>
      </c>
      <c r="H275" s="16">
        <f>H261</f>
        <v>693.7</v>
      </c>
      <c r="I275" s="16">
        <f>I261</f>
        <v>2887596.9127637479</v>
      </c>
      <c r="J275" s="174">
        <f>J261</f>
        <v>49.019486081370474</v>
      </c>
      <c r="K275" s="162">
        <v>147.1500314630903</v>
      </c>
      <c r="L275"/>
      <c r="M275" s="10"/>
      <c r="N275" s="10">
        <f t="shared" ref="N275:N286" si="35">$U$18+$U$19*C275+$U$20*D275+$U$21*E275+$U$22*F275+$U$23*G275+$U$24*H275+$U$25*I275+$U$26*J275</f>
        <v>136090356.29276267</v>
      </c>
      <c r="O275" s="295"/>
    </row>
    <row r="276" spans="2:15" x14ac:dyDescent="0.2">
      <c r="C276" s="173">
        <f>'Weather Analysis '!W9</f>
        <v>630.53353383458671</v>
      </c>
      <c r="D276" s="173">
        <f>'Weather Analysis '!W29</f>
        <v>0</v>
      </c>
      <c r="E276" s="10">
        <v>28</v>
      </c>
      <c r="F276" s="16">
        <v>0</v>
      </c>
      <c r="G276" s="16">
        <v>304</v>
      </c>
      <c r="H276" s="16">
        <f t="shared" ref="H276:H286" si="36">H275</f>
        <v>693.7</v>
      </c>
      <c r="I276" s="16">
        <f t="shared" ref="I276:I286" si="37">I262</f>
        <v>2904324.506325237</v>
      </c>
      <c r="J276" s="174">
        <f t="shared" ref="J276:J286" si="38">J275</f>
        <v>49.019486081370474</v>
      </c>
      <c r="K276" s="162">
        <v>147.42913884643463</v>
      </c>
      <c r="L276"/>
      <c r="M276" s="10"/>
      <c r="N276" s="10">
        <f t="shared" si="35"/>
        <v>124304172.27402876</v>
      </c>
      <c r="O276" s="295"/>
    </row>
    <row r="277" spans="2:15" x14ac:dyDescent="0.2">
      <c r="C277" s="173">
        <f>'Weather Analysis '!W10</f>
        <v>530.42533834586538</v>
      </c>
      <c r="D277" s="173">
        <f>'Weather Analysis '!W30</f>
        <v>0</v>
      </c>
      <c r="E277" s="10">
        <v>31</v>
      </c>
      <c r="F277" s="16">
        <v>1</v>
      </c>
      <c r="G277" s="16">
        <v>336</v>
      </c>
      <c r="H277" s="16">
        <f t="shared" si="36"/>
        <v>693.7</v>
      </c>
      <c r="I277" s="16">
        <f t="shared" si="37"/>
        <v>2921052.0998867261</v>
      </c>
      <c r="J277" s="174">
        <f t="shared" si="38"/>
        <v>49.019486081370474</v>
      </c>
      <c r="K277" s="162">
        <v>147.7087756277727</v>
      </c>
      <c r="L277"/>
      <c r="M277" s="10"/>
      <c r="N277" s="10">
        <f t="shared" si="35"/>
        <v>128627124.99467941</v>
      </c>
      <c r="O277" s="295"/>
    </row>
    <row r="278" spans="2:15" x14ac:dyDescent="0.2">
      <c r="C278" s="173">
        <f>'Weather Analysis '!W11</f>
        <v>313.73496240601435</v>
      </c>
      <c r="D278" s="173">
        <f>'Weather Analysis '!W31</f>
        <v>0.83368421052631447</v>
      </c>
      <c r="E278" s="10">
        <v>30</v>
      </c>
      <c r="F278" s="16">
        <v>1</v>
      </c>
      <c r="G278" s="16">
        <v>320</v>
      </c>
      <c r="H278" s="16">
        <f t="shared" si="36"/>
        <v>693.7</v>
      </c>
      <c r="I278" s="16">
        <f t="shared" si="37"/>
        <v>2937779.6934482153</v>
      </c>
      <c r="J278" s="174">
        <f t="shared" si="38"/>
        <v>49.019486081370474</v>
      </c>
      <c r="K278" s="162">
        <v>147.9889428112422</v>
      </c>
      <c r="L278"/>
      <c r="M278" s="10"/>
      <c r="N278" s="10">
        <f t="shared" si="35"/>
        <v>120820022.98433836</v>
      </c>
      <c r="O278" s="295"/>
    </row>
    <row r="279" spans="2:15" x14ac:dyDescent="0.2">
      <c r="C279" s="173">
        <f>'Weather Analysis '!W12</f>
        <v>165.07270676691678</v>
      </c>
      <c r="D279" s="173">
        <f>'Weather Analysis '!W32</f>
        <v>12.99864661654135</v>
      </c>
      <c r="E279" s="10">
        <v>31</v>
      </c>
      <c r="F279" s="16">
        <v>1</v>
      </c>
      <c r="G279" s="16">
        <v>336</v>
      </c>
      <c r="H279" s="16">
        <f t="shared" si="36"/>
        <v>693.7</v>
      </c>
      <c r="I279" s="16">
        <f t="shared" si="37"/>
        <v>2954507.2870097044</v>
      </c>
      <c r="J279" s="174">
        <f t="shared" si="38"/>
        <v>49.019486081370474</v>
      </c>
      <c r="K279" s="162">
        <v>148.26964140288536</v>
      </c>
      <c r="L279"/>
      <c r="M279" s="10"/>
      <c r="N279" s="10">
        <f t="shared" si="35"/>
        <v>123116111.72680293</v>
      </c>
      <c r="O279" s="295"/>
    </row>
    <row r="280" spans="2:15" x14ac:dyDescent="0.2">
      <c r="C280" s="173">
        <f>'Weather Analysis '!W13</f>
        <v>53.228345864661833</v>
      </c>
      <c r="D280" s="173">
        <f>'Weather Analysis '!W33</f>
        <v>38.861729323308282</v>
      </c>
      <c r="E280" s="10">
        <v>30</v>
      </c>
      <c r="F280" s="16">
        <v>0</v>
      </c>
      <c r="G280" s="16">
        <v>336</v>
      </c>
      <c r="H280" s="16">
        <f t="shared" si="36"/>
        <v>693.7</v>
      </c>
      <c r="I280" s="16">
        <f t="shared" si="37"/>
        <v>2971234.8805711935</v>
      </c>
      <c r="J280" s="174">
        <f t="shared" si="38"/>
        <v>49.019486081370474</v>
      </c>
      <c r="K280" s="162">
        <v>148.55087241065269</v>
      </c>
      <c r="L280"/>
      <c r="M280" s="10"/>
      <c r="N280" s="10">
        <f t="shared" si="35"/>
        <v>125527585.89411737</v>
      </c>
      <c r="O280" s="295"/>
    </row>
    <row r="281" spans="2:15" x14ac:dyDescent="0.2">
      <c r="C281" s="173">
        <f>'Weather Analysis '!W14</f>
        <v>11.986240601503766</v>
      </c>
      <c r="D281" s="173">
        <f>'Weather Analysis '!W34</f>
        <v>89.536165413534036</v>
      </c>
      <c r="E281" s="10">
        <v>31</v>
      </c>
      <c r="F281" s="16">
        <v>0</v>
      </c>
      <c r="G281" s="16">
        <v>352</v>
      </c>
      <c r="H281" s="16">
        <f t="shared" si="36"/>
        <v>693.7</v>
      </c>
      <c r="I281" s="16">
        <f t="shared" si="37"/>
        <v>2987962.4741326827</v>
      </c>
      <c r="J281" s="174">
        <f t="shared" si="38"/>
        <v>49.019486081370474</v>
      </c>
      <c r="K281" s="162">
        <v>148.83263684440649</v>
      </c>
      <c r="L281"/>
      <c r="M281" s="10"/>
      <c r="N281" s="10">
        <f t="shared" si="35"/>
        <v>137630098.94128492</v>
      </c>
      <c r="O281" s="295"/>
    </row>
    <row r="282" spans="2:15" x14ac:dyDescent="0.2">
      <c r="C282" s="173">
        <f>'Weather Analysis '!W15</f>
        <v>22.50541353383457</v>
      </c>
      <c r="D282" s="173">
        <f>'Weather Analysis '!W35</f>
        <v>54.226390977443657</v>
      </c>
      <c r="E282" s="10">
        <v>31</v>
      </c>
      <c r="F282" s="16">
        <v>0</v>
      </c>
      <c r="G282" s="16">
        <v>320</v>
      </c>
      <c r="H282" s="16">
        <f t="shared" si="36"/>
        <v>693.7</v>
      </c>
      <c r="I282" s="16">
        <f t="shared" si="37"/>
        <v>3004690.0676941718</v>
      </c>
      <c r="J282" s="174">
        <f t="shared" si="38"/>
        <v>49.019486081370474</v>
      </c>
      <c r="K282" s="162">
        <v>149.11493571592456</v>
      </c>
      <c r="L282"/>
      <c r="M282" s="10"/>
      <c r="N282" s="10">
        <f t="shared" si="35"/>
        <v>127630681.72480981</v>
      </c>
      <c r="O282" s="295"/>
    </row>
    <row r="283" spans="2:15" x14ac:dyDescent="0.2">
      <c r="C283" s="173">
        <f>'Weather Analysis '!W16</f>
        <v>87.795263157894624</v>
      </c>
      <c r="D283" s="173">
        <f>'Weather Analysis '!W36</f>
        <v>17.517293233082682</v>
      </c>
      <c r="E283" s="10">
        <v>30</v>
      </c>
      <c r="F283" s="16">
        <v>1</v>
      </c>
      <c r="G283" s="16">
        <v>336</v>
      </c>
      <c r="H283" s="16">
        <f t="shared" si="36"/>
        <v>693.7</v>
      </c>
      <c r="I283" s="16">
        <f t="shared" si="37"/>
        <v>3021417.6612556609</v>
      </c>
      <c r="J283" s="174">
        <f t="shared" si="38"/>
        <v>49.019486081370474</v>
      </c>
      <c r="K283" s="162">
        <v>149.39777003890373</v>
      </c>
      <c r="L283"/>
      <c r="M283" s="10"/>
      <c r="N283" s="10">
        <f t="shared" si="35"/>
        <v>120463787.09944306</v>
      </c>
      <c r="O283" s="295"/>
    </row>
    <row r="284" spans="2:15" x14ac:dyDescent="0.2">
      <c r="C284" s="173">
        <f>'Weather Analysis '!W17</f>
        <v>288.84977443609023</v>
      </c>
      <c r="D284" s="173">
        <f>'Weather Analysis '!W37</f>
        <v>1.7096992481203017</v>
      </c>
      <c r="E284" s="10">
        <v>31</v>
      </c>
      <c r="F284" s="16">
        <v>1</v>
      </c>
      <c r="G284" s="16">
        <v>352</v>
      </c>
      <c r="H284" s="16">
        <f t="shared" si="36"/>
        <v>693.7</v>
      </c>
      <c r="I284" s="16">
        <f t="shared" si="37"/>
        <v>3038145.2548171501</v>
      </c>
      <c r="J284" s="174">
        <f t="shared" si="38"/>
        <v>49.019486081370474</v>
      </c>
      <c r="K284" s="162">
        <v>149.68114082896363</v>
      </c>
      <c r="L284"/>
      <c r="M284" s="10"/>
      <c r="N284" s="10">
        <f t="shared" si="35"/>
        <v>124876872.67689477</v>
      </c>
      <c r="O284" s="295"/>
    </row>
    <row r="285" spans="2:15" x14ac:dyDescent="0.2">
      <c r="C285" s="173">
        <f>'Weather Analysis '!W18</f>
        <v>411.68887218045074</v>
      </c>
      <c r="D285" s="173">
        <f>'Weather Analysis '!W38</f>
        <v>0</v>
      </c>
      <c r="E285" s="10">
        <v>30</v>
      </c>
      <c r="F285" s="16">
        <v>1</v>
      </c>
      <c r="G285" s="16">
        <v>304</v>
      </c>
      <c r="H285" s="16">
        <f t="shared" si="36"/>
        <v>693.7</v>
      </c>
      <c r="I285" s="16">
        <f t="shared" si="37"/>
        <v>3054872.8483786392</v>
      </c>
      <c r="J285" s="174">
        <f t="shared" si="38"/>
        <v>49.019486081370474</v>
      </c>
      <c r="K285" s="162">
        <v>149.96504910365024</v>
      </c>
      <c r="L285"/>
      <c r="M285" s="10"/>
      <c r="N285" s="10">
        <f t="shared" si="35"/>
        <v>120619913.07075281</v>
      </c>
      <c r="O285" s="295"/>
    </row>
    <row r="286" spans="2:15" x14ac:dyDescent="0.2">
      <c r="C286" s="173">
        <f>'Weather Analysis '!W19</f>
        <v>645.63368421052633</v>
      </c>
      <c r="D286" s="173">
        <f>'Weather Analysis '!W39</f>
        <v>0</v>
      </c>
      <c r="E286" s="10">
        <v>31</v>
      </c>
      <c r="F286" s="16">
        <v>0</v>
      </c>
      <c r="G286" s="16">
        <v>336</v>
      </c>
      <c r="H286" s="16">
        <f t="shared" si="36"/>
        <v>693.7</v>
      </c>
      <c r="I286" s="16">
        <f t="shared" si="37"/>
        <v>3071600.4419401283</v>
      </c>
      <c r="J286" s="174">
        <f t="shared" si="38"/>
        <v>49.019486081370474</v>
      </c>
      <c r="K286" s="162">
        <v>150.24949588243965</v>
      </c>
      <c r="L286"/>
      <c r="M286" s="10"/>
      <c r="N286" s="10">
        <f t="shared" si="35"/>
        <v>131904536.1721857</v>
      </c>
      <c r="O286" s="53">
        <f>SUM(N275:N286)</f>
        <v>1521611263.8521004</v>
      </c>
    </row>
  </sheetData>
  <mergeCells count="2">
    <mergeCell ref="B260:D260"/>
    <mergeCell ref="B274:D274"/>
  </mergeCells>
  <phoneticPr fontId="0" type="noConversion"/>
  <printOptions gridLines="1"/>
  <pageMargins left="0.38" right="0.75" top="0.73" bottom="0.74" header="0.5" footer="0.5"/>
  <pageSetup scale="15" orientation="landscape" r:id="rId1"/>
  <headerFooter alignWithMargins="0">
    <oddFooter>&amp;L&amp;Z&amp;F</oddFooter>
  </headerFooter>
  <rowBreaks count="1" manualBreakCount="1">
    <brk id="97" max="12" man="1"/>
  </rowBreaks>
  <ignoredErrors>
    <ignoredError sqref="I207:I230" formula="1"/>
  </ignoredError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U91"/>
  <sheetViews>
    <sheetView zoomScaleNormal="100" workbookViewId="0">
      <pane xSplit="1" ySplit="2" topLeftCell="B3" activePane="bottomRight" state="frozen"/>
      <selection activeCell="M35" sqref="M35"/>
      <selection pane="topRight" activeCell="M35" sqref="M35"/>
      <selection pane="bottomLeft" activeCell="M35" sqref="M35"/>
      <selection pane="bottomRight" activeCell="F27" sqref="F27"/>
    </sheetView>
  </sheetViews>
  <sheetFormatPr defaultRowHeight="12.75" x14ac:dyDescent="0.2"/>
  <cols>
    <col min="1" max="1" width="21.7109375" customWidth="1"/>
    <col min="2" max="5" width="18" style="1" customWidth="1"/>
    <col min="6" max="6" width="15.7109375" style="1" customWidth="1"/>
    <col min="7" max="7" width="15.7109375" style="6" customWidth="1"/>
    <col min="8" max="8" width="15" style="6" customWidth="1"/>
    <col min="9" max="10" width="14.140625" style="6" bestFit="1" customWidth="1"/>
    <col min="11" max="11" width="14.7109375" style="6" customWidth="1"/>
    <col min="12" max="13" width="12.5703125" style="6" customWidth="1"/>
    <col min="14" max="14" width="11.28515625" style="6" customWidth="1"/>
    <col min="15" max="15" width="16.85546875" style="6" bestFit="1" customWidth="1"/>
    <col min="16" max="17" width="12.7109375" style="6" bestFit="1" customWidth="1"/>
    <col min="18" max="18" width="11.7109375" style="6" bestFit="1" customWidth="1"/>
    <col min="19" max="19" width="10.7109375" style="6" bestFit="1" customWidth="1"/>
    <col min="20" max="20" width="10.140625" style="6" bestFit="1" customWidth="1"/>
    <col min="21" max="21" width="11.140625" style="6" bestFit="1" customWidth="1"/>
  </cols>
  <sheetData>
    <row r="2" spans="1:21" ht="38.25" x14ac:dyDescent="0.2">
      <c r="B2" s="2" t="s">
        <v>9</v>
      </c>
      <c r="C2" s="2" t="s">
        <v>10</v>
      </c>
      <c r="D2" s="2" t="s">
        <v>51</v>
      </c>
      <c r="E2" s="2" t="s">
        <v>11</v>
      </c>
      <c r="F2" s="2" t="s">
        <v>0</v>
      </c>
      <c r="G2" s="7" t="s">
        <v>3</v>
      </c>
      <c r="H2" s="50" t="s">
        <v>1</v>
      </c>
      <c r="I2" s="51" t="s">
        <v>75</v>
      </c>
      <c r="J2" s="51" t="s">
        <v>76</v>
      </c>
      <c r="K2" s="51" t="s">
        <v>77</v>
      </c>
      <c r="L2" s="184" t="s">
        <v>163</v>
      </c>
      <c r="M2" s="184" t="s">
        <v>162</v>
      </c>
      <c r="N2" s="52" t="s">
        <v>83</v>
      </c>
      <c r="O2" s="52" t="s">
        <v>2</v>
      </c>
      <c r="P2" s="283" t="s">
        <v>220</v>
      </c>
      <c r="R2" s="283" t="s">
        <v>225</v>
      </c>
    </row>
    <row r="4" spans="1:21" x14ac:dyDescent="0.2">
      <c r="A4" s="17"/>
      <c r="B4" s="42" t="s">
        <v>53</v>
      </c>
    </row>
    <row r="5" spans="1:21" x14ac:dyDescent="0.2">
      <c r="B5"/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</row>
    <row r="7" spans="1:21" x14ac:dyDescent="0.2">
      <c r="A7">
        <f>'Purchased Power Model'!A234</f>
        <v>1996</v>
      </c>
      <c r="B7" s="6">
        <f>'Purchased Power Model'!B234</f>
        <v>1126778593</v>
      </c>
      <c r="C7" s="6">
        <f>'Purchased Power Model'!N234</f>
        <v>1160636229.055681</v>
      </c>
      <c r="D7" s="38">
        <f>C7-B7</f>
        <v>33857636.05568099</v>
      </c>
      <c r="E7" s="5">
        <f>D7/B7</f>
        <v>3.004817118999082E-2</v>
      </c>
    </row>
    <row r="8" spans="1:21" x14ac:dyDescent="0.2">
      <c r="A8">
        <f>'Purchased Power Model'!A235</f>
        <v>1997</v>
      </c>
      <c r="B8" s="6">
        <f>'Purchased Power Model'!B235</f>
        <v>1202822244</v>
      </c>
      <c r="C8" s="6">
        <f>'Purchased Power Model'!N235</f>
        <v>1199638191.9534881</v>
      </c>
      <c r="D8" s="38">
        <f t="shared" ref="D8:D23" si="0">C8-B8</f>
        <v>-3184052.0465118885</v>
      </c>
      <c r="E8" s="5">
        <f t="shared" ref="E8:E23" si="1">D8/B8</f>
        <v>-2.6471509505205729E-3</v>
      </c>
    </row>
    <row r="9" spans="1:21" x14ac:dyDescent="0.2">
      <c r="A9">
        <f>'Purchased Power Model'!A236</f>
        <v>1998</v>
      </c>
      <c r="B9" s="6">
        <f>'Purchased Power Model'!B236</f>
        <v>1272551157</v>
      </c>
      <c r="C9" s="6">
        <f>'Purchased Power Model'!N236</f>
        <v>1275643895.298501</v>
      </c>
      <c r="D9" s="38">
        <f t="shared" si="0"/>
        <v>3092738.2985010147</v>
      </c>
      <c r="E9" s="5">
        <f t="shared" si="1"/>
        <v>2.4303449660853316E-3</v>
      </c>
    </row>
    <row r="10" spans="1:21" x14ac:dyDescent="0.2">
      <c r="A10">
        <f>'Purchased Power Model'!A237</f>
        <v>1999</v>
      </c>
      <c r="B10" s="6">
        <f>'Purchased Power Model'!B237</f>
        <v>1350815390.1000001</v>
      </c>
      <c r="C10" s="6">
        <f>'Purchased Power Model'!N237</f>
        <v>1379213967.0884619</v>
      </c>
      <c r="D10" s="38">
        <f t="shared" si="0"/>
        <v>28398576.988461733</v>
      </c>
      <c r="E10" s="5">
        <f t="shared" si="1"/>
        <v>2.1023285044420022E-2</v>
      </c>
      <c r="F10" s="24"/>
    </row>
    <row r="11" spans="1:21" x14ac:dyDescent="0.2">
      <c r="A11">
        <f>'Purchased Power Model'!A238</f>
        <v>2000</v>
      </c>
      <c r="B11" s="6">
        <f>'Purchased Power Model'!B238</f>
        <v>1392173591.8</v>
      </c>
      <c r="C11" s="6">
        <f>'Purchased Power Model'!N238</f>
        <v>1382039533.6418393</v>
      </c>
      <c r="D11" s="38">
        <f t="shared" si="0"/>
        <v>-10134058.158160686</v>
      </c>
      <c r="E11" s="5">
        <f>D11/B11</f>
        <v>-7.2793064154147149E-3</v>
      </c>
      <c r="F11" s="24"/>
      <c r="G11" s="27"/>
    </row>
    <row r="12" spans="1:21" x14ac:dyDescent="0.2">
      <c r="A12">
        <f>'Purchased Power Model'!A239</f>
        <v>2001</v>
      </c>
      <c r="B12" s="6">
        <f>'Purchased Power Model'!B239</f>
        <v>1420977730</v>
      </c>
      <c r="C12" s="6">
        <f>'Purchased Power Model'!N239</f>
        <v>1416590403.2563884</v>
      </c>
      <c r="D12" s="38">
        <f t="shared" si="0"/>
        <v>-4387326.7436115742</v>
      </c>
      <c r="E12" s="5">
        <f t="shared" si="1"/>
        <v>-3.087540818540185E-3</v>
      </c>
      <c r="F12" s="24">
        <f>1 +(B12-G12)/G12</f>
        <v>1.0449040451629705</v>
      </c>
      <c r="G12" s="27">
        <f>SUM(H12:O12)</f>
        <v>1359912172.393183</v>
      </c>
      <c r="H12" s="40">
        <v>351442094.83145243</v>
      </c>
      <c r="I12" s="40">
        <v>157136324.39708453</v>
      </c>
      <c r="J12" s="40">
        <v>412594902.20464599</v>
      </c>
      <c r="K12" s="40">
        <v>236352896.65000001</v>
      </c>
      <c r="L12" s="40">
        <v>202385954.30999994</v>
      </c>
      <c r="M12" s="40"/>
      <c r="N12" s="40">
        <v>0</v>
      </c>
      <c r="O12" s="40">
        <v>0</v>
      </c>
    </row>
    <row r="13" spans="1:21" x14ac:dyDescent="0.2">
      <c r="A13">
        <f>'Purchased Power Model'!A240</f>
        <v>2002</v>
      </c>
      <c r="B13" s="6">
        <f>'Purchased Power Model'!B240</f>
        <v>1519144756</v>
      </c>
      <c r="C13" s="6">
        <f>'Purchased Power Model'!N240</f>
        <v>1470575513.6215622</v>
      </c>
      <c r="D13" s="38">
        <f t="shared" si="0"/>
        <v>-48569242.378437757</v>
      </c>
      <c r="E13" s="5">
        <f t="shared" si="1"/>
        <v>-3.1971437999314505E-2</v>
      </c>
      <c r="F13" s="24">
        <f t="shared" ref="F13:F23" si="2">1 +(B13-G13)/G13</f>
        <v>1.0708358192216183</v>
      </c>
      <c r="G13" s="27">
        <f t="shared" ref="G13:G18" si="3">SUM(H13:O13)</f>
        <v>1418653288.1429515</v>
      </c>
      <c r="H13" s="40">
        <v>336178776.15744424</v>
      </c>
      <c r="I13" s="40">
        <v>154250737.98550725</v>
      </c>
      <c r="J13" s="40">
        <v>441910546</v>
      </c>
      <c r="K13" s="40">
        <v>247744953.00000003</v>
      </c>
      <c r="L13" s="40">
        <v>238568275.00000003</v>
      </c>
      <c r="M13" s="40"/>
      <c r="N13" s="40">
        <v>0</v>
      </c>
      <c r="O13" s="40">
        <v>0</v>
      </c>
    </row>
    <row r="14" spans="1:21" x14ac:dyDescent="0.2">
      <c r="A14">
        <f>'Purchased Power Model'!A241</f>
        <v>2003</v>
      </c>
      <c r="B14" s="6">
        <f>'Purchased Power Model'!B241</f>
        <v>1523717530</v>
      </c>
      <c r="C14" s="6">
        <f>'Purchased Power Model'!N241</f>
        <v>1500853265.2510455</v>
      </c>
      <c r="D14" s="38">
        <f t="shared" si="0"/>
        <v>-22864264.748954535</v>
      </c>
      <c r="E14" s="5">
        <f t="shared" si="1"/>
        <v>-1.5005579642412156E-2</v>
      </c>
      <c r="F14" s="24">
        <f t="shared" si="2"/>
        <v>1.0252026988302334</v>
      </c>
      <c r="G14" s="27">
        <f t="shared" si="3"/>
        <v>1486259772.5684657</v>
      </c>
      <c r="H14" s="40">
        <v>365784244.47617793</v>
      </c>
      <c r="I14" s="40">
        <v>163240286.81118345</v>
      </c>
      <c r="J14" s="40">
        <v>449831308.28111511</v>
      </c>
      <c r="K14" s="40">
        <v>263318946.99998927</v>
      </c>
      <c r="L14" s="40">
        <v>234671319.00000003</v>
      </c>
      <c r="M14" s="40"/>
      <c r="N14" s="40">
        <v>9413667</v>
      </c>
      <c r="O14" s="40">
        <v>0</v>
      </c>
    </row>
    <row r="15" spans="1:21" x14ac:dyDescent="0.2">
      <c r="A15">
        <f>'Purchased Power Model'!A242</f>
        <v>2004</v>
      </c>
      <c r="B15" s="6">
        <f>'Purchased Power Model'!B242</f>
        <v>1570405930</v>
      </c>
      <c r="C15" s="6">
        <f>'Purchased Power Model'!N242</f>
        <v>1539378098.2646749</v>
      </c>
      <c r="D15" s="38">
        <f t="shared" si="0"/>
        <v>-31027831.735325098</v>
      </c>
      <c r="E15" s="5">
        <f t="shared" si="1"/>
        <v>-1.9757841678122737E-2</v>
      </c>
      <c r="F15" s="24">
        <f t="shared" si="2"/>
        <v>1.027556024735508</v>
      </c>
      <c r="G15" s="27">
        <f t="shared" si="3"/>
        <v>1528292270.393939</v>
      </c>
      <c r="H15" s="40">
        <v>366465998.24624068</v>
      </c>
      <c r="I15" s="40">
        <v>165708926.22017771</v>
      </c>
      <c r="J15" s="40">
        <v>471517478.81872076</v>
      </c>
      <c r="K15" s="40">
        <v>269908983</v>
      </c>
      <c r="L15" s="40">
        <v>245172879.99999994</v>
      </c>
      <c r="M15" s="40"/>
      <c r="N15" s="40">
        <v>9518004.1088000014</v>
      </c>
      <c r="O15" s="40">
        <v>0</v>
      </c>
    </row>
    <row r="16" spans="1:21" x14ac:dyDescent="0.2">
      <c r="A16">
        <f>'Purchased Power Model'!A243</f>
        <v>2005</v>
      </c>
      <c r="B16" s="6">
        <f>'Purchased Power Model'!B243</f>
        <v>1640988662</v>
      </c>
      <c r="C16" s="6">
        <f>'Purchased Power Model'!N243</f>
        <v>1627237981.0482955</v>
      </c>
      <c r="D16" s="38">
        <f t="shared" si="0"/>
        <v>-13750680.951704502</v>
      </c>
      <c r="E16" s="5">
        <f t="shared" si="1"/>
        <v>-8.3795100296095177E-3</v>
      </c>
      <c r="F16" s="24">
        <f t="shared" si="2"/>
        <v>1.0260256517427355</v>
      </c>
      <c r="G16" s="27">
        <f t="shared" si="3"/>
        <v>1599364167.1752858</v>
      </c>
      <c r="H16" s="40">
        <v>394023308.39392865</v>
      </c>
      <c r="I16" s="40">
        <v>172872183.117248</v>
      </c>
      <c r="J16" s="40">
        <v>477342539.73255563</v>
      </c>
      <c r="K16" s="40">
        <v>288850781.60998058</v>
      </c>
      <c r="L16" s="40">
        <v>256341389.54000849</v>
      </c>
      <c r="M16" s="40"/>
      <c r="N16" s="40">
        <v>9541776.7200106587</v>
      </c>
      <c r="O16" s="40">
        <v>392188.06155365321</v>
      </c>
    </row>
    <row r="17" spans="1:18" x14ac:dyDescent="0.2">
      <c r="A17">
        <f>'Purchased Power Model'!A244</f>
        <v>2006</v>
      </c>
      <c r="B17" s="6">
        <f>'Purchased Power Model'!B244</f>
        <v>1599360044</v>
      </c>
      <c r="C17" s="6">
        <f>'Purchased Power Model'!N244</f>
        <v>1634026222.3421593</v>
      </c>
      <c r="D17" s="38">
        <f t="shared" si="0"/>
        <v>34666178.342159271</v>
      </c>
      <c r="E17" s="5">
        <f t="shared" si="1"/>
        <v>2.1675030880138252E-2</v>
      </c>
      <c r="F17" s="24">
        <f>1 +(B17-G17)/G17</f>
        <v>1.0245065110090628</v>
      </c>
      <c r="G17" s="27">
        <f>SUM(H17:O17)</f>
        <v>1561102859.5852938</v>
      </c>
      <c r="H17" s="40">
        <v>381579968.59043884</v>
      </c>
      <c r="I17" s="40">
        <v>166886949.87131989</v>
      </c>
      <c r="J17" s="40">
        <f>470126973.536552-[11]Usage_!$K$3</f>
        <v>457225682.57655203</v>
      </c>
      <c r="K17" s="40">
        <f>278109293.968225-[11]Usage_!$K$5</f>
        <v>248250590.658225</v>
      </c>
      <c r="L17" s="40">
        <v>252101813.91</v>
      </c>
      <c r="M17" s="40">
        <f>[11]Usage_!$K$13</f>
        <v>42759994.270000003</v>
      </c>
      <c r="N17" s="40">
        <v>9300557.8376790658</v>
      </c>
      <c r="O17" s="40">
        <v>2997301.8710786607</v>
      </c>
    </row>
    <row r="18" spans="1:18" x14ac:dyDescent="0.2">
      <c r="A18">
        <f>'Purchased Power Model'!A245</f>
        <v>2007</v>
      </c>
      <c r="B18" s="6">
        <f>'Purchased Power Model'!B245</f>
        <v>1609193923</v>
      </c>
      <c r="C18" s="6">
        <f>'Purchased Power Model'!N245</f>
        <v>1622797318.6380689</v>
      </c>
      <c r="D18" s="38">
        <f t="shared" si="0"/>
        <v>13603395.638068914</v>
      </c>
      <c r="E18" s="5">
        <f t="shared" si="1"/>
        <v>8.453546489106966E-3</v>
      </c>
      <c r="F18" s="24">
        <f t="shared" si="2"/>
        <v>1.0271955920185636</v>
      </c>
      <c r="G18" s="27">
        <f t="shared" si="3"/>
        <v>1566589591.6061511</v>
      </c>
      <c r="H18" s="40">
        <v>392558966.01605856</v>
      </c>
      <c r="I18" s="40">
        <v>169606274.12815455</v>
      </c>
      <c r="J18" s="40">
        <f>484236276.201269-[11]Usage_!$J$3</f>
        <v>471077396.07126898</v>
      </c>
      <c r="K18" s="40">
        <f>256451885.899981-[11]Usage_!$J$5</f>
        <v>226838923.199981</v>
      </c>
      <c r="L18" s="40">
        <v>252092348.47999129</v>
      </c>
      <c r="M18" s="40">
        <f>[11]Usage_!$J$13</f>
        <v>42771842.82</v>
      </c>
      <c r="N18" s="40">
        <v>9442831.8799843695</v>
      </c>
      <c r="O18" s="40">
        <v>2201009.0107126483</v>
      </c>
    </row>
    <row r="19" spans="1:18" x14ac:dyDescent="0.2">
      <c r="A19">
        <f>'Purchased Power Model'!A246</f>
        <v>2008</v>
      </c>
      <c r="B19" s="6">
        <f>'Purchased Power Model'!B246</f>
        <v>1557523229</v>
      </c>
      <c r="C19" s="6">
        <f>'Purchased Power Model'!N246</f>
        <v>1601223664.943572</v>
      </c>
      <c r="D19" s="38">
        <f t="shared" si="0"/>
        <v>43700435.943572044</v>
      </c>
      <c r="E19" s="5">
        <f t="shared" si="1"/>
        <v>2.8057646351528055E-2</v>
      </c>
      <c r="F19" s="24">
        <f t="shared" si="2"/>
        <v>1.025613649441417</v>
      </c>
      <c r="G19" s="27">
        <f>SUM(H19:O19)</f>
        <v>1518625683.1198361</v>
      </c>
      <c r="H19" s="40">
        <v>387314731.82075351</v>
      </c>
      <c r="I19" s="40">
        <v>170263597.24762118</v>
      </c>
      <c r="J19" s="40">
        <f>469318625.822253-[11]Usage_!$I$3</f>
        <v>456048382.432253</v>
      </c>
      <c r="K19" s="40">
        <f>249869850.91123-[11]Usage_!$I$5</f>
        <v>220203261.21123001</v>
      </c>
      <c r="L19" s="40">
        <v>230297755.10999835</v>
      </c>
      <c r="M19" s="40">
        <f>[11]Usage_!$I$13</f>
        <v>42936833.090000004</v>
      </c>
      <c r="N19" s="40">
        <v>9448889.9699905291</v>
      </c>
      <c r="O19" s="40">
        <v>2112232.2379896585</v>
      </c>
    </row>
    <row r="20" spans="1:18" x14ac:dyDescent="0.2">
      <c r="A20">
        <f>'Purchased Power Model'!A247</f>
        <v>2009</v>
      </c>
      <c r="B20" s="6">
        <f>'Purchased Power Model'!B247</f>
        <v>1450354846</v>
      </c>
      <c r="C20" s="27">
        <f>'Purchased Power Model'!N247</f>
        <v>1444459368.9156191</v>
      </c>
      <c r="D20" s="38">
        <f t="shared" si="0"/>
        <v>-5895477.0843808651</v>
      </c>
      <c r="E20" s="5">
        <f t="shared" si="1"/>
        <v>-4.0648515090222718E-3</v>
      </c>
      <c r="F20" s="24">
        <f t="shared" si="2"/>
        <v>1.025374190415405</v>
      </c>
      <c r="G20" s="27">
        <f>SUM(H20:P20)</f>
        <v>1414463967.9417174</v>
      </c>
      <c r="H20" s="89">
        <f>'[6]2009'!B$15</f>
        <v>379582713.77996522</v>
      </c>
      <c r="I20" s="89">
        <f>'[6]2009'!C$15</f>
        <v>160300294.19006816</v>
      </c>
      <c r="J20" s="89">
        <f>'[6]2009'!D$15-[11]Usage_!$H$3</f>
        <v>432461966.79929554</v>
      </c>
      <c r="K20" s="89">
        <f>'[6]2009'!E$15-[11]Usage_!$H$5</f>
        <v>193002685.32998714</v>
      </c>
      <c r="L20" s="89">
        <f>'[6]2009'!F$15</f>
        <v>180679078.79999399</v>
      </c>
      <c r="M20" s="89">
        <f>[11]Usage_!$H$13</f>
        <v>43206777.520000003</v>
      </c>
      <c r="N20" s="89">
        <f>'[6]2009'!G$15</f>
        <v>9470530.1599761229</v>
      </c>
      <c r="O20" s="89">
        <f>'[6]2009'!H$15</f>
        <v>2135656.9424311616</v>
      </c>
      <c r="P20" s="89">
        <f>'[6]2009'!$L$15</f>
        <v>13624264.42</v>
      </c>
      <c r="R20" s="6">
        <f>P20/Summary!J68*Summary!J67</f>
        <v>40648271.1389172</v>
      </c>
    </row>
    <row r="21" spans="1:18" x14ac:dyDescent="0.2">
      <c r="A21">
        <f>'Purchased Power Model'!A248</f>
        <v>2010</v>
      </c>
      <c r="B21" s="6">
        <f>'Purchased Power Model'!B248</f>
        <v>1513165630</v>
      </c>
      <c r="C21" s="27">
        <f>'Purchased Power Model'!N248</f>
        <v>1492411339.98773</v>
      </c>
      <c r="D21" s="38">
        <f t="shared" si="0"/>
        <v>-20754290.012269974</v>
      </c>
      <c r="E21" s="5">
        <f t="shared" si="1"/>
        <v>-1.3715808501591445E-2</v>
      </c>
      <c r="F21" s="24">
        <f t="shared" si="2"/>
        <v>1.0274097708961134</v>
      </c>
      <c r="G21" s="27">
        <f>SUM(H21:P21)</f>
        <v>1472796612.2808111</v>
      </c>
      <c r="H21" s="89">
        <f>'[6]2010'!B$15</f>
        <v>396266835.39498085</v>
      </c>
      <c r="I21" s="89">
        <f>'[6]2010'!C$15</f>
        <v>163479892.81864908</v>
      </c>
      <c r="J21" s="89">
        <f>'[6]2010'!D$15-[11]Usage_!$G$3</f>
        <v>426513755.5630784</v>
      </c>
      <c r="K21" s="89">
        <f>'[6]2010'!E$15-[11]Usage_!$G$5</f>
        <v>220917668.45862433</v>
      </c>
      <c r="L21" s="89">
        <f>'[6]2010'!F$15</f>
        <v>196557280.62270561</v>
      </c>
      <c r="M21" s="89">
        <f>[11]Usage_!$G$13</f>
        <v>43796746.469999999</v>
      </c>
      <c r="N21" s="89">
        <f>'[6]2010'!G$15</f>
        <v>9519205.9225450978</v>
      </c>
      <c r="O21" s="89">
        <f>'[6]2010'!H$15</f>
        <v>2130241.9105078499</v>
      </c>
      <c r="P21" s="89">
        <f>'[6]2010'!$L$15</f>
        <v>13614985.119719518</v>
      </c>
      <c r="R21" s="6">
        <f>P21/Summary!K68*Summary!K67</f>
        <v>36195843.353415474</v>
      </c>
    </row>
    <row r="22" spans="1:18" x14ac:dyDescent="0.2">
      <c r="A22">
        <v>2011</v>
      </c>
      <c r="B22" s="6">
        <f>'Purchased Power Model'!B249</f>
        <v>1519439267.71</v>
      </c>
      <c r="C22" s="27">
        <f>'Purchased Power Model'!N249</f>
        <v>1537757751.8746831</v>
      </c>
      <c r="D22" s="38">
        <f t="shared" si="0"/>
        <v>18318484.164683104</v>
      </c>
      <c r="E22" s="5">
        <f t="shared" si="1"/>
        <v>1.2056081841488491E-2</v>
      </c>
      <c r="F22" s="24">
        <f t="shared" si="2"/>
        <v>1.0309529175845538</v>
      </c>
      <c r="G22" s="27">
        <f>SUM(H22:P22)</f>
        <v>1473820231.5484335</v>
      </c>
      <c r="H22" s="89">
        <f>'[6]2011_V2'!B$14</f>
        <v>396556720.36740744</v>
      </c>
      <c r="I22" s="89">
        <f>'[6]2011_V2'!C$14</f>
        <v>158322069.2436029</v>
      </c>
      <c r="J22" s="89">
        <f>'[6]2011_V2'!D$14-[11]Usage_!$F$3</f>
        <v>437159036.08214176</v>
      </c>
      <c r="K22" s="89">
        <f>'[6]2011_V2'!E$14-[11]Usage_!$F$5</f>
        <v>240767174.87713027</v>
      </c>
      <c r="L22" s="89">
        <f>'[6]2011_V2'!F$14-[11]Usage_!$F$4</f>
        <v>169195800.19186977</v>
      </c>
      <c r="M22" s="89">
        <f>[11]Usage_!$F$13</f>
        <v>46753740.940000005</v>
      </c>
      <c r="N22" s="89">
        <f>'[6]2011_V2'!G$14</f>
        <v>9519485.5138937458</v>
      </c>
      <c r="O22" s="89">
        <f>'[6]2011_V2'!H$14</f>
        <v>2067610.5874618385</v>
      </c>
      <c r="P22" s="89">
        <f>'[6]2011_V2'!$L$14</f>
        <v>13478593.744925424</v>
      </c>
      <c r="R22" s="6">
        <f>P22/Summary!L68*Summary!L67</f>
        <v>37787891.162206046</v>
      </c>
    </row>
    <row r="23" spans="1:18" x14ac:dyDescent="0.2">
      <c r="A23">
        <v>2012</v>
      </c>
      <c r="B23" s="6">
        <f>'Purchased Power Model'!B250</f>
        <v>1526591336.2900002</v>
      </c>
      <c r="C23" s="27">
        <f>'Purchased Power Model'!N250</f>
        <v>1511521114.71822</v>
      </c>
      <c r="D23" s="38">
        <f t="shared" si="0"/>
        <v>-15070221.571780205</v>
      </c>
      <c r="E23" s="5">
        <f t="shared" si="1"/>
        <v>-9.8718112788486155E-3</v>
      </c>
      <c r="F23" s="24">
        <f t="shared" si="2"/>
        <v>1.0224135643396406</v>
      </c>
      <c r="G23" s="27">
        <f>SUM(H23:P23)</f>
        <v>1493125081.2150555</v>
      </c>
      <c r="H23" s="89">
        <f>'[6]2012_V2'!B$15</f>
        <v>399587578.13183582</v>
      </c>
      <c r="I23" s="89">
        <f>'[6]2012_V2'!C$15</f>
        <v>158595034.3760052</v>
      </c>
      <c r="J23" s="89">
        <f>'[6]2012_V2'!D$15-[11]Usage_!$E$3</f>
        <v>437401279.48903602</v>
      </c>
      <c r="K23" s="89">
        <f>'[6]2012_V2'!E$15</f>
        <v>226229939.17028835</v>
      </c>
      <c r="L23" s="89">
        <f>'[6]2012_V2'!F$15-[11]Usage_!$E$4</f>
        <v>201189505.21250001</v>
      </c>
      <c r="M23" s="89">
        <f>[11]Usage_!$E$13</f>
        <v>45452655.189999998</v>
      </c>
      <c r="N23" s="89">
        <f>'[6]2012_V2'!G$15</f>
        <v>9645171.1912231408</v>
      </c>
      <c r="O23" s="89">
        <f>'[6]2012_V2'!H$15</f>
        <v>2015389.596745051</v>
      </c>
      <c r="P23" s="89">
        <f>'[6]2012_V2'!$L$15</f>
        <v>13008528.857421884</v>
      </c>
      <c r="R23" s="6">
        <f>P23/Summary!M68*Summary!M67</f>
        <v>31782231.496466905</v>
      </c>
    </row>
    <row r="24" spans="1:18" x14ac:dyDescent="0.2">
      <c r="A24">
        <v>2013</v>
      </c>
      <c r="B24" s="6">
        <f>'Purchased Power Model'!B251</f>
        <v>0</v>
      </c>
      <c r="C24" s="90">
        <f>'Purchased Power Model'!N251</f>
        <v>1525605713.5900066</v>
      </c>
      <c r="G24" s="20">
        <f>C24/F27</f>
        <v>1479017830.7721155</v>
      </c>
      <c r="H24" s="107"/>
      <c r="I24" s="107"/>
      <c r="J24" s="107"/>
      <c r="K24" s="107"/>
      <c r="L24" s="107"/>
      <c r="M24" s="107"/>
      <c r="N24" s="107"/>
      <c r="O24" s="107"/>
      <c r="P24" s="107"/>
    </row>
    <row r="25" spans="1:18" x14ac:dyDescent="0.2">
      <c r="A25">
        <v>2014</v>
      </c>
      <c r="B25" s="6">
        <f>'Purchased Power Model'!B252</f>
        <v>0</v>
      </c>
      <c r="C25" s="90">
        <f>'Purchased Power Model'!N252</f>
        <v>1524552332.3854196</v>
      </c>
      <c r="G25" s="20">
        <f>C25/F27</f>
        <v>1477996616.9877765</v>
      </c>
      <c r="H25" s="107"/>
      <c r="I25" s="107"/>
      <c r="J25" s="107"/>
      <c r="K25" s="107"/>
      <c r="L25" s="107"/>
      <c r="M25" s="107"/>
      <c r="N25" s="107"/>
      <c r="O25" s="107"/>
      <c r="P25" s="107"/>
    </row>
    <row r="26" spans="1:18" x14ac:dyDescent="0.2">
      <c r="H26" s="56"/>
      <c r="I26" s="56"/>
      <c r="J26" s="56"/>
      <c r="K26" s="56"/>
      <c r="L26" s="56"/>
      <c r="M26" s="56"/>
      <c r="N26" s="56"/>
      <c r="O26" s="56"/>
    </row>
    <row r="27" spans="1:18" x14ac:dyDescent="0.2">
      <c r="A27" s="18" t="s">
        <v>16</v>
      </c>
      <c r="C27" s="59"/>
      <c r="D27" s="77"/>
      <c r="F27" s="24">
        <f>AVERAGE(F12:F23)</f>
        <v>1.0314992029498185</v>
      </c>
    </row>
    <row r="28" spans="1:18" x14ac:dyDescent="0.2">
      <c r="C28" s="59"/>
      <c r="D28" s="77"/>
    </row>
    <row r="29" spans="1:18" x14ac:dyDescent="0.2">
      <c r="C29" s="59"/>
      <c r="F29" s="24"/>
    </row>
    <row r="30" spans="1:18" x14ac:dyDescent="0.2">
      <c r="A30" s="21" t="s">
        <v>18</v>
      </c>
      <c r="B30" s="12"/>
    </row>
    <row r="33" spans="1:19" x14ac:dyDescent="0.2">
      <c r="A33">
        <f t="shared" ref="A33:A43" si="4">A11</f>
        <v>2000</v>
      </c>
      <c r="H33" s="27" t="e">
        <f>H11/'Rate Class Customer Model'!B4</f>
        <v>#DIV/0!</v>
      </c>
      <c r="I33" s="27" t="e">
        <f>I11/'Rate Class Customer Model'!C4</f>
        <v>#DIV/0!</v>
      </c>
      <c r="J33" s="27" t="e">
        <f>J11/'Rate Class Customer Model'!D4</f>
        <v>#DIV/0!</v>
      </c>
      <c r="K33" s="27" t="e">
        <f>K11/'Rate Class Customer Model'!E4</f>
        <v>#DIV/0!</v>
      </c>
      <c r="L33" s="27" t="e">
        <f>L11/'Rate Class Customer Model'!F4</f>
        <v>#DIV/0!</v>
      </c>
      <c r="M33" s="27"/>
      <c r="N33" s="27"/>
      <c r="O33" s="27"/>
    </row>
    <row r="34" spans="1:19" x14ac:dyDescent="0.2">
      <c r="A34">
        <f t="shared" si="4"/>
        <v>2001</v>
      </c>
      <c r="H34" s="27">
        <f>H12/'Rate Class Customer Model'!B5</f>
        <v>9373.9139493339135</v>
      </c>
      <c r="I34" s="27">
        <f>I12/'Rate Class Customer Model'!C5</f>
        <v>36999.370001668125</v>
      </c>
      <c r="J34" s="27">
        <f>J12/'Rate Class Customer Model'!D5</f>
        <v>728644.41890445189</v>
      </c>
      <c r="K34" s="27">
        <f>K12/'Rate Class Customer Model'!E5</f>
        <v>9454115.8660000004</v>
      </c>
      <c r="L34" s="27">
        <f>L12/'Rate Class Customer Model'!F5</f>
        <v>80954381.723999977</v>
      </c>
      <c r="M34" s="27"/>
      <c r="N34" s="27"/>
      <c r="O34" s="27"/>
    </row>
    <row r="35" spans="1:19" x14ac:dyDescent="0.2">
      <c r="A35">
        <f t="shared" si="4"/>
        <v>2002</v>
      </c>
      <c r="H35" s="27">
        <f>H13/'Rate Class Customer Model'!B6</f>
        <v>8792.7230825499519</v>
      </c>
      <c r="I35" s="27">
        <f>I13/'Rate Class Customer Model'!C6</f>
        <v>37948.394854666891</v>
      </c>
      <c r="J35" s="27">
        <f>J13/'Rate Class Customer Model'!D6</f>
        <v>739289.91384358029</v>
      </c>
      <c r="K35" s="27">
        <f>K13/'Rate Class Customer Model'!E6</f>
        <v>10112038.897959186</v>
      </c>
      <c r="L35" s="27">
        <f>L13/'Rate Class Customer Model'!F6</f>
        <v>79522758.333333343</v>
      </c>
      <c r="M35" s="27"/>
      <c r="N35" s="27" t="e">
        <f>N13/'Rate Class Customer Model'!H6</f>
        <v>#DIV/0!</v>
      </c>
      <c r="O35" s="27"/>
    </row>
    <row r="36" spans="1:19" x14ac:dyDescent="0.2">
      <c r="A36">
        <f t="shared" si="4"/>
        <v>2003</v>
      </c>
      <c r="H36" s="27">
        <f>H14/'Rate Class Customer Model'!B7</f>
        <v>9303.7585312801602</v>
      </c>
      <c r="I36" s="27">
        <f>I14/'Rate Class Customer Model'!C7</f>
        <v>39384.83305656154</v>
      </c>
      <c r="J36" s="27">
        <f>J14/'Rate Class Customer Model'!D7</f>
        <v>726413.09371193405</v>
      </c>
      <c r="K36" s="27">
        <f>K14/'Rate Class Customer Model'!E7</f>
        <v>10127651.807691894</v>
      </c>
      <c r="L36" s="27">
        <f>L14/'Rate Class Customer Model'!F7</f>
        <v>78223773.000000015</v>
      </c>
      <c r="M36" s="27"/>
      <c r="N36" s="27">
        <f>N14/'Rate Class Customer Model'!H7</f>
        <v>814.57768355470944</v>
      </c>
      <c r="O36" s="27"/>
    </row>
    <row r="37" spans="1:19" x14ac:dyDescent="0.2">
      <c r="A37">
        <f t="shared" si="4"/>
        <v>2004</v>
      </c>
      <c r="H37" s="27">
        <f>H15/'Rate Class Customer Model'!B8</f>
        <v>9040.8417088218848</v>
      </c>
      <c r="I37" s="27">
        <f>I15/'Rate Class Customer Model'!C8</f>
        <v>39520.373532119651</v>
      </c>
      <c r="J37" s="27">
        <f>J15/'Rate Class Customer Model'!D8</f>
        <v>748440.44256939797</v>
      </c>
      <c r="K37" s="27">
        <f>K15/'Rate Class Customer Model'!E8</f>
        <v>9996629</v>
      </c>
      <c r="L37" s="27">
        <f>L15/'Rate Class Customer Model'!F8</f>
        <v>81724293.333333313</v>
      </c>
      <c r="M37" s="27"/>
      <c r="N37" s="27">
        <f>N15/'Rate Class Customer Model'!H8</f>
        <v>811.32030079699962</v>
      </c>
      <c r="O37" s="27"/>
    </row>
    <row r="38" spans="1:19" x14ac:dyDescent="0.2">
      <c r="A38">
        <f t="shared" si="4"/>
        <v>2005</v>
      </c>
      <c r="H38" s="27">
        <f>H16/'Rate Class Customer Model'!B9</f>
        <v>9540.631445754274</v>
      </c>
      <c r="I38" s="27">
        <f>I16/'Rate Class Customer Model'!C9</f>
        <v>40305.941505536954</v>
      </c>
      <c r="J38" s="27">
        <f>J16/'Rate Class Customer Model'!D9</f>
        <v>753500.45735210041</v>
      </c>
      <c r="K38" s="27">
        <f>K16/'Rate Class Customer Model'!E9</f>
        <v>10135115.144209845</v>
      </c>
      <c r="L38" s="27">
        <f>L16/'Rate Class Customer Model'!F9</f>
        <v>85447129.846669495</v>
      </c>
      <c r="M38" s="27" t="e">
        <f>M16/'Rate Class Customer Model'!G9</f>
        <v>#DIV/0!</v>
      </c>
      <c r="N38" s="27">
        <f>N16/'Rate Class Customer Model'!H9</f>
        <v>802.20074152008567</v>
      </c>
      <c r="O38" s="27"/>
    </row>
    <row r="39" spans="1:19" x14ac:dyDescent="0.2">
      <c r="A39">
        <f t="shared" si="4"/>
        <v>2006</v>
      </c>
      <c r="F39" s="24"/>
      <c r="H39" s="27">
        <f>H17/'Rate Class Customer Model'!B10</f>
        <v>9076.7009262821593</v>
      </c>
      <c r="I39" s="27">
        <f>I17/'Rate Class Customer Model'!C10</f>
        <v>38347.185172637845</v>
      </c>
      <c r="J39" s="27">
        <f>J17/'Rate Class Customer Model'!D10</f>
        <v>706685.75359590736</v>
      </c>
      <c r="K39" s="27">
        <f>K17/'Rate Class Customer Model'!E10</f>
        <v>8415274.259600848</v>
      </c>
      <c r="L39" s="27">
        <f>L17/'Rate Class Customer Model'!F10</f>
        <v>100840725.564</v>
      </c>
      <c r="M39" s="27">
        <f>M17/'Rate Class Customer Model'!G10</f>
        <v>42759994.270000003</v>
      </c>
      <c r="N39" s="27">
        <f>N17/'Rate Class Customer Model'!H10</f>
        <v>771.68643512033566</v>
      </c>
      <c r="O39" s="27">
        <f>O17/'Rate Class Customer Model'!I10</f>
        <v>5808.7245563539936</v>
      </c>
    </row>
    <row r="40" spans="1:19" x14ac:dyDescent="0.2">
      <c r="A40">
        <f t="shared" si="4"/>
        <v>2007</v>
      </c>
      <c r="F40" s="24"/>
      <c r="H40" s="27">
        <f>H18/'Rate Class Customer Model'!B11</f>
        <v>9153.2256721902322</v>
      </c>
      <c r="I40" s="27">
        <f>I18/'Rate Class Customer Model'!C11</f>
        <v>38758.289334587418</v>
      </c>
      <c r="J40" s="27">
        <f>J18/'Rate Class Customer Model'!D11</f>
        <v>701008.02986795979</v>
      </c>
      <c r="K40" s="27">
        <f>K18/'Rate Class Customer Model'!E11</f>
        <v>7959260.4631572282</v>
      </c>
      <c r="L40" s="27">
        <f>L18/'Rate Class Customer Model'!F11</f>
        <v>126046174.23999564</v>
      </c>
      <c r="M40" s="27">
        <f>M18/'Rate Class Customer Model'!G11</f>
        <v>42771842.82</v>
      </c>
      <c r="N40" s="27">
        <f>N18/'Rate Class Customer Model'!H11</f>
        <v>771.64656111335228</v>
      </c>
      <c r="O40" s="27">
        <f>O18/'Rate Class Customer Model'!I11</f>
        <v>4528.8251249231444</v>
      </c>
    </row>
    <row r="41" spans="1:19" x14ac:dyDescent="0.2">
      <c r="A41">
        <f t="shared" si="4"/>
        <v>2008</v>
      </c>
      <c r="F41" s="24"/>
      <c r="H41" s="27">
        <f>H19/'Rate Class Customer Model'!B12</f>
        <v>8917.9326246403143</v>
      </c>
      <c r="I41" s="27">
        <f>I19/'Rate Class Customer Model'!C12</f>
        <v>38270.082546105004</v>
      </c>
      <c r="J41" s="27">
        <f>J19/'Rate Class Customer Model'!D12</f>
        <v>671152.88069500076</v>
      </c>
      <c r="K41" s="27">
        <f>K19/'Rate Class Customer Model'!E12</f>
        <v>7864402.1861153571</v>
      </c>
      <c r="L41" s="27">
        <f>L19/'Rate Class Customer Model'!F12</f>
        <v>115148877.55499917</v>
      </c>
      <c r="M41" s="27">
        <f>M19/'Rate Class Customer Model'!G12</f>
        <v>42936833.090000004</v>
      </c>
      <c r="N41" s="27">
        <f>N19/'Rate Class Customer Model'!H12</f>
        <v>764.13327160167637</v>
      </c>
      <c r="O41" s="27">
        <f>O19/'Rate Class Customer Model'!I12</f>
        <v>4621.9523807213536</v>
      </c>
    </row>
    <row r="42" spans="1:19" x14ac:dyDescent="0.2">
      <c r="A42">
        <f t="shared" si="4"/>
        <v>2009</v>
      </c>
      <c r="F42" s="24"/>
      <c r="H42" s="27">
        <f>H20/'Rate Class Customer Model'!B13</f>
        <v>8639.3480086025338</v>
      </c>
      <c r="I42" s="27">
        <f>I20/'Rate Class Customer Model'!C13</f>
        <v>35304.546677693681</v>
      </c>
      <c r="J42" s="27">
        <f>J20/'Rate Class Customer Model'!D13</f>
        <v>624043.24213462556</v>
      </c>
      <c r="K42" s="27">
        <f>K20/'Rate Class Customer Model'!E13</f>
        <v>7283120.2011315897</v>
      </c>
      <c r="L42" s="27">
        <f>L20/'Rate Class Customer Model'!F13</f>
        <v>90339539.399996996</v>
      </c>
      <c r="M42" s="27">
        <f>M20/'Rate Class Customer Model'!G13</f>
        <v>43206777.520000003</v>
      </c>
      <c r="N42" s="27">
        <f>N20/'Rate Class Customer Model'!H13</f>
        <v>760.10515349541492</v>
      </c>
      <c r="O42" s="27">
        <f>O20/'Rate Class Customer Model'!I13</f>
        <v>4288.4677558858666</v>
      </c>
      <c r="P42" s="27">
        <f>P20/'Rate Class Customer Model'!J13</f>
        <v>13624264.42</v>
      </c>
    </row>
    <row r="43" spans="1:19" x14ac:dyDescent="0.2">
      <c r="A43">
        <f t="shared" si="4"/>
        <v>2010</v>
      </c>
      <c r="F43" s="24"/>
      <c r="H43" s="27">
        <f>H21/'Rate Class Customer Model'!B14</f>
        <v>8821.5143507970934</v>
      </c>
      <c r="I43" s="27">
        <f>I21/'Rate Class Customer Model'!C14</f>
        <v>35508.230412391196</v>
      </c>
      <c r="J43" s="27">
        <f>J21/'Rate Class Customer Model'!D14</f>
        <v>602420.55870491301</v>
      </c>
      <c r="K43" s="27">
        <f>K21/'Rate Class Customer Model'!E14</f>
        <v>8496833.4022547826</v>
      </c>
      <c r="L43" s="27">
        <f>L21/'Rate Class Customer Model'!F14</f>
        <v>98278640.311352804</v>
      </c>
      <c r="M43" s="27">
        <f>M21/'Rate Class Customer Model'!G14</f>
        <v>43796746.469999999</v>
      </c>
      <c r="N43" s="27">
        <f>N21/'Rate Class Customer Model'!H14</f>
        <v>757.9890848863397</v>
      </c>
      <c r="O43" s="27">
        <f>O21/'Rate Class Customer Model'!I14</f>
        <v>3963.2407637355345</v>
      </c>
      <c r="P43" s="27">
        <f>P21/'Rate Class Customer Model'!J14</f>
        <v>13614985.119719518</v>
      </c>
      <c r="S43" s="25"/>
    </row>
    <row r="44" spans="1:19" x14ac:dyDescent="0.2">
      <c r="A44">
        <v>2011</v>
      </c>
      <c r="F44" s="24"/>
      <c r="H44" s="27">
        <f>H22/'Rate Class Customer Model'!B15</f>
        <v>8662.131701650429</v>
      </c>
      <c r="I44" s="27">
        <f>I22/'Rate Class Customer Model'!C15</f>
        <v>34198.524515304656</v>
      </c>
      <c r="J44" s="27">
        <f>J22/'Rate Class Customer Model'!D15</f>
        <v>604228.10792279441</v>
      </c>
      <c r="K44" s="27">
        <f>K22/'Rate Class Customer Model'!E15</f>
        <v>8598827.6741832234</v>
      </c>
      <c r="L44" s="27">
        <f>L22/'Rate Class Customer Model'!F15</f>
        <v>84597900.095934883</v>
      </c>
      <c r="M44" s="27">
        <f>M22/'Rate Class Customer Model'!G15</f>
        <v>46753740.940000005</v>
      </c>
      <c r="N44" s="27">
        <f>N22/'Rate Class Customer Model'!H15</f>
        <v>754.10825158583168</v>
      </c>
      <c r="O44" s="27">
        <f>O22/'Rate Class Customer Model'!I15</f>
        <v>4018.6794702854004</v>
      </c>
      <c r="P44" s="27">
        <f>P22/'Rate Class Customer Model'!J15</f>
        <v>13478593.744925424</v>
      </c>
      <c r="S44" s="25"/>
    </row>
    <row r="45" spans="1:19" x14ac:dyDescent="0.2">
      <c r="A45">
        <v>2012</v>
      </c>
      <c r="F45" s="24"/>
      <c r="H45" s="27">
        <f>H23/'Rate Class Customer Model'!B16</f>
        <v>8633.477980961592</v>
      </c>
      <c r="I45" s="27">
        <f>I23/'Rate Class Customer Model'!C16</f>
        <v>34025.967469642826</v>
      </c>
      <c r="J45" s="27">
        <f>J23/'Rate Class Customer Model'!D16</f>
        <v>593891.75762258796</v>
      </c>
      <c r="K45" s="27">
        <f>K23/'Rate Class Customer Model'!E16</f>
        <v>8378886.6359366057</v>
      </c>
      <c r="L45" s="27">
        <f>L23/'Rate Class Customer Model'!F16</f>
        <v>100594752.60625</v>
      </c>
      <c r="M45" s="27">
        <f>M23/'Rate Class Customer Model'!G16</f>
        <v>45452655.189999998</v>
      </c>
      <c r="N45" s="27">
        <f>N23/'Rate Class Customer Model'!H16</f>
        <v>758.14896959779446</v>
      </c>
      <c r="O45" s="27">
        <f>O23/'Rate Class Customer Model'!I16</f>
        <v>4108.8472920388404</v>
      </c>
      <c r="P45" s="27">
        <f>P23/'Rate Class Customer Model'!J16</f>
        <v>13008528.857421884</v>
      </c>
      <c r="S45" s="25"/>
    </row>
    <row r="46" spans="1:19" x14ac:dyDescent="0.2">
      <c r="A46">
        <v>2013</v>
      </c>
      <c r="H46" s="20">
        <f>H45*H64</f>
        <v>8569.1379285788425</v>
      </c>
      <c r="I46" s="20">
        <f t="shared" ref="I46:P46" si="5">I45*I64</f>
        <v>33767.807239866743</v>
      </c>
      <c r="J46" s="20">
        <f t="shared" si="5"/>
        <v>582953.36298319732</v>
      </c>
      <c r="K46" s="20">
        <f t="shared" si="5"/>
        <v>8287423.494096959</v>
      </c>
      <c r="L46" s="20">
        <f t="shared" si="5"/>
        <v>102600914.79005744</v>
      </c>
      <c r="M46" s="20">
        <f t="shared" si="5"/>
        <v>45917636.775405869</v>
      </c>
      <c r="N46" s="20">
        <f t="shared" si="5"/>
        <v>752.12553152998191</v>
      </c>
      <c r="O46" s="20">
        <f t="shared" si="5"/>
        <v>3878.4649435302435</v>
      </c>
      <c r="P46" s="20">
        <f t="shared" si="5"/>
        <v>12809530.880362736</v>
      </c>
    </row>
    <row r="47" spans="1:19" x14ac:dyDescent="0.2">
      <c r="A47">
        <v>2014</v>
      </c>
      <c r="H47" s="20">
        <f>H46*H64</f>
        <v>8505.2773634143068</v>
      </c>
      <c r="I47" s="20">
        <f t="shared" ref="I47:P47" si="6">I46*I64</f>
        <v>33511.605711317818</v>
      </c>
      <c r="J47" s="20">
        <f t="shared" si="6"/>
        <v>572216.43346897699</v>
      </c>
      <c r="K47" s="20">
        <f t="shared" si="6"/>
        <v>8196958.7553481599</v>
      </c>
      <c r="L47" s="20">
        <f t="shared" si="6"/>
        <v>104647085.88688931</v>
      </c>
      <c r="M47" s="20">
        <f t="shared" si="6"/>
        <v>46387375.131870836</v>
      </c>
      <c r="N47" s="20">
        <f t="shared" si="6"/>
        <v>746.1499492367094</v>
      </c>
      <c r="O47" s="20">
        <f t="shared" si="6"/>
        <v>3661.0000929795715</v>
      </c>
      <c r="P47" s="20">
        <f t="shared" si="6"/>
        <v>12613577.074962633</v>
      </c>
    </row>
    <row r="49" spans="1:18" x14ac:dyDescent="0.2">
      <c r="A49" s="39">
        <v>1999</v>
      </c>
      <c r="D49" s="6"/>
      <c r="H49" s="25"/>
      <c r="I49" s="25"/>
      <c r="J49" s="25"/>
      <c r="K49" s="25"/>
      <c r="L49" s="25"/>
      <c r="M49" s="25"/>
    </row>
    <row r="50" spans="1:18" x14ac:dyDescent="0.2">
      <c r="A50" s="39">
        <v>2000</v>
      </c>
      <c r="D50" s="6"/>
      <c r="H50" s="25"/>
      <c r="I50" s="25"/>
      <c r="J50" s="25"/>
      <c r="K50" s="25"/>
      <c r="L50" s="25"/>
      <c r="M50" s="25"/>
      <c r="N50" s="25"/>
      <c r="O50" s="25"/>
    </row>
    <row r="51" spans="1:18" x14ac:dyDescent="0.2">
      <c r="A51" s="39">
        <v>2001</v>
      </c>
      <c r="D51" s="6"/>
      <c r="H51" s="25"/>
      <c r="I51" s="25"/>
      <c r="J51" s="25"/>
      <c r="K51" s="25"/>
      <c r="L51" s="25"/>
      <c r="M51" s="25"/>
      <c r="N51" s="25"/>
      <c r="O51" s="25"/>
    </row>
    <row r="52" spans="1:18" x14ac:dyDescent="0.2">
      <c r="A52" s="39">
        <v>2002</v>
      </c>
      <c r="D52" s="6"/>
      <c r="H52" s="25">
        <f t="shared" ref="H52:M58" si="7">H35/H34</f>
        <v>0.93799912502661076</v>
      </c>
      <c r="I52" s="25">
        <f t="shared" si="7"/>
        <v>1.0256497570892689</v>
      </c>
      <c r="J52" s="25">
        <f t="shared" si="7"/>
        <v>1.0146099999710894</v>
      </c>
      <c r="K52" s="25">
        <f t="shared" si="7"/>
        <v>1.0695911750273006</v>
      </c>
      <c r="L52" s="25">
        <f t="shared" si="7"/>
        <v>0.98231567754358862</v>
      </c>
      <c r="M52" s="25"/>
      <c r="N52" s="25"/>
      <c r="O52" s="25"/>
    </row>
    <row r="53" spans="1:18" x14ac:dyDescent="0.2">
      <c r="A53" s="39">
        <v>2003</v>
      </c>
      <c r="D53" s="6"/>
      <c r="H53" s="25">
        <f t="shared" si="7"/>
        <v>1.0581202710391744</v>
      </c>
      <c r="I53" s="25">
        <f t="shared" si="7"/>
        <v>1.0378524100267181</v>
      </c>
      <c r="J53" s="25">
        <f t="shared" si="7"/>
        <v>0.98258217799198766</v>
      </c>
      <c r="K53" s="25">
        <f t="shared" si="7"/>
        <v>1.0015439922542089</v>
      </c>
      <c r="L53" s="25">
        <f t="shared" si="7"/>
        <v>0.98366523797013672</v>
      </c>
      <c r="M53" s="25"/>
      <c r="N53" s="25"/>
      <c r="O53" s="25"/>
    </row>
    <row r="54" spans="1:18" x14ac:dyDescent="0.2">
      <c r="A54" s="39">
        <v>2004</v>
      </c>
      <c r="D54" s="6"/>
      <c r="H54" s="25">
        <f t="shared" si="7"/>
        <v>0.97174079469342167</v>
      </c>
      <c r="I54" s="25">
        <f t="shared" si="7"/>
        <v>1.0034414383669841</v>
      </c>
      <c r="J54" s="25">
        <f t="shared" si="7"/>
        <v>1.0303234468763569</v>
      </c>
      <c r="K54" s="25">
        <f t="shared" si="7"/>
        <v>0.9870628641090935</v>
      </c>
      <c r="L54" s="25">
        <f t="shared" si="7"/>
        <v>1.0447500829873457</v>
      </c>
      <c r="M54" s="25"/>
      <c r="N54" s="25">
        <f>N37/N36</f>
        <v>0.99600113921179989</v>
      </c>
      <c r="O54" s="25"/>
    </row>
    <row r="55" spans="1:18" x14ac:dyDescent="0.2">
      <c r="A55" s="39">
        <v>2005</v>
      </c>
      <c r="D55" s="6"/>
      <c r="H55" s="25">
        <f t="shared" si="7"/>
        <v>1.0552813281140299</v>
      </c>
      <c r="I55" s="25">
        <f t="shared" si="7"/>
        <v>1.0198775442438277</v>
      </c>
      <c r="J55" s="25">
        <f t="shared" si="7"/>
        <v>1.0067607447365237</v>
      </c>
      <c r="K55" s="25">
        <f t="shared" si="7"/>
        <v>1.0138532843631434</v>
      </c>
      <c r="L55" s="25">
        <f t="shared" si="7"/>
        <v>1.0455536091104716</v>
      </c>
      <c r="M55" s="25"/>
      <c r="N55" s="25">
        <f>N38/N37</f>
        <v>0.98875960669546248</v>
      </c>
      <c r="O55" s="25"/>
    </row>
    <row r="56" spans="1:18" x14ac:dyDescent="0.2">
      <c r="A56" s="39">
        <v>2006</v>
      </c>
      <c r="D56" s="6"/>
      <c r="H56" s="25">
        <f t="shared" si="7"/>
        <v>0.95137318508634239</v>
      </c>
      <c r="I56" s="25">
        <f t="shared" si="7"/>
        <v>0.95140278927289101</v>
      </c>
      <c r="J56" s="25">
        <f t="shared" si="7"/>
        <v>0.93787037114654703</v>
      </c>
      <c r="K56" s="25">
        <f t="shared" si="7"/>
        <v>0.8303086980130131</v>
      </c>
      <c r="L56" s="25">
        <f t="shared" si="7"/>
        <v>1.1801534556509214</v>
      </c>
      <c r="M56" s="25"/>
      <c r="N56" s="25">
        <f>N39/N38</f>
        <v>0.96196175742504475</v>
      </c>
      <c r="O56" s="25"/>
    </row>
    <row r="57" spans="1:18" x14ac:dyDescent="0.2">
      <c r="A57" s="39">
        <v>2007</v>
      </c>
      <c r="D57" s="6"/>
      <c r="H57" s="25">
        <f t="shared" si="7"/>
        <v>1.0084308986855004</v>
      </c>
      <c r="I57" s="25">
        <f t="shared" si="7"/>
        <v>1.0107205824912258</v>
      </c>
      <c r="J57" s="25">
        <f t="shared" si="7"/>
        <v>0.99196570229545877</v>
      </c>
      <c r="K57" s="25">
        <f t="shared" si="7"/>
        <v>0.94581117829601802</v>
      </c>
      <c r="L57" s="25">
        <f t="shared" si="7"/>
        <v>1.2499530674241197</v>
      </c>
      <c r="M57" s="25">
        <f t="shared" si="7"/>
        <v>1.0002770942840913</v>
      </c>
      <c r="N57" s="25">
        <f>N40/N39</f>
        <v>0.99994832874446316</v>
      </c>
      <c r="O57" s="25">
        <f>O40/O39</f>
        <v>0.77965912843451923</v>
      </c>
    </row>
    <row r="58" spans="1:18" x14ac:dyDescent="0.2">
      <c r="A58" s="39">
        <v>2008</v>
      </c>
      <c r="D58" s="6"/>
      <c r="H58" s="25">
        <f t="shared" si="7"/>
        <v>0.97429397504479798</v>
      </c>
      <c r="I58" s="25">
        <f t="shared" si="7"/>
        <v>0.98740380969170527</v>
      </c>
      <c r="J58" s="25">
        <f t="shared" si="7"/>
        <v>0.95741111670492207</v>
      </c>
      <c r="K58" s="25">
        <f t="shared" si="7"/>
        <v>0.98808202376578047</v>
      </c>
      <c r="L58" s="25">
        <f t="shared" si="7"/>
        <v>0.91354520079088086</v>
      </c>
      <c r="M58" s="25">
        <f t="shared" ref="M58" si="8">M41/M40</f>
        <v>1.0038574505824858</v>
      </c>
      <c r="N58" s="25">
        <f>N41/N40</f>
        <v>0.99026330202154267</v>
      </c>
      <c r="O58" s="25">
        <f>O41/O40</f>
        <v>1.0205632262737876</v>
      </c>
    </row>
    <row r="59" spans="1:18" x14ac:dyDescent="0.2">
      <c r="A59" s="91">
        <v>2009</v>
      </c>
      <c r="D59" s="6"/>
      <c r="H59" s="25">
        <f t="shared" ref="H59:O59" si="9">H42/H41</f>
        <v>0.96876130065526067</v>
      </c>
      <c r="I59" s="25">
        <f t="shared" si="9"/>
        <v>0.92251033519881587</v>
      </c>
      <c r="J59" s="25">
        <f t="shared" si="9"/>
        <v>0.92980788741964182</v>
      </c>
      <c r="K59" s="25">
        <f t="shared" si="9"/>
        <v>0.92608694580625295</v>
      </c>
      <c r="L59" s="25">
        <f t="shared" si="9"/>
        <v>0.78454554936367171</v>
      </c>
      <c r="M59" s="25">
        <f t="shared" si="9"/>
        <v>1.0062870130508734</v>
      </c>
      <c r="N59" s="25">
        <f t="shared" si="9"/>
        <v>0.99472851365597759</v>
      </c>
      <c r="O59" s="25">
        <f t="shared" si="9"/>
        <v>0.92784767185692218</v>
      </c>
    </row>
    <row r="60" spans="1:18" x14ac:dyDescent="0.2">
      <c r="A60" s="91">
        <v>2010</v>
      </c>
      <c r="D60" s="6"/>
      <c r="H60" s="25">
        <f t="shared" ref="H60:P60" si="10">H43/H42</f>
        <v>1.0210856585489054</v>
      </c>
      <c r="I60" s="25">
        <f t="shared" si="10"/>
        <v>1.0057693343737566</v>
      </c>
      <c r="J60" s="25">
        <f t="shared" si="10"/>
        <v>0.9653506648742014</v>
      </c>
      <c r="K60" s="25">
        <f t="shared" si="10"/>
        <v>1.1666474213805529</v>
      </c>
      <c r="L60" s="25">
        <f t="shared" si="10"/>
        <v>1.0878806883905374</v>
      </c>
      <c r="M60" s="25">
        <f t="shared" si="10"/>
        <v>1.0136545464360749</v>
      </c>
      <c r="N60" s="99">
        <f t="shared" si="10"/>
        <v>0.99721608438076725</v>
      </c>
      <c r="O60" s="99">
        <f t="shared" si="10"/>
        <v>0.92416242568130258</v>
      </c>
      <c r="P60" s="99">
        <f t="shared" si="10"/>
        <v>0.99931891366796577</v>
      </c>
      <c r="R60" s="99"/>
    </row>
    <row r="61" spans="1:18" x14ac:dyDescent="0.2">
      <c r="A61" s="91">
        <v>2011</v>
      </c>
      <c r="D61" s="6"/>
      <c r="H61" s="25">
        <f>H44/H43</f>
        <v>0.98193250695871026</v>
      </c>
      <c r="I61" s="25">
        <f t="shared" ref="I61:P61" si="11">I44/I43</f>
        <v>0.96311542755367796</v>
      </c>
      <c r="J61" s="25">
        <f t="shared" si="11"/>
        <v>1.0030004773106802</v>
      </c>
      <c r="K61" s="25">
        <f t="shared" si="11"/>
        <v>1.0120037980150787</v>
      </c>
      <c r="L61" s="25">
        <f t="shared" si="11"/>
        <v>0.86079640324615303</v>
      </c>
      <c r="M61" s="25">
        <f t="shared" si="11"/>
        <v>1.0675163044822404</v>
      </c>
      <c r="N61" s="25">
        <f t="shared" si="11"/>
        <v>0.99488009342365402</v>
      </c>
      <c r="O61" s="25">
        <f t="shared" si="11"/>
        <v>1.0139882257613873</v>
      </c>
      <c r="P61" s="25">
        <f t="shared" si="11"/>
        <v>0.98998226045825433</v>
      </c>
      <c r="R61" s="25"/>
    </row>
    <row r="62" spans="1:18" x14ac:dyDescent="0.2">
      <c r="A62" s="91">
        <v>2012</v>
      </c>
      <c r="D62" s="6"/>
      <c r="H62" s="25">
        <f>H45/H44</f>
        <v>0.99669207053462627</v>
      </c>
      <c r="I62" s="25">
        <f t="shared" ref="I62:P62" si="12">I45/I44</f>
        <v>0.99495425466134935</v>
      </c>
      <c r="J62" s="25">
        <f t="shared" si="12"/>
        <v>0.98289329780479662</v>
      </c>
      <c r="K62" s="25">
        <f t="shared" si="12"/>
        <v>0.97442197395036068</v>
      </c>
      <c r="L62" s="25">
        <f t="shared" si="12"/>
        <v>1.1890927847165771</v>
      </c>
      <c r="M62" s="25">
        <f t="shared" si="12"/>
        <v>0.97217151560835069</v>
      </c>
      <c r="N62" s="25">
        <f t="shared" si="12"/>
        <v>1.0053582731702848</v>
      </c>
      <c r="O62" s="25">
        <f t="shared" si="12"/>
        <v>1.0224371767940568</v>
      </c>
      <c r="P62" s="25">
        <f t="shared" si="12"/>
        <v>0.96512507933696601</v>
      </c>
      <c r="R62" s="25"/>
    </row>
    <row r="63" spans="1:18" x14ac:dyDescent="0.2">
      <c r="A63" s="3"/>
      <c r="D63" s="6"/>
      <c r="E63" s="6"/>
      <c r="F63" s="6"/>
    </row>
    <row r="64" spans="1:18" x14ac:dyDescent="0.2">
      <c r="A64" t="s">
        <v>26</v>
      </c>
      <c r="D64" s="6"/>
      <c r="H64" s="25">
        <f>H66</f>
        <v>0.99254760914145701</v>
      </c>
      <c r="I64" s="25">
        <f t="shared" ref="I64:P64" si="13">I66</f>
        <v>0.99241284674693209</v>
      </c>
      <c r="J64" s="25">
        <f t="shared" si="13"/>
        <v>0.98158183793764342</v>
      </c>
      <c r="K64" s="25">
        <f t="shared" si="13"/>
        <v>0.98908409364946337</v>
      </c>
      <c r="L64" s="25">
        <f t="shared" si="13"/>
        <v>1.01994301026476</v>
      </c>
      <c r="M64" s="25">
        <f t="shared" si="13"/>
        <v>1.0102300203027121</v>
      </c>
      <c r="N64" s="25">
        <f t="shared" si="13"/>
        <v>0.99205507319886221</v>
      </c>
      <c r="O64" s="25">
        <f t="shared" si="13"/>
        <v>0.94393017502622267</v>
      </c>
      <c r="P64" s="25">
        <f t="shared" si="13"/>
        <v>0.98470249947244326</v>
      </c>
    </row>
    <row r="65" spans="1:20" x14ac:dyDescent="0.2">
      <c r="A65" s="3"/>
      <c r="D65" s="6"/>
      <c r="H65" s="12"/>
      <c r="I65" s="12"/>
      <c r="K65" s="11"/>
      <c r="L65" s="11"/>
      <c r="M65" s="11"/>
      <c r="N65" s="11"/>
      <c r="O65" s="11"/>
    </row>
    <row r="66" spans="1:20" x14ac:dyDescent="0.2">
      <c r="A66" t="s">
        <v>17</v>
      </c>
      <c r="D66" s="6"/>
      <c r="H66" s="25">
        <f>GEOMEAN(H51:H62)</f>
        <v>0.99254760914145701</v>
      </c>
      <c r="I66" s="25">
        <f t="shared" ref="I66:P66" si="14">GEOMEAN(I51:I62)</f>
        <v>0.99241284674693209</v>
      </c>
      <c r="J66" s="25">
        <f t="shared" si="14"/>
        <v>0.98158183793764342</v>
      </c>
      <c r="K66" s="25">
        <f t="shared" si="14"/>
        <v>0.98908409364946337</v>
      </c>
      <c r="L66" s="25">
        <f t="shared" si="14"/>
        <v>1.01994301026476</v>
      </c>
      <c r="M66" s="25">
        <f t="shared" si="14"/>
        <v>1.0102300203027121</v>
      </c>
      <c r="N66" s="25">
        <f t="shared" si="14"/>
        <v>0.99205507319886221</v>
      </c>
      <c r="O66" s="25">
        <f t="shared" si="14"/>
        <v>0.94393017502622267</v>
      </c>
      <c r="P66" s="25">
        <f t="shared" si="14"/>
        <v>0.98470249947244326</v>
      </c>
      <c r="R66" s="25"/>
    </row>
    <row r="67" spans="1:20" x14ac:dyDescent="0.2">
      <c r="D67" s="6"/>
      <c r="H67" s="25"/>
      <c r="I67" s="25"/>
      <c r="J67" s="25"/>
      <c r="K67" s="25"/>
      <c r="L67" s="25"/>
      <c r="M67" s="25"/>
      <c r="N67" s="25"/>
      <c r="O67" s="25"/>
    </row>
    <row r="68" spans="1:20" x14ac:dyDescent="0.2">
      <c r="A68" s="18" t="s">
        <v>55</v>
      </c>
    </row>
    <row r="69" spans="1:20" x14ac:dyDescent="0.2">
      <c r="A69" s="18">
        <v>2013</v>
      </c>
      <c r="G69" s="6">
        <f>SUM(H69:P69)</f>
        <v>1503554186.1161785</v>
      </c>
      <c r="H69" s="6">
        <f>H46*'Rate Class Customer Model'!B17</f>
        <v>404278742.57322395</v>
      </c>
      <c r="I69" s="6">
        <f>I46*'Rate Class Customer Model'!C17</f>
        <v>158728313.9644298</v>
      </c>
      <c r="J69" s="6">
        <f>J46*'Rate Class Customer Model'!D17</f>
        <v>439729049.86487174</v>
      </c>
      <c r="K69" s="6">
        <f>K46*'Rate Class Customer Model'!E17</f>
        <v>225331454.26451677</v>
      </c>
      <c r="L69" s="6">
        <f>L46*'Rate Class Customer Model'!F17</f>
        <v>205201829.58011487</v>
      </c>
      <c r="M69" s="6">
        <f>M46*'Rate Class Customer Model'!G17</f>
        <v>45917636.775405869</v>
      </c>
      <c r="N69" s="6">
        <f>N46*'Rate Class Customer Model'!H17</f>
        <v>9671242.7817682847</v>
      </c>
      <c r="O69" s="6">
        <f>O46*'Rate Class Customer Model'!I17</f>
        <v>1886385.4314845325</v>
      </c>
      <c r="P69" s="6">
        <f>P46*'Rate Class Customer Model'!J17</f>
        <v>12809530.880362736</v>
      </c>
    </row>
    <row r="70" spans="1:20" x14ac:dyDescent="0.2">
      <c r="A70" s="18">
        <v>2014</v>
      </c>
      <c r="G70" s="6">
        <f>SUM(H70:P70)</f>
        <v>1514150580.4617987</v>
      </c>
      <c r="H70" s="6">
        <f>H47*'Rate Class Customer Model'!B18</f>
        <v>409024981.35881215</v>
      </c>
      <c r="I70" s="6">
        <f>I47*'Rate Class Customer Model'!C18</f>
        <v>158861705.55792919</v>
      </c>
      <c r="J70" s="6">
        <f>J47*'Rate Class Customer Model'!D18</f>
        <v>442069208.21298075</v>
      </c>
      <c r="K70" s="6">
        <f>K47*'Rate Class Customer Model'!E18</f>
        <v>224436537.74199662</v>
      </c>
      <c r="L70" s="6">
        <f>L47*'Rate Class Customer Model'!F18</f>
        <v>209294171.77377862</v>
      </c>
      <c r="M70" s="6">
        <f>M47*'Rate Class Customer Model'!G18</f>
        <v>46387375.131870836</v>
      </c>
      <c r="N70" s="6">
        <f>N47*'Rate Class Customer Model'!H18</f>
        <v>9697384.8456954006</v>
      </c>
      <c r="O70" s="6">
        <f>O47*'Rate Class Customer Model'!I18</f>
        <v>1765638.7637725973</v>
      </c>
      <c r="P70" s="6">
        <f>P47*'Rate Class Customer Model'!J18</f>
        <v>12613577.074962633</v>
      </c>
    </row>
    <row r="72" spans="1:20" x14ac:dyDescent="0.2">
      <c r="A72" s="18" t="s">
        <v>54</v>
      </c>
      <c r="Q72" s="6" t="s">
        <v>25</v>
      </c>
    </row>
    <row r="73" spans="1:20" x14ac:dyDescent="0.2">
      <c r="A73" s="18">
        <v>2013</v>
      </c>
      <c r="G73" s="20">
        <f>G24</f>
        <v>1479017830.7721155</v>
      </c>
      <c r="H73" s="6">
        <f>H69+H81-H85</f>
        <v>391766292.46928155</v>
      </c>
      <c r="I73" s="6">
        <f t="shared" ref="I73:O73" si="15">I69+I81-I85</f>
        <v>153815663.60858503</v>
      </c>
      <c r="J73" s="6">
        <f t="shared" si="15"/>
        <v>430255218.6422714</v>
      </c>
      <c r="K73" s="6">
        <f t="shared" si="15"/>
        <v>222521423.61991799</v>
      </c>
      <c r="L73" s="6">
        <f t="shared" si="15"/>
        <v>204337521.74348557</v>
      </c>
      <c r="M73" s="6">
        <f t="shared" si="15"/>
        <v>45724232.197163619</v>
      </c>
      <c r="N73" s="6">
        <f t="shared" si="15"/>
        <v>9630507.6141368318</v>
      </c>
      <c r="O73" s="6">
        <f t="shared" si="15"/>
        <v>1878439.9969108177</v>
      </c>
      <c r="P73" s="6">
        <f>P69+P81-P85+P89</f>
        <v>44105573.673745506</v>
      </c>
      <c r="Q73" s="6">
        <f>SUM(H73:P73)</f>
        <v>1504034873.5654981</v>
      </c>
      <c r="R73" s="6">
        <f>G73-Q73</f>
        <v>-25017042.793382645</v>
      </c>
      <c r="S73" s="6">
        <f>P89</f>
        <v>31296042.793382771</v>
      </c>
      <c r="T73" s="6">
        <f>R73+S73</f>
        <v>6279000.0000001267</v>
      </c>
    </row>
    <row r="74" spans="1:20" x14ac:dyDescent="0.2">
      <c r="A74" s="18">
        <v>2014</v>
      </c>
      <c r="G74" s="20">
        <f>G25</f>
        <v>1477996616.9877765</v>
      </c>
      <c r="H74" s="6">
        <f>H70+H82-H86</f>
        <v>388674792.72807848</v>
      </c>
      <c r="I74" s="6">
        <f t="shared" ref="I74:O74" si="16">I70+I82-I86</f>
        <v>150957871.26506007</v>
      </c>
      <c r="J74" s="6">
        <f t="shared" si="16"/>
        <v>426160867.89426726</v>
      </c>
      <c r="K74" s="6">
        <f t="shared" si="16"/>
        <v>219340887.90272596</v>
      </c>
      <c r="L74" s="6">
        <f t="shared" si="16"/>
        <v>207072349.00780675</v>
      </c>
      <c r="M74" s="6">
        <f t="shared" si="16"/>
        <v>45894936.545319714</v>
      </c>
      <c r="N74" s="6">
        <f t="shared" si="16"/>
        <v>9594439.4543452542</v>
      </c>
      <c r="O74" s="6">
        <f t="shared" si="16"/>
        <v>1746895.1152104549</v>
      </c>
      <c r="P74" s="6">
        <f>P70+P82-P86+P90</f>
        <v>43430868.637203194</v>
      </c>
      <c r="Q74" s="6">
        <f>SUM(H74:P74)</f>
        <v>1492873908.5500174</v>
      </c>
      <c r="R74" s="6">
        <f>G74-Q74</f>
        <v>-14877291.562240839</v>
      </c>
      <c r="S74" s="6">
        <f>P90</f>
        <v>30817291.56224056</v>
      </c>
      <c r="T74" s="6">
        <f>R74+S74</f>
        <v>15939999.999999721</v>
      </c>
    </row>
    <row r="76" spans="1:20" x14ac:dyDescent="0.2">
      <c r="A76" t="s">
        <v>56</v>
      </c>
      <c r="H76" s="175">
        <f>(100%+J76)/2</f>
        <v>0.73977685635363388</v>
      </c>
      <c r="I76" s="58">
        <f>H76</f>
        <v>0.73977685635363388</v>
      </c>
      <c r="J76" s="58">
        <v>0.47955371270726771</v>
      </c>
      <c r="K76" s="58">
        <v>0.22849704086909819</v>
      </c>
      <c r="L76" s="58">
        <v>0</v>
      </c>
      <c r="M76" s="58">
        <v>0</v>
      </c>
      <c r="N76" s="58">
        <v>0</v>
      </c>
      <c r="O76" s="58">
        <v>0</v>
      </c>
      <c r="P76" s="108">
        <v>0</v>
      </c>
      <c r="Q76" s="6" t="s">
        <v>25</v>
      </c>
    </row>
    <row r="77" spans="1:20" x14ac:dyDescent="0.2">
      <c r="A77" s="18">
        <v>2013</v>
      </c>
      <c r="G77" s="6">
        <f>G73-G69</f>
        <v>-24536355.344063044</v>
      </c>
      <c r="H77" s="6">
        <f t="shared" ref="H77:P78" si="17">H69*H$76</f>
        <v>299076057.27141964</v>
      </c>
      <c r="I77" s="6">
        <f t="shared" si="17"/>
        <v>117423533.11891848</v>
      </c>
      <c r="J77" s="6">
        <f t="shared" si="17"/>
        <v>210873698.4479385</v>
      </c>
      <c r="K77" s="6">
        <f t="shared" si="17"/>
        <v>51487570.514172621</v>
      </c>
      <c r="L77" s="6">
        <f t="shared" si="17"/>
        <v>0</v>
      </c>
      <c r="M77" s="6">
        <f t="shared" si="17"/>
        <v>0</v>
      </c>
      <c r="N77" s="6">
        <f t="shared" si="17"/>
        <v>0</v>
      </c>
      <c r="O77" s="6">
        <f t="shared" si="17"/>
        <v>0</v>
      </c>
      <c r="P77" s="6">
        <f t="shared" si="17"/>
        <v>0</v>
      </c>
      <c r="Q77" s="6">
        <f>SUM(H77:P77)</f>
        <v>678860859.3524493</v>
      </c>
    </row>
    <row r="78" spans="1:20" x14ac:dyDescent="0.2">
      <c r="A78" s="18">
        <v>2014</v>
      </c>
      <c r="G78" s="6">
        <f>G74-G70</f>
        <v>-36153963.47402215</v>
      </c>
      <c r="H78" s="6">
        <f t="shared" si="17"/>
        <v>302587214.87972575</v>
      </c>
      <c r="I78" s="6">
        <f t="shared" si="17"/>
        <v>117522213.13262147</v>
      </c>
      <c r="J78" s="6">
        <f t="shared" si="17"/>
        <v>211995930.07209709</v>
      </c>
      <c r="K78" s="6">
        <f t="shared" si="17"/>
        <v>51283084.736951903</v>
      </c>
      <c r="L78" s="6">
        <f t="shared" si="17"/>
        <v>0</v>
      </c>
      <c r="M78" s="6">
        <f t="shared" si="17"/>
        <v>0</v>
      </c>
      <c r="N78" s="6">
        <f t="shared" si="17"/>
        <v>0</v>
      </c>
      <c r="O78" s="6">
        <f t="shared" si="17"/>
        <v>0</v>
      </c>
      <c r="P78" s="6">
        <f t="shared" si="17"/>
        <v>0</v>
      </c>
      <c r="Q78" s="6">
        <f>SUM(H78:P78)</f>
        <v>683388442.82139623</v>
      </c>
    </row>
    <row r="79" spans="1:20" ht="12" customHeight="1" x14ac:dyDescent="0.2"/>
    <row r="80" spans="1:20" x14ac:dyDescent="0.2">
      <c r="A80" t="s">
        <v>57</v>
      </c>
    </row>
    <row r="81" spans="1:17" x14ac:dyDescent="0.2">
      <c r="A81" s="18">
        <v>2013</v>
      </c>
      <c r="H81" s="6">
        <f>H77/$Q$77*$G$77</f>
        <v>-10809632.511605822</v>
      </c>
      <c r="I81" s="6">
        <f t="shared" ref="I81:P81" si="18">I77/$Q$77*$G$77</f>
        <v>-4244088.4529849039</v>
      </c>
      <c r="J81" s="6">
        <f t="shared" si="18"/>
        <v>-7621697.3280369267</v>
      </c>
      <c r="K81" s="6">
        <f t="shared" si="18"/>
        <v>-1860937.0514353903</v>
      </c>
      <c r="L81" s="6">
        <f t="shared" si="18"/>
        <v>0</v>
      </c>
      <c r="M81" s="6">
        <f t="shared" si="18"/>
        <v>0</v>
      </c>
      <c r="N81" s="6">
        <f t="shared" si="18"/>
        <v>0</v>
      </c>
      <c r="O81" s="6">
        <f t="shared" si="18"/>
        <v>0</v>
      </c>
      <c r="P81" s="6">
        <f t="shared" si="18"/>
        <v>0</v>
      </c>
      <c r="Q81" s="6">
        <f>SUM(H81:P81)</f>
        <v>-24536355.34406304</v>
      </c>
    </row>
    <row r="82" spans="1:17" x14ac:dyDescent="0.2">
      <c r="A82" s="18">
        <v>2014</v>
      </c>
      <c r="G82" s="26"/>
      <c r="H82" s="6">
        <f>H78/$Q$78*$G$78</f>
        <v>-16008065.733893011</v>
      </c>
      <c r="I82" s="6">
        <f t="shared" ref="I82:P82" si="19">I78/$Q$78*$G$78</f>
        <v>-6217391.9468718497</v>
      </c>
      <c r="J82" s="6">
        <f t="shared" si="19"/>
        <v>-11215426.882001089</v>
      </c>
      <c r="K82" s="6">
        <f t="shared" si="19"/>
        <v>-2713078.9112561974</v>
      </c>
      <c r="L82" s="6">
        <f t="shared" si="19"/>
        <v>0</v>
      </c>
      <c r="M82" s="6">
        <f t="shared" si="19"/>
        <v>0</v>
      </c>
      <c r="N82" s="6">
        <f t="shared" si="19"/>
        <v>0</v>
      </c>
      <c r="O82" s="6">
        <f t="shared" si="19"/>
        <v>0</v>
      </c>
      <c r="P82" s="6">
        <f t="shared" si="19"/>
        <v>0</v>
      </c>
      <c r="Q82" s="6">
        <f>SUM(H82:P82)</f>
        <v>-36153963.474022143</v>
      </c>
    </row>
    <row r="83" spans="1:17" x14ac:dyDescent="0.2">
      <c r="G83" s="26"/>
    </row>
    <row r="84" spans="1:17" x14ac:dyDescent="0.2">
      <c r="A84" s="176" t="s">
        <v>161</v>
      </c>
    </row>
    <row r="85" spans="1:17" x14ac:dyDescent="0.2">
      <c r="A85" s="18">
        <v>2013</v>
      </c>
      <c r="G85" s="6">
        <f>'CDM Activity'!R13*0.5+'CDM Activity'!R14*0.5</f>
        <v>6279000</v>
      </c>
      <c r="H85" s="6">
        <f>$G$85*H69/($G$69-$P$69)</f>
        <v>1702817.5923365774</v>
      </c>
      <c r="I85" s="6">
        <f t="shared" ref="I85:O85" si="20">$G$85*I69/($G$69-$P$69)</f>
        <v>668561.90285988129</v>
      </c>
      <c r="J85" s="6">
        <f t="shared" si="20"/>
        <v>1852133.8945634302</v>
      </c>
      <c r="K85" s="6">
        <f t="shared" si="20"/>
        <v>949093.59316340426</v>
      </c>
      <c r="L85" s="6">
        <f t="shared" si="20"/>
        <v>864307.83662928769</v>
      </c>
      <c r="M85" s="6">
        <f t="shared" si="20"/>
        <v>193404.57824225142</v>
      </c>
      <c r="N85" s="6">
        <f t="shared" si="20"/>
        <v>40735.167631452663</v>
      </c>
      <c r="O85" s="6">
        <f t="shared" si="20"/>
        <v>7945.4345737149197</v>
      </c>
      <c r="Q85" s="6">
        <f>SUM(H85:P85)</f>
        <v>6279000</v>
      </c>
    </row>
    <row r="86" spans="1:17" x14ac:dyDescent="0.2">
      <c r="A86" s="18">
        <v>2014</v>
      </c>
      <c r="G86" s="6">
        <f>'CDM Activity'!S13*0.5+'CDM Activity'!S14+'CDM Activity'!S15*0.5</f>
        <v>15940000</v>
      </c>
      <c r="H86" s="6">
        <f>$G$86*H70/($G$70-$P$70)</f>
        <v>4342122.8968406422</v>
      </c>
      <c r="I86" s="6">
        <f t="shared" ref="I86:O86" si="21">$G$86*I70/($G$70-$P$70)</f>
        <v>1686442.34599726</v>
      </c>
      <c r="J86" s="6">
        <f t="shared" si="21"/>
        <v>4692913.4367123721</v>
      </c>
      <c r="K86" s="6">
        <f t="shared" si="21"/>
        <v>2382570.9280144605</v>
      </c>
      <c r="L86" s="6">
        <f t="shared" si="21"/>
        <v>2221822.7659718553</v>
      </c>
      <c r="M86" s="6">
        <f t="shared" si="21"/>
        <v>492438.58655112219</v>
      </c>
      <c r="N86" s="6">
        <f t="shared" si="21"/>
        <v>102945.39135014689</v>
      </c>
      <c r="O86" s="6">
        <f t="shared" si="21"/>
        <v>18743.648562142349</v>
      </c>
      <c r="Q86" s="6">
        <f>SUM(H86:P86)</f>
        <v>15940000.000000002</v>
      </c>
    </row>
    <row r="88" spans="1:17" x14ac:dyDescent="0.2">
      <c r="A88" s="176" t="s">
        <v>221</v>
      </c>
    </row>
    <row r="89" spans="1:17" x14ac:dyDescent="0.2">
      <c r="A89" s="18">
        <v>2013</v>
      </c>
      <c r="G89" s="6">
        <f>G69+P89</f>
        <v>1534850228.9095614</v>
      </c>
      <c r="P89" s="6">
        <f>R23*P66</f>
        <v>31296042.793382771</v>
      </c>
    </row>
    <row r="90" spans="1:17" x14ac:dyDescent="0.2">
      <c r="A90" s="18">
        <v>2014</v>
      </c>
      <c r="G90" s="6">
        <f>G73+P89</f>
        <v>1510313873.5654984</v>
      </c>
      <c r="P90" s="6">
        <f>P89*P66</f>
        <v>30817291.56224056</v>
      </c>
    </row>
    <row r="91" spans="1:17" x14ac:dyDescent="0.2">
      <c r="G91" s="6">
        <f>G89-G90</f>
        <v>24536355.344063044</v>
      </c>
    </row>
  </sheetData>
  <phoneticPr fontId="0" type="noConversion"/>
  <pageMargins left="0.38" right="0.75" top="0.73" bottom="0.74" header="0.5" footer="0.5"/>
  <pageSetup scale="49" orientation="landscape" r:id="rId1"/>
  <headerFooter alignWithMargins="0">
    <oddFooter>&amp;L&amp;Z&amp;F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P99"/>
  <sheetViews>
    <sheetView zoomScaleNormal="100" workbookViewId="0">
      <pane xSplit="1" ySplit="2" topLeftCell="B46" activePane="bottomRight" state="frozen"/>
      <selection activeCell="M35" sqref="M35"/>
      <selection pane="topRight" activeCell="M35" sqref="M35"/>
      <selection pane="bottomLeft" activeCell="M35" sqref="M35"/>
      <selection pane="bottomRight" activeCell="B17" sqref="B17"/>
    </sheetView>
  </sheetViews>
  <sheetFormatPr defaultRowHeight="12.75" x14ac:dyDescent="0.2"/>
  <cols>
    <col min="1" max="1" width="11" customWidth="1"/>
    <col min="2" max="2" width="15" style="6" customWidth="1"/>
    <col min="3" max="3" width="14.140625" style="6" bestFit="1" customWidth="1"/>
    <col min="4" max="4" width="17.85546875" style="6" bestFit="1" customWidth="1"/>
    <col min="5" max="5" width="17.5703125" style="6" customWidth="1"/>
    <col min="6" max="7" width="12.5703125" style="6" customWidth="1"/>
    <col min="8" max="8" width="11.28515625" style="6" customWidth="1"/>
    <col min="9" max="9" width="11.5703125" style="6" customWidth="1"/>
    <col min="10" max="10" width="12.7109375" style="6" bestFit="1" customWidth="1"/>
    <col min="11" max="11" width="12.7109375" style="6" customWidth="1"/>
    <col min="12" max="12" width="12.7109375" style="6" bestFit="1" customWidth="1"/>
    <col min="13" max="13" width="11.7109375" style="6" bestFit="1" customWidth="1"/>
    <col min="14" max="14" width="10.7109375" style="6" bestFit="1" customWidth="1"/>
    <col min="15" max="16" width="9.140625" style="6" customWidth="1"/>
  </cols>
  <sheetData>
    <row r="2" spans="1:14" ht="38.25" x14ac:dyDescent="0.2">
      <c r="B2" s="9" t="str">
        <f>'Rate Class Energy Model'!H2</f>
        <v xml:space="preserve">Residential </v>
      </c>
      <c r="C2" s="9" t="str">
        <f>'Rate Class Energy Model'!I2</f>
        <v>General Service &lt; 50 kW</v>
      </c>
      <c r="D2" s="9" t="str">
        <f>'Rate Class Energy Model'!J2</f>
        <v>General Service &gt; 50 to 999 kW</v>
      </c>
      <c r="E2" s="9" t="str">
        <f>'Rate Class Energy Model'!K2</f>
        <v>General Service &gt; 1000 to 4999 kW</v>
      </c>
      <c r="F2" s="9" t="str">
        <f>'Rate Class Energy Model'!L2</f>
        <v>Large User</v>
      </c>
      <c r="G2" s="9" t="s">
        <v>162</v>
      </c>
      <c r="H2" s="9" t="str">
        <f>'Rate Class Energy Model'!N2</f>
        <v>Street Lights</v>
      </c>
      <c r="I2" s="9" t="str">
        <f>'Rate Class Energy Model'!O2</f>
        <v xml:space="preserve">Unmetered Loads </v>
      </c>
      <c r="J2" s="282" t="s">
        <v>220</v>
      </c>
      <c r="K2" s="282" t="s">
        <v>226</v>
      </c>
      <c r="L2" s="6" t="s">
        <v>12</v>
      </c>
    </row>
    <row r="3" spans="1:14" x14ac:dyDescent="0.2">
      <c r="A3" s="4"/>
      <c r="B3" s="41"/>
      <c r="C3" s="41"/>
      <c r="D3" s="41"/>
      <c r="E3" s="41"/>
      <c r="F3" s="41"/>
      <c r="G3" s="41"/>
      <c r="H3" s="41"/>
      <c r="I3" s="41"/>
      <c r="J3" s="89"/>
      <c r="K3" s="89"/>
      <c r="L3" s="40"/>
    </row>
    <row r="4" spans="1:14" x14ac:dyDescent="0.2">
      <c r="A4" s="4">
        <v>2000</v>
      </c>
      <c r="B4" s="40"/>
      <c r="C4" s="40"/>
      <c r="D4" s="40"/>
      <c r="E4" s="40"/>
      <c r="F4" s="40"/>
      <c r="G4" s="40"/>
      <c r="H4" s="40"/>
      <c r="I4" s="40"/>
      <c r="J4" s="89"/>
      <c r="K4" s="89"/>
      <c r="L4" s="40">
        <f t="shared" ref="L4" si="0">SUM(B4:I4)</f>
        <v>0</v>
      </c>
    </row>
    <row r="5" spans="1:14" x14ac:dyDescent="0.2">
      <c r="A5" s="4">
        <v>2001</v>
      </c>
      <c r="B5" s="41">
        <f>(B50+B51)/2</f>
        <v>37491.5</v>
      </c>
      <c r="C5" s="41">
        <f t="shared" ref="C5:J5" si="1">(C50+C51)/2</f>
        <v>4247</v>
      </c>
      <c r="D5" s="41">
        <f t="shared" si="1"/>
        <v>566.25000000000011</v>
      </c>
      <c r="E5" s="41">
        <f t="shared" si="1"/>
        <v>25</v>
      </c>
      <c r="F5" s="41">
        <f t="shared" si="1"/>
        <v>2.5</v>
      </c>
      <c r="G5" s="41">
        <f t="shared" si="1"/>
        <v>0</v>
      </c>
      <c r="H5" s="41">
        <f t="shared" si="1"/>
        <v>0</v>
      </c>
      <c r="I5" s="41">
        <f t="shared" si="1"/>
        <v>0</v>
      </c>
      <c r="J5" s="41">
        <f t="shared" si="1"/>
        <v>0</v>
      </c>
      <c r="K5" s="41">
        <f t="shared" ref="K5" si="2">(K50+K51)/2</f>
        <v>0</v>
      </c>
      <c r="L5" s="40">
        <f>SUM(B5:K5)</f>
        <v>42332.25</v>
      </c>
      <c r="N5" s="6">
        <f>B5+C5+D5+E5+F5+J5</f>
        <v>42332.25</v>
      </c>
    </row>
    <row r="6" spans="1:14" x14ac:dyDescent="0.2">
      <c r="A6" s="4">
        <v>2002</v>
      </c>
      <c r="B6" s="41">
        <f t="shared" ref="B6:J16" si="3">(B51+B52)/2</f>
        <v>38233.75</v>
      </c>
      <c r="C6" s="41">
        <f t="shared" si="3"/>
        <v>4064.75</v>
      </c>
      <c r="D6" s="41">
        <f t="shared" si="3"/>
        <v>597.74999999999989</v>
      </c>
      <c r="E6" s="41">
        <f t="shared" si="3"/>
        <v>24.5</v>
      </c>
      <c r="F6" s="41">
        <f t="shared" si="3"/>
        <v>3</v>
      </c>
      <c r="G6" s="41">
        <f t="shared" si="3"/>
        <v>0</v>
      </c>
      <c r="H6" s="41">
        <v>0</v>
      </c>
      <c r="I6" s="41">
        <f t="shared" si="3"/>
        <v>0</v>
      </c>
      <c r="J6" s="41">
        <f t="shared" si="3"/>
        <v>0</v>
      </c>
      <c r="K6" s="41">
        <f t="shared" ref="K6" si="4">(K51+K52)/2</f>
        <v>0</v>
      </c>
      <c r="L6" s="40">
        <f t="shared" ref="L6:L18" si="5">SUM(B6:K6)</f>
        <v>42923.75</v>
      </c>
      <c r="N6" s="6">
        <f t="shared" ref="N6:N16" si="6">B6+C6+D6+E6+F6+J6</f>
        <v>42923.75</v>
      </c>
    </row>
    <row r="7" spans="1:14" x14ac:dyDescent="0.2">
      <c r="A7" s="4">
        <v>2003</v>
      </c>
      <c r="B7" s="41">
        <f t="shared" si="3"/>
        <v>39315.75</v>
      </c>
      <c r="C7" s="41">
        <f t="shared" si="3"/>
        <v>4144.75</v>
      </c>
      <c r="D7" s="41">
        <f t="shared" si="3"/>
        <v>619.24999999999989</v>
      </c>
      <c r="E7" s="41">
        <f t="shared" si="3"/>
        <v>26</v>
      </c>
      <c r="F7" s="41">
        <f t="shared" si="3"/>
        <v>3</v>
      </c>
      <c r="G7" s="41">
        <f t="shared" si="3"/>
        <v>0</v>
      </c>
      <c r="H7" s="41">
        <f t="shared" si="3"/>
        <v>11556.5</v>
      </c>
      <c r="I7" s="41">
        <f t="shared" si="3"/>
        <v>0</v>
      </c>
      <c r="J7" s="41">
        <f t="shared" si="3"/>
        <v>0</v>
      </c>
      <c r="K7" s="41">
        <f t="shared" ref="K7" si="7">(K52+K53)/2</f>
        <v>0</v>
      </c>
      <c r="L7" s="40">
        <f t="shared" si="5"/>
        <v>55665.25</v>
      </c>
      <c r="N7" s="6">
        <f t="shared" si="6"/>
        <v>44108.75</v>
      </c>
    </row>
    <row r="8" spans="1:14" x14ac:dyDescent="0.2">
      <c r="A8" s="4">
        <v>2004</v>
      </c>
      <c r="B8" s="41">
        <f t="shared" si="3"/>
        <v>40534.5</v>
      </c>
      <c r="C8" s="41">
        <f t="shared" si="3"/>
        <v>4193</v>
      </c>
      <c r="D8" s="41">
        <f t="shared" si="3"/>
        <v>630</v>
      </c>
      <c r="E8" s="41">
        <f t="shared" si="3"/>
        <v>27</v>
      </c>
      <c r="F8" s="41">
        <f t="shared" si="3"/>
        <v>3</v>
      </c>
      <c r="G8" s="41">
        <f t="shared" si="3"/>
        <v>0</v>
      </c>
      <c r="H8" s="41">
        <f t="shared" si="3"/>
        <v>11731.5</v>
      </c>
      <c r="I8" s="41">
        <f t="shared" si="3"/>
        <v>0</v>
      </c>
      <c r="J8" s="41">
        <f t="shared" si="3"/>
        <v>0</v>
      </c>
      <c r="K8" s="41">
        <f t="shared" ref="K8" si="8">(K53+K54)/2</f>
        <v>0</v>
      </c>
      <c r="L8" s="40">
        <f t="shared" si="5"/>
        <v>57119</v>
      </c>
      <c r="N8" s="6">
        <f t="shared" si="6"/>
        <v>45387.5</v>
      </c>
    </row>
    <row r="9" spans="1:14" x14ac:dyDescent="0.2">
      <c r="A9" s="4">
        <v>2005</v>
      </c>
      <c r="B9" s="41">
        <f t="shared" si="3"/>
        <v>41299.5</v>
      </c>
      <c r="C9" s="41">
        <f t="shared" si="3"/>
        <v>4289</v>
      </c>
      <c r="D9" s="41">
        <f t="shared" si="3"/>
        <v>633.5</v>
      </c>
      <c r="E9" s="41">
        <f t="shared" si="3"/>
        <v>28.5</v>
      </c>
      <c r="F9" s="41">
        <f t="shared" si="3"/>
        <v>3</v>
      </c>
      <c r="G9" s="41">
        <f t="shared" si="3"/>
        <v>0</v>
      </c>
      <c r="H9" s="41">
        <f t="shared" si="3"/>
        <v>11894.5</v>
      </c>
      <c r="I9" s="41">
        <f t="shared" si="3"/>
        <v>0</v>
      </c>
      <c r="J9" s="41">
        <f t="shared" si="3"/>
        <v>0</v>
      </c>
      <c r="K9" s="41">
        <f t="shared" ref="K9" si="9">(K54+K55)/2</f>
        <v>0</v>
      </c>
      <c r="L9" s="40">
        <f t="shared" si="5"/>
        <v>58148</v>
      </c>
      <c r="N9" s="6">
        <f t="shared" si="6"/>
        <v>46253.5</v>
      </c>
    </row>
    <row r="10" spans="1:14" x14ac:dyDescent="0.2">
      <c r="A10" s="4">
        <v>2006</v>
      </c>
      <c r="B10" s="41">
        <f t="shared" si="3"/>
        <v>42039.5</v>
      </c>
      <c r="C10" s="41">
        <f t="shared" si="3"/>
        <v>4352</v>
      </c>
      <c r="D10" s="41">
        <f t="shared" si="3"/>
        <v>647</v>
      </c>
      <c r="E10" s="41">
        <f t="shared" si="3"/>
        <v>29.5</v>
      </c>
      <c r="F10" s="41">
        <f t="shared" si="3"/>
        <v>2.5</v>
      </c>
      <c r="G10" s="41">
        <v>1</v>
      </c>
      <c r="H10" s="41">
        <f t="shared" si="3"/>
        <v>12052.25</v>
      </c>
      <c r="I10" s="41">
        <f>I56</f>
        <v>516</v>
      </c>
      <c r="J10" s="41">
        <f t="shared" si="3"/>
        <v>0</v>
      </c>
      <c r="K10" s="41">
        <f t="shared" ref="K10" si="10">(K55+K56)/2</f>
        <v>0</v>
      </c>
      <c r="L10" s="40">
        <f t="shared" si="5"/>
        <v>59639.75</v>
      </c>
      <c r="N10" s="6">
        <f t="shared" si="6"/>
        <v>47070.5</v>
      </c>
    </row>
    <row r="11" spans="1:14" x14ac:dyDescent="0.2">
      <c r="A11" s="4">
        <v>2007</v>
      </c>
      <c r="B11" s="41">
        <f t="shared" si="3"/>
        <v>42887.5</v>
      </c>
      <c r="C11" s="41">
        <f t="shared" si="3"/>
        <v>4376</v>
      </c>
      <c r="D11" s="41">
        <f t="shared" si="3"/>
        <v>672</v>
      </c>
      <c r="E11" s="41">
        <f t="shared" si="3"/>
        <v>28.5</v>
      </c>
      <c r="F11" s="41">
        <f t="shared" si="3"/>
        <v>2</v>
      </c>
      <c r="G11" s="41">
        <v>1</v>
      </c>
      <c r="H11" s="41">
        <f t="shared" si="3"/>
        <v>12237.25</v>
      </c>
      <c r="I11" s="41">
        <f t="shared" si="3"/>
        <v>486</v>
      </c>
      <c r="J11" s="41">
        <f t="shared" si="3"/>
        <v>0</v>
      </c>
      <c r="K11" s="41">
        <f t="shared" ref="K11" si="11">(K56+K57)/2</f>
        <v>0</v>
      </c>
      <c r="L11" s="40">
        <f t="shared" si="5"/>
        <v>60690.25</v>
      </c>
      <c r="N11" s="6">
        <f t="shared" si="6"/>
        <v>47966</v>
      </c>
    </row>
    <row r="12" spans="1:14" x14ac:dyDescent="0.2">
      <c r="A12" s="4">
        <v>2008</v>
      </c>
      <c r="B12" s="41">
        <f t="shared" si="3"/>
        <v>43431</v>
      </c>
      <c r="C12" s="41">
        <f t="shared" si="3"/>
        <v>4449</v>
      </c>
      <c r="D12" s="41">
        <f t="shared" si="3"/>
        <v>679.5</v>
      </c>
      <c r="E12" s="41">
        <f t="shared" si="3"/>
        <v>28</v>
      </c>
      <c r="F12" s="41">
        <f t="shared" si="3"/>
        <v>2</v>
      </c>
      <c r="G12" s="41">
        <v>1</v>
      </c>
      <c r="H12" s="41">
        <f t="shared" si="3"/>
        <v>12365.5</v>
      </c>
      <c r="I12" s="41">
        <f t="shared" si="3"/>
        <v>457</v>
      </c>
      <c r="J12" s="41">
        <f t="shared" si="3"/>
        <v>0</v>
      </c>
      <c r="K12" s="41">
        <f t="shared" ref="K12" si="12">(K57+K58)/2</f>
        <v>0</v>
      </c>
      <c r="L12" s="40">
        <f t="shared" si="5"/>
        <v>61413</v>
      </c>
      <c r="N12" s="6">
        <f t="shared" si="6"/>
        <v>48589.5</v>
      </c>
    </row>
    <row r="13" spans="1:14" x14ac:dyDescent="0.2">
      <c r="A13" s="4">
        <v>2009</v>
      </c>
      <c r="B13" s="41">
        <f t="shared" si="3"/>
        <v>43936.5</v>
      </c>
      <c r="C13" s="41">
        <f t="shared" si="3"/>
        <v>4540.5</v>
      </c>
      <c r="D13" s="41">
        <f t="shared" si="3"/>
        <v>693</v>
      </c>
      <c r="E13" s="41">
        <f t="shared" si="3"/>
        <v>26.5</v>
      </c>
      <c r="F13" s="41">
        <f t="shared" si="3"/>
        <v>2</v>
      </c>
      <c r="G13" s="41">
        <v>1</v>
      </c>
      <c r="H13" s="41">
        <f t="shared" si="3"/>
        <v>12459.5</v>
      </c>
      <c r="I13" s="41">
        <f t="shared" si="3"/>
        <v>498</v>
      </c>
      <c r="J13" s="41">
        <v>1</v>
      </c>
      <c r="K13" s="41">
        <v>1</v>
      </c>
      <c r="L13" s="40">
        <f t="shared" si="5"/>
        <v>62159</v>
      </c>
      <c r="N13" s="6">
        <f t="shared" si="6"/>
        <v>49199.5</v>
      </c>
    </row>
    <row r="14" spans="1:14" x14ac:dyDescent="0.2">
      <c r="A14" s="4">
        <v>2010</v>
      </c>
      <c r="B14" s="41">
        <f t="shared" si="3"/>
        <v>44920.5</v>
      </c>
      <c r="C14" s="41">
        <f t="shared" si="3"/>
        <v>4604</v>
      </c>
      <c r="D14" s="41">
        <f t="shared" si="3"/>
        <v>708</v>
      </c>
      <c r="E14" s="41">
        <f t="shared" si="3"/>
        <v>26</v>
      </c>
      <c r="F14" s="41">
        <f t="shared" si="3"/>
        <v>2</v>
      </c>
      <c r="G14" s="41">
        <v>1</v>
      </c>
      <c r="H14" s="41">
        <f t="shared" si="3"/>
        <v>12558.5</v>
      </c>
      <c r="I14" s="41">
        <f t="shared" si="3"/>
        <v>537.5</v>
      </c>
      <c r="J14" s="41">
        <v>1</v>
      </c>
      <c r="K14" s="41">
        <v>1</v>
      </c>
      <c r="L14" s="40">
        <f t="shared" si="5"/>
        <v>63359.5</v>
      </c>
      <c r="N14" s="6">
        <f t="shared" si="6"/>
        <v>50261.5</v>
      </c>
    </row>
    <row r="15" spans="1:14" x14ac:dyDescent="0.2">
      <c r="A15" s="4">
        <v>2011</v>
      </c>
      <c r="B15" s="41">
        <f t="shared" si="3"/>
        <v>45780.5</v>
      </c>
      <c r="C15" s="41">
        <f t="shared" si="3"/>
        <v>4629.5</v>
      </c>
      <c r="D15" s="41">
        <f t="shared" si="3"/>
        <v>723.5</v>
      </c>
      <c r="E15" s="41">
        <f t="shared" si="3"/>
        <v>28</v>
      </c>
      <c r="F15" s="41">
        <f t="shared" si="3"/>
        <v>2</v>
      </c>
      <c r="G15" s="41">
        <v>1</v>
      </c>
      <c r="H15" s="41">
        <f t="shared" si="3"/>
        <v>12623.5</v>
      </c>
      <c r="I15" s="41">
        <f t="shared" si="3"/>
        <v>514.5</v>
      </c>
      <c r="J15" s="41">
        <v>1</v>
      </c>
      <c r="K15" s="41">
        <v>1</v>
      </c>
      <c r="L15" s="40">
        <f t="shared" si="5"/>
        <v>64304.5</v>
      </c>
      <c r="N15" s="6">
        <f t="shared" si="6"/>
        <v>51164.5</v>
      </c>
    </row>
    <row r="16" spans="1:14" x14ac:dyDescent="0.2">
      <c r="A16" s="4">
        <v>2012</v>
      </c>
      <c r="B16" s="41">
        <f t="shared" si="3"/>
        <v>46283.5</v>
      </c>
      <c r="C16" s="41">
        <f t="shared" si="3"/>
        <v>4661</v>
      </c>
      <c r="D16" s="41">
        <f t="shared" si="3"/>
        <v>736.5</v>
      </c>
      <c r="E16" s="41">
        <f t="shared" si="3"/>
        <v>27</v>
      </c>
      <c r="F16" s="41">
        <f t="shared" si="3"/>
        <v>2</v>
      </c>
      <c r="G16" s="41">
        <v>1</v>
      </c>
      <c r="H16" s="41">
        <f t="shared" si="3"/>
        <v>12722</v>
      </c>
      <c r="I16" s="41">
        <f t="shared" si="3"/>
        <v>490.5</v>
      </c>
      <c r="J16" s="41">
        <v>1</v>
      </c>
      <c r="K16" s="41">
        <v>1</v>
      </c>
      <c r="L16" s="40">
        <f t="shared" si="5"/>
        <v>64925.5</v>
      </c>
      <c r="N16" s="6">
        <f t="shared" si="6"/>
        <v>51711</v>
      </c>
    </row>
    <row r="17" spans="1:12" x14ac:dyDescent="0.2">
      <c r="A17" s="4">
        <v>2013</v>
      </c>
      <c r="B17" s="20">
        <f>B16*B36</f>
        <v>47178.461350810816</v>
      </c>
      <c r="C17" s="20">
        <f t="shared" ref="C17:J17" si="13">C16*C36</f>
        <v>4700.5810249068509</v>
      </c>
      <c r="D17" s="20">
        <f t="shared" si="13"/>
        <v>754.3125707597062</v>
      </c>
      <c r="E17" s="20">
        <f t="shared" si="13"/>
        <v>27.189566748340773</v>
      </c>
      <c r="F17" s="20">
        <f t="shared" si="13"/>
        <v>2</v>
      </c>
      <c r="G17" s="20">
        <v>1</v>
      </c>
      <c r="H17" s="20">
        <f t="shared" si="13"/>
        <v>12858.548708079272</v>
      </c>
      <c r="I17" s="20">
        <f t="shared" si="13"/>
        <v>486.37423799105244</v>
      </c>
      <c r="J17" s="20">
        <f t="shared" si="13"/>
        <v>1</v>
      </c>
      <c r="K17" s="20">
        <v>1</v>
      </c>
      <c r="L17" s="20">
        <f t="shared" si="5"/>
        <v>66010.467459296036</v>
      </c>
    </row>
    <row r="18" spans="1:12" x14ac:dyDescent="0.2">
      <c r="A18" s="4">
        <v>2014</v>
      </c>
      <c r="B18" s="20">
        <f>B17*B36</f>
        <v>48090.728130542193</v>
      </c>
      <c r="C18" s="20">
        <f t="shared" ref="C18:J18" si="14">C17*C36</f>
        <v>4740.4981702884234</v>
      </c>
      <c r="D18" s="20">
        <f t="shared" si="14"/>
        <v>772.55594624048445</v>
      </c>
      <c r="E18" s="20">
        <f>E17*E36</f>
        <v>27.380464443054752</v>
      </c>
      <c r="F18" s="20">
        <f>F17*F36</f>
        <v>2</v>
      </c>
      <c r="G18" s="20">
        <v>1</v>
      </c>
      <c r="H18" s="20">
        <f t="shared" si="14"/>
        <v>12996.563030816467</v>
      </c>
      <c r="I18" s="20">
        <f t="shared" si="14"/>
        <v>482.28317916692544</v>
      </c>
      <c r="J18" s="20">
        <f t="shared" si="14"/>
        <v>1</v>
      </c>
      <c r="K18" s="20">
        <v>1</v>
      </c>
      <c r="L18" s="20">
        <f t="shared" si="5"/>
        <v>67115.00892149756</v>
      </c>
    </row>
    <row r="19" spans="1:12" x14ac:dyDescent="0.2">
      <c r="A19" s="19"/>
    </row>
    <row r="20" spans="1:12" x14ac:dyDescent="0.2">
      <c r="A20" s="18" t="s">
        <v>52</v>
      </c>
      <c r="B20" s="5"/>
      <c r="C20" s="5"/>
      <c r="D20" s="5"/>
      <c r="E20" s="5"/>
      <c r="F20" s="5"/>
      <c r="G20" s="5"/>
      <c r="H20" s="24"/>
      <c r="I20" s="5"/>
    </row>
    <row r="21" spans="1:12" x14ac:dyDescent="0.2">
      <c r="A21" s="4"/>
      <c r="B21" s="24"/>
      <c r="C21" s="24"/>
      <c r="D21" s="24"/>
      <c r="E21" s="24"/>
      <c r="F21" s="24"/>
      <c r="G21" s="24"/>
      <c r="H21" s="24"/>
      <c r="I21" s="24"/>
    </row>
    <row r="22" spans="1:12" x14ac:dyDescent="0.2">
      <c r="A22" s="4">
        <v>2000</v>
      </c>
      <c r="B22" s="24"/>
      <c r="C22" s="24"/>
      <c r="D22" s="24"/>
      <c r="E22" s="24"/>
      <c r="F22" s="24"/>
      <c r="G22" s="24"/>
      <c r="H22" s="24"/>
      <c r="I22" s="24"/>
    </row>
    <row r="23" spans="1:12" x14ac:dyDescent="0.2">
      <c r="A23" s="4">
        <v>2001</v>
      </c>
      <c r="B23" s="24"/>
      <c r="C23" s="24"/>
      <c r="D23" s="24"/>
      <c r="E23" s="24"/>
      <c r="F23" s="24"/>
      <c r="G23" s="24"/>
      <c r="H23" s="24"/>
      <c r="I23" s="24"/>
    </row>
    <row r="24" spans="1:12" x14ac:dyDescent="0.2">
      <c r="A24" s="4">
        <v>2002</v>
      </c>
      <c r="B24" s="24">
        <f t="shared" ref="B24:C31" si="15">B6/B5</f>
        <v>1.0197978208393903</v>
      </c>
      <c r="C24" s="24">
        <f t="shared" si="15"/>
        <v>0.95708735578055093</v>
      </c>
      <c r="D24" s="24">
        <f t="shared" ref="D24:E34" si="16">D6/D5</f>
        <v>1.0556291390728472</v>
      </c>
      <c r="E24" s="24">
        <f t="shared" ref="E24:F32" si="17">E6/E5</f>
        <v>0.98</v>
      </c>
      <c r="F24" s="24">
        <f t="shared" si="17"/>
        <v>1.2</v>
      </c>
      <c r="G24" s="24"/>
      <c r="H24" s="24"/>
      <c r="I24" s="24"/>
      <c r="L24" s="73"/>
    </row>
    <row r="25" spans="1:12" x14ac:dyDescent="0.2">
      <c r="A25" s="4">
        <v>2003</v>
      </c>
      <c r="B25" s="24">
        <f t="shared" si="15"/>
        <v>1.0282996044071011</v>
      </c>
      <c r="C25" s="24">
        <f t="shared" si="15"/>
        <v>1.0196814072206162</v>
      </c>
      <c r="D25" s="24">
        <f t="shared" si="16"/>
        <v>1.0359682141363447</v>
      </c>
      <c r="E25" s="24">
        <f t="shared" si="17"/>
        <v>1.0612244897959184</v>
      </c>
      <c r="F25" s="24">
        <f t="shared" si="17"/>
        <v>1</v>
      </c>
      <c r="G25" s="24"/>
      <c r="H25" s="24"/>
      <c r="I25" s="24"/>
    </row>
    <row r="26" spans="1:12" x14ac:dyDescent="0.2">
      <c r="A26" s="4">
        <v>2004</v>
      </c>
      <c r="B26" s="24">
        <f t="shared" si="15"/>
        <v>1.0309990271074569</v>
      </c>
      <c r="C26" s="24">
        <f t="shared" si="15"/>
        <v>1.0116412328849749</v>
      </c>
      <c r="D26" s="24">
        <f t="shared" si="16"/>
        <v>1.0173597093257976</v>
      </c>
      <c r="E26" s="24">
        <f t="shared" si="17"/>
        <v>1.0384615384615385</v>
      </c>
      <c r="F26" s="24">
        <f t="shared" si="17"/>
        <v>1</v>
      </c>
      <c r="G26" s="24"/>
      <c r="H26" s="24">
        <f t="shared" ref="H26:H32" si="18">H8/H7</f>
        <v>1.0151429931207545</v>
      </c>
      <c r="I26" s="24"/>
    </row>
    <row r="27" spans="1:12" x14ac:dyDescent="0.2">
      <c r="A27" s="4">
        <v>2005</v>
      </c>
      <c r="B27" s="24">
        <f t="shared" si="15"/>
        <v>1.0188728120489954</v>
      </c>
      <c r="C27" s="24">
        <f t="shared" si="15"/>
        <v>1.0228953016932985</v>
      </c>
      <c r="D27" s="24">
        <f t="shared" si="16"/>
        <v>1.0055555555555555</v>
      </c>
      <c r="E27" s="24">
        <f t="shared" si="17"/>
        <v>1.0555555555555556</v>
      </c>
      <c r="F27" s="24">
        <f t="shared" si="17"/>
        <v>1</v>
      </c>
      <c r="G27" s="24"/>
      <c r="H27" s="24">
        <f t="shared" si="18"/>
        <v>1.013894216425862</v>
      </c>
      <c r="I27" s="24"/>
    </row>
    <row r="28" spans="1:12" x14ac:dyDescent="0.2">
      <c r="A28" s="4">
        <v>2006</v>
      </c>
      <c r="B28" s="24">
        <f t="shared" si="15"/>
        <v>1.0179178924684318</v>
      </c>
      <c r="C28" s="24">
        <f t="shared" si="15"/>
        <v>1.0146887386337142</v>
      </c>
      <c r="D28" s="24">
        <f t="shared" si="16"/>
        <v>1.021310181531176</v>
      </c>
      <c r="E28" s="24">
        <f t="shared" si="17"/>
        <v>1.0350877192982457</v>
      </c>
      <c r="F28" s="24">
        <f t="shared" si="17"/>
        <v>0.83333333333333337</v>
      </c>
      <c r="G28" s="24"/>
      <c r="H28" s="24">
        <f t="shared" si="18"/>
        <v>1.0132624322165706</v>
      </c>
      <c r="I28" s="24"/>
    </row>
    <row r="29" spans="1:12" x14ac:dyDescent="0.2">
      <c r="A29" s="4">
        <v>2007</v>
      </c>
      <c r="B29" s="24">
        <f t="shared" si="15"/>
        <v>1.0201715053699496</v>
      </c>
      <c r="C29" s="24">
        <f t="shared" si="15"/>
        <v>1.005514705882353</v>
      </c>
      <c r="D29" s="24">
        <f t="shared" si="16"/>
        <v>1.0386398763523956</v>
      </c>
      <c r="E29" s="24">
        <f t="shared" si="17"/>
        <v>0.96610169491525422</v>
      </c>
      <c r="F29" s="24">
        <f t="shared" si="17"/>
        <v>0.8</v>
      </c>
      <c r="G29" s="24">
        <f>G11/G10</f>
        <v>1</v>
      </c>
      <c r="H29" s="24">
        <f t="shared" si="18"/>
        <v>1.0153498309444295</v>
      </c>
      <c r="I29" s="24">
        <f t="shared" ref="I29:J34" si="19">I11/I10</f>
        <v>0.94186046511627908</v>
      </c>
    </row>
    <row r="30" spans="1:12" x14ac:dyDescent="0.2">
      <c r="A30" s="4">
        <v>2008</v>
      </c>
      <c r="B30" s="24">
        <f t="shared" si="15"/>
        <v>1.0126726901777907</v>
      </c>
      <c r="C30" s="24">
        <f t="shared" si="15"/>
        <v>1.0166819012797075</v>
      </c>
      <c r="D30" s="24">
        <f t="shared" si="16"/>
        <v>1.0111607142857142</v>
      </c>
      <c r="E30" s="24">
        <f t="shared" si="17"/>
        <v>0.98245614035087714</v>
      </c>
      <c r="F30" s="24">
        <f t="shared" si="17"/>
        <v>1</v>
      </c>
      <c r="G30" s="24">
        <f t="shared" ref="G30" si="20">G12/G11</f>
        <v>1</v>
      </c>
      <c r="H30" s="24">
        <f t="shared" si="18"/>
        <v>1.0104802958180963</v>
      </c>
      <c r="I30" s="24">
        <f t="shared" si="19"/>
        <v>0.94032921810699588</v>
      </c>
    </row>
    <row r="31" spans="1:12" x14ac:dyDescent="0.2">
      <c r="A31" s="4">
        <v>2009</v>
      </c>
      <c r="B31" s="24">
        <f>B13/B12</f>
        <v>1.0116391517579608</v>
      </c>
      <c r="C31" s="24">
        <f t="shared" si="15"/>
        <v>1.0205664194200943</v>
      </c>
      <c r="D31" s="24">
        <f t="shared" si="16"/>
        <v>1.0198675496688743</v>
      </c>
      <c r="E31" s="24">
        <f t="shared" si="17"/>
        <v>0.9464285714285714</v>
      </c>
      <c r="F31" s="24">
        <f t="shared" si="17"/>
        <v>1</v>
      </c>
      <c r="G31" s="24">
        <f t="shared" ref="G31" si="21">G13/G12</f>
        <v>1</v>
      </c>
      <c r="H31" s="24">
        <f t="shared" si="18"/>
        <v>1.0076017953176175</v>
      </c>
      <c r="I31" s="24">
        <f t="shared" si="19"/>
        <v>1.0897155361050328</v>
      </c>
    </row>
    <row r="32" spans="1:12" x14ac:dyDescent="0.2">
      <c r="A32" s="4">
        <v>2010</v>
      </c>
      <c r="B32" s="24">
        <f>B14/B13</f>
        <v>1.022395957802738</v>
      </c>
      <c r="C32" s="24">
        <f>C14/C13</f>
        <v>1.0139852439158683</v>
      </c>
      <c r="D32" s="24">
        <f t="shared" si="16"/>
        <v>1.0216450216450217</v>
      </c>
      <c r="E32" s="24">
        <f t="shared" si="17"/>
        <v>0.98113207547169812</v>
      </c>
      <c r="F32" s="24">
        <f t="shared" si="17"/>
        <v>1</v>
      </c>
      <c r="G32" s="24">
        <f t="shared" ref="G32" si="22">G14/G13</f>
        <v>1</v>
      </c>
      <c r="H32" s="24">
        <f t="shared" si="18"/>
        <v>1.0079457442112445</v>
      </c>
      <c r="I32" s="24">
        <f t="shared" si="19"/>
        <v>1.0793172690763053</v>
      </c>
      <c r="J32" s="24">
        <f t="shared" si="19"/>
        <v>1</v>
      </c>
      <c r="K32" s="24"/>
    </row>
    <row r="33" spans="1:11" x14ac:dyDescent="0.2">
      <c r="A33" s="4">
        <v>2011</v>
      </c>
      <c r="B33" s="24">
        <f>B15/B14</f>
        <v>1.0191449338275398</v>
      </c>
      <c r="C33" s="24">
        <f>C15/C14</f>
        <v>1.0055386620330147</v>
      </c>
      <c r="D33" s="24">
        <f t="shared" si="16"/>
        <v>1.0218926553672316</v>
      </c>
      <c r="E33" s="24">
        <f t="shared" si="16"/>
        <v>1.0769230769230769</v>
      </c>
      <c r="F33" s="24">
        <f>F15/F14</f>
        <v>1</v>
      </c>
      <c r="G33" s="24">
        <f t="shared" ref="G33" si="23">G15/G14</f>
        <v>1</v>
      </c>
      <c r="H33" s="98">
        <f>H15/H14</f>
        <v>1.0051757773619461</v>
      </c>
      <c r="I33" s="98">
        <f t="shared" si="19"/>
        <v>0.95720930232558143</v>
      </c>
      <c r="J33" s="24">
        <f>J15/J14</f>
        <v>1</v>
      </c>
      <c r="K33" s="24"/>
    </row>
    <row r="34" spans="1:11" x14ac:dyDescent="0.2">
      <c r="A34" s="4">
        <v>2012</v>
      </c>
      <c r="B34" s="24">
        <f>B16/B15</f>
        <v>1.0109872107119844</v>
      </c>
      <c r="C34" s="24">
        <f>C16/C15</f>
        <v>1.0068041905173344</v>
      </c>
      <c r="D34" s="24">
        <f t="shared" si="16"/>
        <v>1.0179682100898411</v>
      </c>
      <c r="E34" s="24">
        <f t="shared" si="16"/>
        <v>0.9642857142857143</v>
      </c>
      <c r="F34" s="24">
        <f>F16/F15</f>
        <v>1</v>
      </c>
      <c r="G34" s="24">
        <f t="shared" ref="G34" si="24">G16/G15</f>
        <v>1</v>
      </c>
      <c r="H34" s="24">
        <f>H16/H15</f>
        <v>1.0078029072761121</v>
      </c>
      <c r="I34" s="24">
        <f t="shared" si="19"/>
        <v>0.95335276967930027</v>
      </c>
      <c r="J34" s="24">
        <f>J16/J15</f>
        <v>1</v>
      </c>
      <c r="K34" s="24"/>
    </row>
    <row r="36" spans="1:11" x14ac:dyDescent="0.2">
      <c r="A36" t="s">
        <v>74</v>
      </c>
      <c r="B36" s="25">
        <f>B38</f>
        <v>1.0193365097888192</v>
      </c>
      <c r="C36" s="25">
        <f t="shared" ref="C36:J36" si="25">C38</f>
        <v>1.0084919598598694</v>
      </c>
      <c r="D36" s="25">
        <f t="shared" si="25"/>
        <v>1.0241854321245163</v>
      </c>
      <c r="E36" s="25">
        <f t="shared" si="25"/>
        <v>1.007020990679288</v>
      </c>
      <c r="F36" s="25">
        <v>1</v>
      </c>
      <c r="G36" s="25">
        <f t="shared" si="25"/>
        <v>1</v>
      </c>
      <c r="H36" s="25">
        <f>H38</f>
        <v>1.0107332737053349</v>
      </c>
      <c r="I36" s="25">
        <f t="shared" si="25"/>
        <v>0.99158866053221706</v>
      </c>
      <c r="J36" s="25">
        <f t="shared" si="25"/>
        <v>1</v>
      </c>
      <c r="K36" s="25"/>
    </row>
    <row r="37" spans="1:11" x14ac:dyDescent="0.2">
      <c r="B37" s="25"/>
      <c r="C37" s="25"/>
      <c r="D37" s="25"/>
      <c r="E37" s="25"/>
      <c r="F37" s="25"/>
      <c r="G37" s="25"/>
      <c r="H37" s="25"/>
      <c r="I37" s="25"/>
    </row>
    <row r="38" spans="1:11" x14ac:dyDescent="0.2">
      <c r="A38" t="s">
        <v>17</v>
      </c>
      <c r="B38" s="25">
        <f>GEOMEAN(B21:B34)</f>
        <v>1.0193365097888192</v>
      </c>
      <c r="C38" s="25">
        <f t="shared" ref="C38:J38" si="26">GEOMEAN(C21:C34)</f>
        <v>1.0084919598598694</v>
      </c>
      <c r="D38" s="25">
        <f t="shared" si="26"/>
        <v>1.0241854321245163</v>
      </c>
      <c r="E38" s="25">
        <f t="shared" si="26"/>
        <v>1.007020990679288</v>
      </c>
      <c r="F38" s="25">
        <f t="shared" si="26"/>
        <v>0.97991859470803089</v>
      </c>
      <c r="G38" s="25">
        <f t="shared" si="26"/>
        <v>1</v>
      </c>
      <c r="H38" s="25">
        <f>GEOMEAN(H21:H34)</f>
        <v>1.0107332737053349</v>
      </c>
      <c r="I38" s="25">
        <f t="shared" si="26"/>
        <v>0.99158866053221706</v>
      </c>
      <c r="J38" s="25">
        <f t="shared" si="26"/>
        <v>1</v>
      </c>
      <c r="K38" s="25"/>
    </row>
    <row r="39" spans="1:11" x14ac:dyDescent="0.2">
      <c r="A39" s="4"/>
      <c r="B39" s="25"/>
      <c r="C39" s="25"/>
      <c r="D39" s="25"/>
      <c r="E39" s="25"/>
      <c r="F39" s="25"/>
      <c r="G39" s="25"/>
      <c r="H39" s="25"/>
      <c r="I39" s="25"/>
    </row>
    <row r="40" spans="1:11" x14ac:dyDescent="0.2">
      <c r="A40" s="4"/>
      <c r="B40" s="25">
        <f t="shared" ref="B40:J40" si="27">B38-1</f>
        <v>1.9336509788819178E-2</v>
      </c>
      <c r="C40" s="25">
        <f t="shared" si="27"/>
        <v>8.4919598598693913E-3</v>
      </c>
      <c r="D40" s="25">
        <f t="shared" si="27"/>
        <v>2.4185432124516293E-2</v>
      </c>
      <c r="E40" s="25">
        <f t="shared" si="27"/>
        <v>7.0209906792879639E-3</v>
      </c>
      <c r="F40" s="25">
        <f t="shared" si="27"/>
        <v>-2.0081405291969112E-2</v>
      </c>
      <c r="G40" s="25">
        <f t="shared" si="27"/>
        <v>0</v>
      </c>
      <c r="H40" s="25">
        <f t="shared" si="27"/>
        <v>1.0733273705334945E-2</v>
      </c>
      <c r="I40" s="25">
        <f t="shared" si="27"/>
        <v>-8.4113394677829412E-3</v>
      </c>
      <c r="J40" s="25">
        <f t="shared" si="27"/>
        <v>0</v>
      </c>
      <c r="K40" s="25"/>
    </row>
    <row r="41" spans="1:11" x14ac:dyDescent="0.2">
      <c r="A41" s="4"/>
      <c r="B41" s="25"/>
      <c r="C41" s="25"/>
      <c r="D41" s="25"/>
      <c r="E41" s="25"/>
      <c r="F41" s="25"/>
      <c r="G41" s="25"/>
      <c r="H41" s="25"/>
      <c r="I41" s="25"/>
    </row>
    <row r="42" spans="1:11" x14ac:dyDescent="0.2">
      <c r="A42" s="4"/>
      <c r="B42" s="76"/>
      <c r="C42" s="25"/>
      <c r="D42" s="25"/>
      <c r="H42" s="25"/>
      <c r="I42" s="25"/>
    </row>
    <row r="43" spans="1:11" x14ac:dyDescent="0.2">
      <c r="A43" s="4"/>
      <c r="B43" s="25"/>
      <c r="C43" s="25"/>
      <c r="D43" s="25"/>
      <c r="E43" s="25"/>
      <c r="F43" s="25"/>
      <c r="G43" s="25"/>
      <c r="H43" s="25"/>
      <c r="I43" s="25"/>
    </row>
    <row r="44" spans="1:11" x14ac:dyDescent="0.2">
      <c r="A44" s="4"/>
      <c r="B44" s="25"/>
      <c r="C44" s="25"/>
      <c r="D44" s="25"/>
      <c r="E44" s="25"/>
      <c r="F44" s="25"/>
      <c r="G44" s="25"/>
      <c r="H44" s="25"/>
      <c r="I44" s="25"/>
    </row>
    <row r="45" spans="1:11" x14ac:dyDescent="0.2">
      <c r="A45" s="4">
        <v>1995</v>
      </c>
      <c r="B45" s="164"/>
      <c r="C45" s="164"/>
      <c r="D45" s="164"/>
      <c r="E45" s="164"/>
      <c r="F45" s="164"/>
      <c r="G45" s="164"/>
      <c r="H45" s="164"/>
      <c r="I45" s="164"/>
      <c r="J45" s="89"/>
      <c r="K45" s="89"/>
    </row>
    <row r="46" spans="1:11" x14ac:dyDescent="0.2">
      <c r="A46" s="4">
        <v>1996</v>
      </c>
      <c r="B46" s="164"/>
      <c r="C46" s="164"/>
      <c r="D46" s="164"/>
      <c r="E46" s="164"/>
      <c r="F46" s="164"/>
      <c r="G46" s="164"/>
      <c r="H46" s="164"/>
      <c r="I46" s="164"/>
      <c r="J46" s="89"/>
      <c r="K46" s="89"/>
    </row>
    <row r="47" spans="1:11" x14ac:dyDescent="0.2">
      <c r="A47" s="4">
        <v>1997</v>
      </c>
      <c r="B47" s="164"/>
      <c r="C47" s="164"/>
      <c r="D47" s="164"/>
      <c r="E47" s="164"/>
      <c r="F47" s="164"/>
      <c r="G47" s="164"/>
      <c r="H47" s="164"/>
      <c r="I47" s="164"/>
      <c r="J47" s="89"/>
      <c r="K47" s="89"/>
    </row>
    <row r="48" spans="1:11" x14ac:dyDescent="0.2">
      <c r="A48" s="4">
        <v>1998</v>
      </c>
      <c r="B48" s="164"/>
      <c r="C48" s="164"/>
      <c r="D48" s="164"/>
      <c r="E48" s="164"/>
      <c r="F48" s="164"/>
      <c r="G48" s="164"/>
      <c r="H48" s="164"/>
      <c r="I48" s="164"/>
      <c r="J48" s="89"/>
      <c r="K48" s="89"/>
    </row>
    <row r="49" spans="1:11" x14ac:dyDescent="0.2">
      <c r="A49" s="4">
        <v>1999</v>
      </c>
      <c r="B49" s="164"/>
      <c r="C49" s="164"/>
      <c r="D49" s="164"/>
      <c r="E49" s="164"/>
      <c r="F49" s="164"/>
      <c r="G49" s="164"/>
      <c r="H49" s="164"/>
      <c r="I49" s="164"/>
      <c r="J49" s="89"/>
      <c r="K49" s="89"/>
    </row>
    <row r="50" spans="1:11" x14ac:dyDescent="0.2">
      <c r="A50" s="4">
        <v>2000</v>
      </c>
      <c r="B50" s="40">
        <v>37069</v>
      </c>
      <c r="C50" s="40">
        <v>4496</v>
      </c>
      <c r="D50" s="163">
        <f>D51-(D52-D51)</f>
        <v>550.50000000000023</v>
      </c>
      <c r="E50" s="40">
        <v>26</v>
      </c>
      <c r="F50" s="40">
        <v>2</v>
      </c>
      <c r="G50" s="40"/>
      <c r="H50" s="40">
        <v>0</v>
      </c>
      <c r="I50" s="40">
        <v>0</v>
      </c>
      <c r="J50" s="89"/>
      <c r="K50" s="89"/>
    </row>
    <row r="51" spans="1:11" x14ac:dyDescent="0.2">
      <c r="A51" s="4">
        <v>2001</v>
      </c>
      <c r="B51" s="41">
        <v>37914</v>
      </c>
      <c r="C51" s="41">
        <v>3998</v>
      </c>
      <c r="D51" s="41">
        <v>582</v>
      </c>
      <c r="E51" s="41">
        <v>24</v>
      </c>
      <c r="F51" s="41">
        <v>3</v>
      </c>
      <c r="G51" s="41"/>
      <c r="H51" s="41">
        <v>0</v>
      </c>
      <c r="I51" s="41">
        <v>0</v>
      </c>
      <c r="J51" s="89"/>
      <c r="K51" s="89"/>
    </row>
    <row r="52" spans="1:11" x14ac:dyDescent="0.2">
      <c r="A52" s="4">
        <v>2002</v>
      </c>
      <c r="B52" s="41">
        <v>38553.5</v>
      </c>
      <c r="C52" s="41">
        <v>4131.5</v>
      </c>
      <c r="D52" s="41">
        <v>613.49999999999977</v>
      </c>
      <c r="E52" s="41">
        <v>25</v>
      </c>
      <c r="F52" s="41">
        <v>3</v>
      </c>
      <c r="G52" s="41"/>
      <c r="H52" s="41">
        <v>11471</v>
      </c>
      <c r="I52" s="41">
        <v>0</v>
      </c>
      <c r="J52" s="89"/>
      <c r="K52" s="89"/>
    </row>
    <row r="53" spans="1:11" x14ac:dyDescent="0.2">
      <c r="A53" s="4">
        <v>2003</v>
      </c>
      <c r="B53" s="41">
        <v>40078</v>
      </c>
      <c r="C53" s="41">
        <v>4158</v>
      </c>
      <c r="D53" s="41">
        <v>625</v>
      </c>
      <c r="E53" s="41">
        <v>27</v>
      </c>
      <c r="F53" s="41">
        <v>3</v>
      </c>
      <c r="G53" s="41"/>
      <c r="H53" s="41">
        <v>11642</v>
      </c>
      <c r="I53" s="41">
        <v>0</v>
      </c>
      <c r="J53" s="89"/>
      <c r="K53" s="89"/>
    </row>
    <row r="54" spans="1:11" x14ac:dyDescent="0.2">
      <c r="A54" s="4">
        <v>2004</v>
      </c>
      <c r="B54" s="41">
        <v>40991</v>
      </c>
      <c r="C54" s="41">
        <v>4228</v>
      </c>
      <c r="D54" s="41">
        <v>635</v>
      </c>
      <c r="E54" s="41">
        <v>27</v>
      </c>
      <c r="F54" s="41">
        <v>3</v>
      </c>
      <c r="G54" s="41"/>
      <c r="H54" s="41">
        <v>11821</v>
      </c>
      <c r="I54" s="41">
        <v>0</v>
      </c>
      <c r="J54" s="89"/>
      <c r="K54" s="89"/>
    </row>
    <row r="55" spans="1:11" x14ac:dyDescent="0.2">
      <c r="A55" s="4">
        <v>2005</v>
      </c>
      <c r="B55" s="41">
        <v>41608</v>
      </c>
      <c r="C55" s="41">
        <v>4350</v>
      </c>
      <c r="D55" s="41">
        <v>632</v>
      </c>
      <c r="E55" s="41">
        <v>30</v>
      </c>
      <c r="F55" s="41">
        <v>3</v>
      </c>
      <c r="G55" s="41"/>
      <c r="H55" s="41">
        <v>11968</v>
      </c>
      <c r="I55" s="41">
        <v>0</v>
      </c>
      <c r="J55" s="89"/>
      <c r="K55" s="89"/>
    </row>
    <row r="56" spans="1:11" x14ac:dyDescent="0.2">
      <c r="A56" s="4">
        <v>2006</v>
      </c>
      <c r="B56" s="41">
        <v>42471</v>
      </c>
      <c r="C56" s="41">
        <v>4354</v>
      </c>
      <c r="D56" s="41">
        <v>662</v>
      </c>
      <c r="E56" s="41">
        <v>29</v>
      </c>
      <c r="F56" s="41">
        <v>2</v>
      </c>
      <c r="G56" s="41">
        <v>1</v>
      </c>
      <c r="H56" s="41">
        <v>12136.5</v>
      </c>
      <c r="I56" s="41">
        <v>516</v>
      </c>
      <c r="J56" s="89"/>
      <c r="K56" s="89"/>
    </row>
    <row r="57" spans="1:11" x14ac:dyDescent="0.2">
      <c r="A57" s="4">
        <v>2007</v>
      </c>
      <c r="B57" s="41">
        <v>43304</v>
      </c>
      <c r="C57" s="41">
        <v>4398</v>
      </c>
      <c r="D57" s="41">
        <v>682</v>
      </c>
      <c r="E57" s="41">
        <v>28</v>
      </c>
      <c r="F57" s="41">
        <v>2</v>
      </c>
      <c r="G57" s="41">
        <v>1</v>
      </c>
      <c r="H57" s="41">
        <v>12338</v>
      </c>
      <c r="I57" s="41">
        <v>456</v>
      </c>
      <c r="J57" s="89"/>
      <c r="K57" s="89"/>
    </row>
    <row r="58" spans="1:11" x14ac:dyDescent="0.2">
      <c r="A58" s="4">
        <v>2008</v>
      </c>
      <c r="B58" s="41">
        <v>43558</v>
      </c>
      <c r="C58" s="41">
        <v>4500</v>
      </c>
      <c r="D58" s="41">
        <v>677</v>
      </c>
      <c r="E58" s="41">
        <v>28</v>
      </c>
      <c r="F58" s="41">
        <v>2</v>
      </c>
      <c r="G58" s="41">
        <v>1</v>
      </c>
      <c r="H58" s="41">
        <v>12393</v>
      </c>
      <c r="I58" s="41">
        <v>458</v>
      </c>
      <c r="J58" s="89"/>
      <c r="K58" s="89"/>
    </row>
    <row r="59" spans="1:11" x14ac:dyDescent="0.2">
      <c r="A59" s="4">
        <v>2009</v>
      </c>
      <c r="B59" s="94">
        <v>44315</v>
      </c>
      <c r="C59" s="94">
        <f>3524+1057</f>
        <v>4581</v>
      </c>
      <c r="D59" s="94">
        <f>250+168+291</f>
        <v>709</v>
      </c>
      <c r="E59" s="94">
        <v>25</v>
      </c>
      <c r="F59" s="94">
        <v>2</v>
      </c>
      <c r="G59" s="94">
        <v>1</v>
      </c>
      <c r="H59" s="95">
        <f>[12]Sheet1!$E$16</f>
        <v>12526</v>
      </c>
      <c r="I59" s="94">
        <v>538</v>
      </c>
      <c r="J59" s="89">
        <v>2</v>
      </c>
      <c r="K59" s="89"/>
    </row>
    <row r="60" spans="1:11" x14ac:dyDescent="0.2">
      <c r="A60" s="4">
        <v>2010</v>
      </c>
      <c r="B60" s="95">
        <f>'[13]# of Customers'!B$2</f>
        <v>45526</v>
      </c>
      <c r="C60" s="95">
        <f>'[13]# of Customers'!C$2</f>
        <v>4627</v>
      </c>
      <c r="D60" s="95">
        <f>'[13]# of Customers'!D$2</f>
        <v>707</v>
      </c>
      <c r="E60" s="95">
        <f>'[13]# of Customers'!E$2</f>
        <v>27</v>
      </c>
      <c r="F60" s="95">
        <f>'[13]# of Customers'!F$2</f>
        <v>2</v>
      </c>
      <c r="G60" s="95">
        <v>1</v>
      </c>
      <c r="H60" s="95">
        <f>'[13]# of Customers'!G$2</f>
        <v>12591</v>
      </c>
      <c r="I60" s="95">
        <f>'[13]# of Customers'!H$2</f>
        <v>537</v>
      </c>
      <c r="J60" s="89">
        <f>'[13]# of Customers'!$I$2</f>
        <v>2</v>
      </c>
      <c r="K60" s="89"/>
    </row>
    <row r="61" spans="1:11" x14ac:dyDescent="0.2">
      <c r="A61" s="4">
        <v>2011</v>
      </c>
      <c r="B61" s="89">
        <f>'[13]# of Customers'!B$3</f>
        <v>46035</v>
      </c>
      <c r="C61" s="89">
        <f>'[13]# of Customers'!C$3</f>
        <v>4632</v>
      </c>
      <c r="D61" s="89">
        <f>'[13]# of Customers'!D$3</f>
        <v>740</v>
      </c>
      <c r="E61" s="89">
        <f>'[13]# of Customers'!E$3</f>
        <v>29</v>
      </c>
      <c r="F61" s="89">
        <f>'[13]# of Customers'!F$3-1</f>
        <v>2</v>
      </c>
      <c r="G61" s="89">
        <v>1</v>
      </c>
      <c r="H61" s="89">
        <f>'[13]# of Customers'!G$3</f>
        <v>12656</v>
      </c>
      <c r="I61" s="89">
        <f>'[13]# of Customers'!H$3</f>
        <v>492</v>
      </c>
      <c r="J61" s="89">
        <f>'[13]# of Customers'!$I$3</f>
        <v>2</v>
      </c>
      <c r="K61" s="89"/>
    </row>
    <row r="62" spans="1:11" x14ac:dyDescent="0.2">
      <c r="A62" s="4">
        <v>2012</v>
      </c>
      <c r="B62" s="89">
        <f>'[13]# of Customers'!B$4</f>
        <v>46532</v>
      </c>
      <c r="C62" s="89">
        <f>'[13]# of Customers'!C$4</f>
        <v>4690</v>
      </c>
      <c r="D62" s="89">
        <f>'[13]# of Customers'!D$4</f>
        <v>733</v>
      </c>
      <c r="E62" s="89">
        <f>'[13]# of Customers'!E$4</f>
        <v>25</v>
      </c>
      <c r="F62" s="89">
        <f>'[13]# of Customers'!F$4-1</f>
        <v>2</v>
      </c>
      <c r="G62" s="89">
        <v>1</v>
      </c>
      <c r="H62" s="89">
        <f>'[13]# of Customers'!G$4</f>
        <v>12788</v>
      </c>
      <c r="I62" s="89">
        <f>'[13]# of Customers'!H$4</f>
        <v>489</v>
      </c>
      <c r="J62" s="89">
        <f>'[13]# of Customers'!$I$4</f>
        <v>2</v>
      </c>
      <c r="K62" s="89"/>
    </row>
    <row r="63" spans="1:11" x14ac:dyDescent="0.2">
      <c r="B63" s="25"/>
      <c r="C63" s="25"/>
      <c r="D63" s="25"/>
      <c r="E63" s="25"/>
      <c r="F63" s="25"/>
      <c r="G63" s="25"/>
      <c r="H63" s="25"/>
      <c r="I63" s="25"/>
    </row>
    <row r="64" spans="1:11" x14ac:dyDescent="0.2">
      <c r="B64" s="25"/>
      <c r="C64" s="25"/>
      <c r="D64" s="25"/>
      <c r="E64" s="25"/>
      <c r="F64" s="25"/>
      <c r="G64" s="25"/>
      <c r="H64" s="25"/>
      <c r="I64" s="25"/>
    </row>
    <row r="65" spans="1:13" x14ac:dyDescent="0.2">
      <c r="B65" s="25"/>
      <c r="C65" s="25"/>
      <c r="D65" s="25"/>
      <c r="E65" s="25"/>
      <c r="F65" s="25"/>
      <c r="G65" s="25"/>
      <c r="H65" s="25"/>
      <c r="I65" s="25"/>
    </row>
    <row r="66" spans="1:13" x14ac:dyDescent="0.2">
      <c r="B66" s="25"/>
      <c r="C66" s="25"/>
      <c r="D66" s="25"/>
      <c r="E66" s="25"/>
      <c r="F66" s="25"/>
      <c r="G66" s="25"/>
      <c r="H66" s="25"/>
      <c r="I66" s="25"/>
    </row>
    <row r="67" spans="1:13" x14ac:dyDescent="0.2">
      <c r="B67" s="25"/>
      <c r="C67" s="25"/>
      <c r="D67" s="25"/>
      <c r="E67" s="25"/>
      <c r="F67" s="25"/>
      <c r="G67" s="25"/>
      <c r="H67" s="25"/>
      <c r="I67" s="25"/>
    </row>
    <row r="68" spans="1:13" x14ac:dyDescent="0.2">
      <c r="B68" s="25"/>
      <c r="C68" s="25"/>
      <c r="D68" s="25"/>
      <c r="E68" s="25"/>
      <c r="F68" s="25"/>
      <c r="G68" s="25"/>
      <c r="H68" s="25"/>
      <c r="I68" s="25"/>
    </row>
    <row r="69" spans="1:13" x14ac:dyDescent="0.2">
      <c r="B69" s="25"/>
      <c r="C69" s="25"/>
      <c r="D69" s="25"/>
      <c r="E69" s="25"/>
      <c r="F69" s="25"/>
      <c r="G69" s="25"/>
      <c r="H69" s="25"/>
      <c r="I69" s="25"/>
    </row>
    <row r="70" spans="1:13" x14ac:dyDescent="0.2">
      <c r="B70" s="25"/>
      <c r="C70" s="25"/>
      <c r="D70" s="25"/>
      <c r="E70" s="25"/>
      <c r="F70" s="25"/>
      <c r="G70" s="25"/>
      <c r="H70" s="25"/>
      <c r="I70" s="25"/>
    </row>
    <row r="71" spans="1:13" x14ac:dyDescent="0.2">
      <c r="B71" s="25"/>
      <c r="C71" s="25"/>
      <c r="E71" s="25"/>
      <c r="F71" s="25"/>
      <c r="G71" s="25"/>
      <c r="H71" s="25"/>
      <c r="I71" s="25"/>
    </row>
    <row r="72" spans="1:13" x14ac:dyDescent="0.2">
      <c r="D72" s="6" t="e">
        <f>D12*Summary!#REF!</f>
        <v>#REF!</v>
      </c>
    </row>
    <row r="73" spans="1:13" x14ac:dyDescent="0.2">
      <c r="A73">
        <v>2008</v>
      </c>
      <c r="B73" s="6" t="e">
        <f>B12*Summary!#REF!</f>
        <v>#REF!</v>
      </c>
      <c r="C73" s="6" t="e">
        <f>C12*Summary!#REF!</f>
        <v>#REF!</v>
      </c>
      <c r="D73" s="6" t="e">
        <f>D13*Summary!#REF!</f>
        <v>#REF!</v>
      </c>
      <c r="E73" s="6" t="e">
        <f>E12*Summary!#REF!</f>
        <v>#REF!</v>
      </c>
      <c r="F73" s="6" t="e">
        <f>F12*Summary!#REF!</f>
        <v>#REF!</v>
      </c>
      <c r="H73" s="6" t="e">
        <f>H12*Summary!#REF!</f>
        <v>#REF!</v>
      </c>
      <c r="I73" s="6" t="e">
        <f>I12*Summary!#REF!</f>
        <v>#REF!</v>
      </c>
      <c r="J73" s="6" t="e">
        <f>SUM(B73:I73)</f>
        <v>#REF!</v>
      </c>
      <c r="L73" s="6" t="e">
        <f>SUM('Rate Class Energy Model'!#REF!)</f>
        <v>#REF!</v>
      </c>
      <c r="M73" s="6" t="e">
        <f>L73-J73</f>
        <v>#REF!</v>
      </c>
    </row>
    <row r="74" spans="1:13" x14ac:dyDescent="0.2">
      <c r="A74">
        <v>2009</v>
      </c>
      <c r="B74" s="6" t="e">
        <f>B13*Summary!#REF!</f>
        <v>#REF!</v>
      </c>
      <c r="C74" s="6" t="e">
        <f>C13*Summary!#REF!</f>
        <v>#REF!</v>
      </c>
      <c r="E74" s="6" t="e">
        <f>E13*Summary!#REF!</f>
        <v>#REF!</v>
      </c>
      <c r="F74" s="6" t="e">
        <f>F13*Summary!#REF!</f>
        <v>#REF!</v>
      </c>
      <c r="H74" s="6" t="e">
        <f>H13*Summary!#REF!</f>
        <v>#REF!</v>
      </c>
      <c r="I74" s="6" t="e">
        <f>I13*Summary!#REF!</f>
        <v>#REF!</v>
      </c>
      <c r="J74" s="6" t="e">
        <f>SUM(B74:I74)</f>
        <v>#REF!</v>
      </c>
      <c r="L74" s="6" t="e">
        <f>SUM('Rate Class Energy Model'!#REF!)</f>
        <v>#REF!</v>
      </c>
      <c r="M74" s="6" t="e">
        <f>L74-J74</f>
        <v>#REF!</v>
      </c>
    </row>
    <row r="76" spans="1:13" x14ac:dyDescent="0.2">
      <c r="A76" t="s">
        <v>19</v>
      </c>
    </row>
    <row r="77" spans="1:13" x14ac:dyDescent="0.2">
      <c r="D77" s="26">
        <v>0.65</v>
      </c>
    </row>
    <row r="78" spans="1:13" x14ac:dyDescent="0.2">
      <c r="A78">
        <v>2008</v>
      </c>
      <c r="B78" s="26">
        <v>1</v>
      </c>
      <c r="C78" s="26">
        <v>1</v>
      </c>
      <c r="D78" s="26">
        <v>0.65</v>
      </c>
      <c r="E78" s="26">
        <v>0</v>
      </c>
      <c r="F78" s="26">
        <v>0</v>
      </c>
      <c r="G78" s="26"/>
      <c r="H78" s="26">
        <v>0</v>
      </c>
      <c r="I78" s="26">
        <v>0</v>
      </c>
    </row>
    <row r="79" spans="1:13" x14ac:dyDescent="0.2">
      <c r="A79">
        <v>2009</v>
      </c>
      <c r="B79" s="26">
        <v>1</v>
      </c>
      <c r="C79" s="26">
        <v>1</v>
      </c>
      <c r="E79" s="26">
        <v>0</v>
      </c>
      <c r="F79" s="26">
        <v>0</v>
      </c>
      <c r="G79" s="26"/>
      <c r="H79" s="26">
        <v>0</v>
      </c>
      <c r="I79" s="26">
        <v>0</v>
      </c>
    </row>
    <row r="81" spans="1:12" x14ac:dyDescent="0.2">
      <c r="A81" t="s">
        <v>20</v>
      </c>
    </row>
    <row r="82" spans="1:12" x14ac:dyDescent="0.2">
      <c r="D82" s="6" t="e">
        <f t="shared" ref="C82:I83" si="28">D72*D77</f>
        <v>#REF!</v>
      </c>
    </row>
    <row r="83" spans="1:12" x14ac:dyDescent="0.2">
      <c r="A83">
        <v>2008</v>
      </c>
      <c r="B83" s="6" t="e">
        <f>B73*B78</f>
        <v>#REF!</v>
      </c>
      <c r="C83" s="6" t="e">
        <f t="shared" si="28"/>
        <v>#REF!</v>
      </c>
      <c r="D83" s="6" t="e">
        <f t="shared" ref="C83:I84" si="29">D73*D78</f>
        <v>#REF!</v>
      </c>
      <c r="E83" s="6" t="e">
        <f t="shared" si="28"/>
        <v>#REF!</v>
      </c>
      <c r="F83" s="6" t="e">
        <f t="shared" si="28"/>
        <v>#REF!</v>
      </c>
      <c r="H83" s="6" t="e">
        <f t="shared" si="28"/>
        <v>#REF!</v>
      </c>
      <c r="I83" s="6" t="e">
        <f t="shared" si="28"/>
        <v>#REF!</v>
      </c>
      <c r="J83" s="6" t="e">
        <f>SUM(B83:I83)</f>
        <v>#REF!</v>
      </c>
    </row>
    <row r="84" spans="1:12" x14ac:dyDescent="0.2">
      <c r="A84">
        <v>2009</v>
      </c>
      <c r="B84" s="6" t="e">
        <f>B74*B79</f>
        <v>#REF!</v>
      </c>
      <c r="C84" s="6" t="e">
        <f t="shared" si="29"/>
        <v>#REF!</v>
      </c>
      <c r="E84" s="6" t="e">
        <f t="shared" si="29"/>
        <v>#REF!</v>
      </c>
      <c r="F84" s="6" t="e">
        <f t="shared" si="29"/>
        <v>#REF!</v>
      </c>
      <c r="H84" s="6" t="e">
        <f t="shared" si="29"/>
        <v>#REF!</v>
      </c>
      <c r="I84" s="6" t="e">
        <f t="shared" si="29"/>
        <v>#REF!</v>
      </c>
      <c r="J84" s="6" t="e">
        <f>SUM(B84:I84)</f>
        <v>#REF!</v>
      </c>
    </row>
    <row r="86" spans="1:12" x14ac:dyDescent="0.2">
      <c r="A86" t="s">
        <v>21</v>
      </c>
    </row>
    <row r="87" spans="1:12" x14ac:dyDescent="0.2">
      <c r="D87" s="6" t="e">
        <f>D82/$J$83*$M$73</f>
        <v>#REF!</v>
      </c>
    </row>
    <row r="88" spans="1:12" x14ac:dyDescent="0.2">
      <c r="A88">
        <v>2008</v>
      </c>
      <c r="B88" s="6" t="e">
        <f>B83/$J$83*$M$73</f>
        <v>#REF!</v>
      </c>
      <c r="C88" s="6" t="e">
        <f>C83/$J$83*$M$73</f>
        <v>#REF!</v>
      </c>
      <c r="D88" s="6" t="e">
        <f>D83/$J$84*$M$74</f>
        <v>#REF!</v>
      </c>
      <c r="E88" s="6" t="e">
        <f>E83/$J$83*$M$73</f>
        <v>#REF!</v>
      </c>
      <c r="F88" s="6" t="e">
        <f>F83/$J$83*$M$73</f>
        <v>#REF!</v>
      </c>
      <c r="H88" s="6" t="e">
        <f>H83/$J$83*$M$73</f>
        <v>#REF!</v>
      </c>
      <c r="I88" s="6" t="e">
        <f>I83/$J$83*$M$73</f>
        <v>#REF!</v>
      </c>
    </row>
    <row r="89" spans="1:12" x14ac:dyDescent="0.2">
      <c r="A89">
        <v>2009</v>
      </c>
      <c r="B89" s="6" t="e">
        <f>B84/$J$84*$M$74</f>
        <v>#REF!</v>
      </c>
      <c r="C89" s="6" t="e">
        <f>C84/$J$84*$M$74</f>
        <v>#REF!</v>
      </c>
      <c r="E89" s="6" t="e">
        <f>E84/$J$84*$M$74</f>
        <v>#REF!</v>
      </c>
      <c r="F89" s="6" t="e">
        <f>F84/$J$84*$M$74</f>
        <v>#REF!</v>
      </c>
      <c r="H89" s="6" t="e">
        <f>H84/$J$84*$M$74</f>
        <v>#REF!</v>
      </c>
      <c r="I89" s="6" t="e">
        <f>I84/$J$84*$M$74</f>
        <v>#REF!</v>
      </c>
    </row>
    <row r="91" spans="1:12" x14ac:dyDescent="0.2">
      <c r="A91" t="s">
        <v>22</v>
      </c>
    </row>
    <row r="92" spans="1:12" x14ac:dyDescent="0.2">
      <c r="D92" s="6" t="e">
        <f t="shared" ref="C92:I93" si="30">D72+D87</f>
        <v>#REF!</v>
      </c>
      <c r="L92" s="6" t="s">
        <v>23</v>
      </c>
    </row>
    <row r="93" spans="1:12" x14ac:dyDescent="0.2">
      <c r="A93">
        <v>2008</v>
      </c>
      <c r="B93" s="6" t="e">
        <f>B73+B88</f>
        <v>#REF!</v>
      </c>
      <c r="C93" s="6" t="e">
        <f t="shared" si="30"/>
        <v>#REF!</v>
      </c>
      <c r="D93" s="6" t="e">
        <f t="shared" ref="C93:I94" si="31">D73+D88</f>
        <v>#REF!</v>
      </c>
      <c r="E93" s="6" t="e">
        <f t="shared" si="30"/>
        <v>#REF!</v>
      </c>
      <c r="F93" s="6" t="e">
        <f t="shared" si="30"/>
        <v>#REF!</v>
      </c>
      <c r="H93" s="6" t="e">
        <f t="shared" si="30"/>
        <v>#REF!</v>
      </c>
      <c r="I93" s="6" t="e">
        <f t="shared" si="30"/>
        <v>#REF!</v>
      </c>
      <c r="J93" s="6" t="e">
        <f>SUM(B93:I93)</f>
        <v>#REF!</v>
      </c>
      <c r="L93" s="6" t="e">
        <f>J93-L73</f>
        <v>#REF!</v>
      </c>
    </row>
    <row r="94" spans="1:12" x14ac:dyDescent="0.2">
      <c r="A94">
        <v>2009</v>
      </c>
      <c r="B94" s="6" t="e">
        <f>B74+B89</f>
        <v>#REF!</v>
      </c>
      <c r="C94" s="6" t="e">
        <f t="shared" si="31"/>
        <v>#REF!</v>
      </c>
      <c r="E94" s="6" t="e">
        <f t="shared" si="31"/>
        <v>#REF!</v>
      </c>
      <c r="F94" s="6" t="e">
        <f t="shared" si="31"/>
        <v>#REF!</v>
      </c>
      <c r="H94" s="6" t="e">
        <f t="shared" si="31"/>
        <v>#REF!</v>
      </c>
      <c r="I94" s="6" t="e">
        <f t="shared" si="31"/>
        <v>#REF!</v>
      </c>
      <c r="J94" s="6" t="e">
        <f>SUM(B94:I94)</f>
        <v>#REF!</v>
      </c>
      <c r="L94" s="6" t="e">
        <f>J94-L74</f>
        <v>#REF!</v>
      </c>
    </row>
    <row r="96" spans="1:12" x14ac:dyDescent="0.2">
      <c r="A96" t="s">
        <v>24</v>
      </c>
    </row>
    <row r="97" spans="1:9" x14ac:dyDescent="0.2">
      <c r="D97" s="15" t="e">
        <f t="shared" ref="C97:I98" si="32">(D72-D92)/D72</f>
        <v>#REF!</v>
      </c>
    </row>
    <row r="98" spans="1:9" x14ac:dyDescent="0.2">
      <c r="A98">
        <v>2008</v>
      </c>
      <c r="B98" s="15" t="e">
        <f>(B73-B93)/B73</f>
        <v>#REF!</v>
      </c>
      <c r="C98" s="15" t="e">
        <f t="shared" si="32"/>
        <v>#REF!</v>
      </c>
      <c r="D98" s="15" t="e">
        <f t="shared" ref="C98:I99" si="33">(D73-D93)/D73</f>
        <v>#REF!</v>
      </c>
      <c r="E98" s="15" t="e">
        <f t="shared" si="32"/>
        <v>#REF!</v>
      </c>
      <c r="F98" s="15" t="e">
        <f t="shared" si="32"/>
        <v>#REF!</v>
      </c>
      <c r="G98" s="15"/>
      <c r="H98" s="15" t="e">
        <f t="shared" si="32"/>
        <v>#REF!</v>
      </c>
      <c r="I98" s="15" t="e">
        <f t="shared" si="32"/>
        <v>#REF!</v>
      </c>
    </row>
    <row r="99" spans="1:9" x14ac:dyDescent="0.2">
      <c r="A99">
        <v>2009</v>
      </c>
      <c r="B99" s="15" t="e">
        <f>(B74-B94)/B74</f>
        <v>#REF!</v>
      </c>
      <c r="C99" s="15" t="e">
        <f t="shared" si="33"/>
        <v>#REF!</v>
      </c>
      <c r="E99" s="15" t="e">
        <f t="shared" si="33"/>
        <v>#REF!</v>
      </c>
      <c r="F99" s="15" t="e">
        <f t="shared" si="33"/>
        <v>#REF!</v>
      </c>
      <c r="G99" s="15"/>
      <c r="H99" s="15" t="e">
        <f t="shared" si="33"/>
        <v>#REF!</v>
      </c>
      <c r="I99" s="15" t="e">
        <f t="shared" si="33"/>
        <v>#REF!</v>
      </c>
    </row>
  </sheetData>
  <phoneticPr fontId="0" type="noConversion"/>
  <pageMargins left="0.38" right="0.75" top="0.73" bottom="0.74" header="0.5" footer="0.5"/>
  <pageSetup scale="40" orientation="landscape" r:id="rId1"/>
  <headerFooter alignWithMargins="0">
    <oddFooter>&amp;L&amp;Z&amp;F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3"/>
  <sheetViews>
    <sheetView topLeftCell="A14" zoomScaleNormal="100" workbookViewId="0">
      <selection activeCell="L29" sqref="L29"/>
    </sheetView>
  </sheetViews>
  <sheetFormatPr defaultRowHeight="12.75" x14ac:dyDescent="0.2"/>
  <cols>
    <col min="1" max="1" width="11" customWidth="1"/>
    <col min="2" max="2" width="14.140625" style="6" bestFit="1" customWidth="1"/>
    <col min="3" max="3" width="17.7109375" style="6" customWidth="1"/>
    <col min="4" max="6" width="12.5703125" style="6" customWidth="1"/>
    <col min="7" max="7" width="10.5703125" customWidth="1"/>
    <col min="8" max="8" width="12.7109375" style="6" bestFit="1" customWidth="1"/>
    <col min="9" max="9" width="12.28515625" style="6" bestFit="1" customWidth="1"/>
    <col min="10" max="10" width="10.7109375" style="6" bestFit="1" customWidth="1"/>
    <col min="11" max="12" width="9.140625" style="6" customWidth="1"/>
  </cols>
  <sheetData>
    <row r="1" spans="1:9" ht="42" customHeight="1" x14ac:dyDescent="0.2">
      <c r="B1" s="8" t="str">
        <f>'Rate Class Customer Model'!D2</f>
        <v>General Service &gt; 50 to 999 kW</v>
      </c>
      <c r="C1" s="8" t="str">
        <f>'Rate Class Customer Model'!E2</f>
        <v>General Service &gt; 1000 to 4999 kW</v>
      </c>
      <c r="D1" s="8" t="str">
        <f>'Rate Class Customer Model'!F2</f>
        <v>Large User</v>
      </c>
      <c r="E1" s="185" t="s">
        <v>162</v>
      </c>
      <c r="F1" s="8" t="str">
        <f>'Rate Class Customer Model'!H2</f>
        <v>Street Lights</v>
      </c>
      <c r="G1" s="105" t="s">
        <v>108</v>
      </c>
      <c r="H1" s="6" t="s">
        <v>12</v>
      </c>
    </row>
    <row r="2" spans="1:9" x14ac:dyDescent="0.2">
      <c r="A2" s="30">
        <v>1999</v>
      </c>
      <c r="B2" s="22"/>
      <c r="C2" s="22"/>
      <c r="D2" s="22"/>
      <c r="E2" s="22"/>
      <c r="F2" s="22"/>
      <c r="G2" s="106"/>
    </row>
    <row r="3" spans="1:9" x14ac:dyDescent="0.2">
      <c r="A3" s="30">
        <v>2000</v>
      </c>
      <c r="B3" s="48"/>
      <c r="C3" s="48"/>
      <c r="D3" s="48"/>
      <c r="E3" s="48"/>
      <c r="F3" s="48"/>
      <c r="G3" s="106"/>
      <c r="H3" s="6">
        <f t="shared" ref="H3:H11" si="0">SUM(B3:F3)</f>
        <v>0</v>
      </c>
    </row>
    <row r="4" spans="1:9" x14ac:dyDescent="0.2">
      <c r="A4" s="30">
        <v>2001</v>
      </c>
      <c r="B4" s="49"/>
      <c r="C4" s="49"/>
      <c r="D4" s="48"/>
      <c r="E4" s="48"/>
      <c r="F4" s="48"/>
      <c r="G4" s="106"/>
      <c r="H4" s="6">
        <f t="shared" si="0"/>
        <v>0</v>
      </c>
    </row>
    <row r="5" spans="1:9" x14ac:dyDescent="0.2">
      <c r="A5" s="30">
        <v>2002</v>
      </c>
      <c r="B5" s="49"/>
      <c r="C5" s="49"/>
      <c r="D5" s="48"/>
      <c r="E5" s="48"/>
      <c r="F5" s="48"/>
      <c r="G5" s="106"/>
      <c r="H5" s="6">
        <f t="shared" si="0"/>
        <v>0</v>
      </c>
    </row>
    <row r="6" spans="1:9" x14ac:dyDescent="0.2">
      <c r="A6" s="30">
        <v>2003</v>
      </c>
      <c r="B6" s="49">
        <f>556487+553249+14746+6434+628+45609</f>
        <v>1177153</v>
      </c>
      <c r="C6" s="49">
        <f>526395+7131</f>
        <v>533526</v>
      </c>
      <c r="D6" s="48">
        <v>429237</v>
      </c>
      <c r="E6" s="48"/>
      <c r="F6" s="48">
        <v>26537</v>
      </c>
      <c r="G6" s="106"/>
      <c r="H6" s="6">
        <f t="shared" si="0"/>
        <v>2166453</v>
      </c>
    </row>
    <row r="7" spans="1:9" x14ac:dyDescent="0.2">
      <c r="A7" s="30">
        <v>2004</v>
      </c>
      <c r="B7" s="49">
        <f>2279271-C7-D7-F7</f>
        <v>1242905</v>
      </c>
      <c r="C7" s="49">
        <f>518595+20526+4128</f>
        <v>543249</v>
      </c>
      <c r="D7" s="48">
        <f>468620</f>
        <v>468620</v>
      </c>
      <c r="E7" s="48"/>
      <c r="F7" s="48">
        <f>24497</f>
        <v>24497</v>
      </c>
      <c r="G7" s="106"/>
      <c r="H7" s="6">
        <f t="shared" si="0"/>
        <v>2279271</v>
      </c>
    </row>
    <row r="8" spans="1:9" x14ac:dyDescent="0.2">
      <c r="A8" s="30">
        <v>2005</v>
      </c>
      <c r="B8" s="49">
        <f>2398883-C8-D8-F8</f>
        <v>1274085</v>
      </c>
      <c r="C8" s="49">
        <f>573198+8870+37285</f>
        <v>619353</v>
      </c>
      <c r="D8" s="48">
        <f>480781</f>
        <v>480781</v>
      </c>
      <c r="E8" s="48"/>
      <c r="F8" s="48">
        <f>24664</f>
        <v>24664</v>
      </c>
      <c r="G8" s="106"/>
      <c r="H8" s="6">
        <f t="shared" si="0"/>
        <v>2398883</v>
      </c>
    </row>
    <row r="9" spans="1:9" x14ac:dyDescent="0.2">
      <c r="A9" s="30">
        <v>2006</v>
      </c>
      <c r="B9" s="49">
        <f>602534+666131+5610+5329</f>
        <v>1279604</v>
      </c>
      <c r="C9" s="49">
        <f>618222</f>
        <v>618222</v>
      </c>
      <c r="D9" s="48">
        <f>472853</f>
        <v>472853</v>
      </c>
      <c r="E9" s="48">
        <f>[11]Demand_billed!$L$26</f>
        <v>73441.350000000006</v>
      </c>
      <c r="F9" s="48">
        <f>24008</f>
        <v>24008</v>
      </c>
      <c r="G9" s="106"/>
      <c r="H9" s="6">
        <f t="shared" si="0"/>
        <v>2468128.35</v>
      </c>
    </row>
    <row r="10" spans="1:9" x14ac:dyDescent="0.2">
      <c r="A10" s="30">
        <v>2007</v>
      </c>
      <c r="B10" s="49">
        <f>568806+706052</f>
        <v>1274858</v>
      </c>
      <c r="C10" s="49">
        <f>571091</f>
        <v>571091</v>
      </c>
      <c r="D10" s="48">
        <f>481509</f>
        <v>481509</v>
      </c>
      <c r="E10" s="48">
        <f>[11]Demand_billed!$K$26</f>
        <v>72913.429999999993</v>
      </c>
      <c r="F10" s="48">
        <f>24182</f>
        <v>24182</v>
      </c>
      <c r="G10" s="106"/>
      <c r="H10" s="6">
        <f t="shared" si="0"/>
        <v>2424553.4300000002</v>
      </c>
    </row>
    <row r="11" spans="1:9" x14ac:dyDescent="0.2">
      <c r="A11" s="30">
        <v>2008</v>
      </c>
      <c r="B11" s="48">
        <f>570559+673615</f>
        <v>1244174</v>
      </c>
      <c r="C11" s="48">
        <f>554036</f>
        <v>554036</v>
      </c>
      <c r="D11" s="48">
        <f>446448</f>
        <v>446448</v>
      </c>
      <c r="E11" s="48">
        <f>[11]Demand_billed!$J$26</f>
        <v>72484.789999999994</v>
      </c>
      <c r="F11" s="48">
        <f>24090</f>
        <v>24090</v>
      </c>
      <c r="G11" s="106"/>
      <c r="H11" s="6">
        <f t="shared" si="0"/>
        <v>2341232.79</v>
      </c>
    </row>
    <row r="12" spans="1:9" x14ac:dyDescent="0.2">
      <c r="A12" s="30">
        <v>2009</v>
      </c>
      <c r="B12" s="100">
        <f>'[6]2009'!B$31</f>
        <v>1337289.374367215</v>
      </c>
      <c r="C12" s="100">
        <f>'[6]2009'!C$31</f>
        <v>530195.33860000013</v>
      </c>
      <c r="D12" s="100">
        <f>'[6]2009'!D$31</f>
        <v>411895.9939</v>
      </c>
      <c r="E12" s="100">
        <f>[11]Demand_billed!$I$26</f>
        <v>73037.789999999994</v>
      </c>
      <c r="F12" s="100">
        <f>'[6]2009'!E$31</f>
        <v>26450.66</v>
      </c>
      <c r="G12" s="100">
        <f>'[6]2009'!$F$31+'[6]2009'!$G$31</f>
        <v>107590.9891359524</v>
      </c>
      <c r="H12" s="6">
        <f t="shared" ref="H12:H17" si="1">SUM(B12:G12)</f>
        <v>2486460.1460031676</v>
      </c>
    </row>
    <row r="13" spans="1:9" x14ac:dyDescent="0.2">
      <c r="A13" s="30">
        <v>2010</v>
      </c>
      <c r="B13" s="100">
        <f>'[6]2010'!B$32</f>
        <v>1294863.0522035467</v>
      </c>
      <c r="C13" s="100">
        <f>'[6]2010'!C$32</f>
        <v>570059.7252000001</v>
      </c>
      <c r="D13" s="100">
        <f>'[6]2010'!D$32</f>
        <v>421436.3223</v>
      </c>
      <c r="E13" s="100">
        <f>[11]Demand_billed!$H$26</f>
        <v>75928.2</v>
      </c>
      <c r="F13" s="100">
        <f>'[6]2010'!E$32</f>
        <v>26613.739999999998</v>
      </c>
      <c r="G13" s="100">
        <f>'[6]2010'!$F$32+'[6]2010'!$G$32</f>
        <v>101371.27183867896</v>
      </c>
      <c r="H13" s="6">
        <f t="shared" si="1"/>
        <v>2490272.3115422265</v>
      </c>
    </row>
    <row r="14" spans="1:9" x14ac:dyDescent="0.2">
      <c r="A14" s="30">
        <v>2011</v>
      </c>
      <c r="B14" s="100">
        <f>'[6]2011_V2'!B$34</f>
        <v>1331831.0365679159</v>
      </c>
      <c r="C14" s="100">
        <f>'[6]2011_V2'!C$34</f>
        <v>582382.60674197262</v>
      </c>
      <c r="D14" s="100">
        <f>'[6]2011_V2'!D$34</f>
        <v>431698.85844270035</v>
      </c>
      <c r="E14" s="100">
        <f>[11]Demand_billed!$G$26</f>
        <v>81847.960000000006</v>
      </c>
      <c r="F14" s="100">
        <f>'[6]2011_V2'!E$34</f>
        <v>26604.027249875653</v>
      </c>
      <c r="G14" s="100">
        <f>'[6]2011_V2'!$F$34+'[6]2011_V2'!$G$34</f>
        <v>107151.21353000897</v>
      </c>
      <c r="H14" s="6">
        <f t="shared" si="1"/>
        <v>2561515.7025324735</v>
      </c>
    </row>
    <row r="15" spans="1:9" x14ac:dyDescent="0.2">
      <c r="A15" s="30">
        <v>2012</v>
      </c>
      <c r="B15" s="100">
        <f>'[6]2012_V2'!B$32</f>
        <v>1350651.4097994231</v>
      </c>
      <c r="C15" s="100">
        <f>'[6]2012_V2'!C$32</f>
        <v>527946.7194752692</v>
      </c>
      <c r="D15" s="100">
        <f>'[6]2012_V2'!D$32</f>
        <v>483777.43670654291</v>
      </c>
      <c r="E15" s="100">
        <f>[11]Demand_billed!$F$26</f>
        <v>81650.759999999995</v>
      </c>
      <c r="F15" s="100">
        <f>'[6]2012_V2'!E$32</f>
        <v>26876.159901697181</v>
      </c>
      <c r="G15" s="100">
        <f>'[6]2012_V2'!$F$32+'[6]2012_V2'!$G$32</f>
        <v>100035.04633331299</v>
      </c>
      <c r="H15" s="6">
        <f t="shared" si="1"/>
        <v>2570937.5322162453</v>
      </c>
      <c r="I15" s="109"/>
    </row>
    <row r="16" spans="1:9" x14ac:dyDescent="0.2">
      <c r="A16" s="30">
        <v>2013</v>
      </c>
      <c r="B16" s="31">
        <f>B35*'Rate Class Energy Model'!J73</f>
        <v>1222684.9996657735</v>
      </c>
      <c r="C16" s="31">
        <f>C35*'Rate Class Energy Model'!K73</f>
        <v>529312.79885391332</v>
      </c>
      <c r="D16" s="31">
        <f>D35*'Rate Class Energy Model'!L73</f>
        <v>423390.54069697962</v>
      </c>
      <c r="E16" s="31">
        <f>E35*'Rate Class Energy Model'!M73</f>
        <v>78916.676104049038</v>
      </c>
      <c r="F16" s="31">
        <f>F35*'Rate Class Energy Model'!N73</f>
        <v>25847.553417371448</v>
      </c>
      <c r="G16" s="31">
        <f>G35*'Rate Class Energy Model'!P73</f>
        <v>91971.308330616273</v>
      </c>
      <c r="H16" s="6">
        <f t="shared" si="1"/>
        <v>2372123.8770687035</v>
      </c>
    </row>
    <row r="17" spans="1:9" x14ac:dyDescent="0.2">
      <c r="A17" s="30">
        <v>2014</v>
      </c>
      <c r="B17" s="31">
        <f>B35*'Rate Class Energy Model'!J74</f>
        <v>1211049.8096063654</v>
      </c>
      <c r="C17" s="31">
        <f>C35*'Rate Class Energy Model'!K74</f>
        <v>521747.24298547133</v>
      </c>
      <c r="D17" s="31">
        <f>D35*'Rate Class Energy Model'!L74</f>
        <v>429057.14555875014</v>
      </c>
      <c r="E17" s="31">
        <f>E35*'Rate Class Energy Model'!M74</f>
        <v>79211.2993072315</v>
      </c>
      <c r="F17" s="31">
        <f>F35*'Rate Class Energy Model'!N74</f>
        <v>25750.749206811397</v>
      </c>
      <c r="G17" s="31">
        <f>G35*'Rate Class Energy Model'!P74</f>
        <v>90564.377192908592</v>
      </c>
      <c r="H17" s="6">
        <f t="shared" si="1"/>
        <v>2357380.6238575378</v>
      </c>
    </row>
    <row r="18" spans="1:9" x14ac:dyDescent="0.2">
      <c r="A18" s="19"/>
    </row>
    <row r="19" spans="1:9" x14ac:dyDescent="0.2">
      <c r="A19" s="18" t="s">
        <v>78</v>
      </c>
      <c r="B19" s="5"/>
      <c r="C19" s="5"/>
      <c r="D19" s="5"/>
      <c r="E19" s="5"/>
      <c r="F19" s="5"/>
    </row>
    <row r="20" spans="1:9" x14ac:dyDescent="0.2">
      <c r="A20" s="4">
        <v>1999</v>
      </c>
      <c r="B20" s="28"/>
      <c r="C20" s="28"/>
      <c r="D20" s="5"/>
      <c r="E20" s="5"/>
      <c r="F20" s="5"/>
    </row>
    <row r="21" spans="1:9" x14ac:dyDescent="0.2">
      <c r="A21" s="4">
        <v>2000</v>
      </c>
      <c r="B21" s="28"/>
      <c r="C21" s="28"/>
      <c r="D21" s="28"/>
      <c r="E21" s="28"/>
      <c r="F21" s="28"/>
    </row>
    <row r="22" spans="1:9" x14ac:dyDescent="0.2">
      <c r="A22" s="4">
        <v>2001</v>
      </c>
      <c r="B22" s="28">
        <f>B4/'Rate Class Energy Model'!J12</f>
        <v>0</v>
      </c>
      <c r="C22" s="28">
        <f>C4/'Rate Class Energy Model'!K12</f>
        <v>0</v>
      </c>
      <c r="D22" s="28">
        <f>D4/'Rate Class Energy Model'!L12</f>
        <v>0</v>
      </c>
      <c r="E22" s="28"/>
      <c r="F22" s="28"/>
    </row>
    <row r="23" spans="1:9" x14ac:dyDescent="0.2">
      <c r="A23" s="4">
        <v>2002</v>
      </c>
      <c r="B23" s="28">
        <f>B5/'Rate Class Energy Model'!J13</f>
        <v>0</v>
      </c>
      <c r="C23" s="28">
        <f>C5/'Rate Class Energy Model'!K13</f>
        <v>0</v>
      </c>
      <c r="D23" s="28">
        <f>D5/'Rate Class Energy Model'!L13</f>
        <v>0</v>
      </c>
      <c r="E23" s="28"/>
      <c r="F23" s="28"/>
    </row>
    <row r="24" spans="1:9" x14ac:dyDescent="0.2">
      <c r="A24" s="4">
        <v>2003</v>
      </c>
      <c r="B24" s="28">
        <f>B6/'Rate Class Energy Model'!J14</f>
        <v>2.6168765453389838E-3</v>
      </c>
      <c r="C24" s="28">
        <f>C6/'Rate Class Energy Model'!K14</f>
        <v>2.0261587936549882E-3</v>
      </c>
      <c r="D24" s="28">
        <f>D6/'Rate Class Energy Model'!L14</f>
        <v>1.8290986807808411E-3</v>
      </c>
      <c r="E24" s="28"/>
      <c r="F24" s="28">
        <f>F6/'Rate Class Energy Model'!N14</f>
        <v>2.8189864799764001E-3</v>
      </c>
    </row>
    <row r="25" spans="1:9" x14ac:dyDescent="0.2">
      <c r="A25" s="4">
        <v>2004</v>
      </c>
      <c r="B25" s="28">
        <f>B7/'Rate Class Energy Model'!J15</f>
        <v>2.6359680305252189E-3</v>
      </c>
      <c r="C25" s="28">
        <f>C7/'Rate Class Energy Model'!K15</f>
        <v>2.0127118184873455E-3</v>
      </c>
      <c r="D25" s="28">
        <f>D7/'Rate Class Energy Model'!L15</f>
        <v>1.9113859575333133E-3</v>
      </c>
      <c r="E25" s="28"/>
      <c r="F25" s="28">
        <f>F7/'Rate Class Energy Model'!N15</f>
        <v>2.5737538794872931E-3</v>
      </c>
    </row>
    <row r="26" spans="1:9" x14ac:dyDescent="0.2">
      <c r="A26" s="4">
        <v>2005</v>
      </c>
      <c r="B26" s="28">
        <f>B8/'Rate Class Energy Model'!J16</f>
        <v>2.6691210062984149E-3</v>
      </c>
      <c r="C26" s="28">
        <f>C8/'Rate Class Energy Model'!K16</f>
        <v>2.1441970714009646E-3</v>
      </c>
      <c r="D26" s="28">
        <f>D8/'Rate Class Energy Model'!L16</f>
        <v>1.8755496366105252E-3</v>
      </c>
      <c r="E26" s="28"/>
      <c r="F26" s="28">
        <f>F8/'Rate Class Energy Model'!N16</f>
        <v>2.5848435489247592E-3</v>
      </c>
    </row>
    <row r="27" spans="1:9" x14ac:dyDescent="0.2">
      <c r="A27" s="4">
        <v>2006</v>
      </c>
      <c r="B27" s="28">
        <f>B9/'Rate Class Energy Model'!J17</f>
        <v>2.7986266930352484E-3</v>
      </c>
      <c r="C27" s="28">
        <f>C9/'Rate Class Energy Model'!K17</f>
        <v>2.4903143165170842E-3</v>
      </c>
      <c r="D27" s="28">
        <f>D9/'Rate Class Energy Model'!L17</f>
        <v>1.8756429898945824E-3</v>
      </c>
      <c r="E27" s="28">
        <f>E9/'Rate Class Energy Model'!M17</f>
        <v>1.7175247858142429E-3</v>
      </c>
      <c r="F27" s="28">
        <f>F9/'Rate Class Energy Model'!N17</f>
        <v>2.581350540366205E-3</v>
      </c>
    </row>
    <row r="28" spans="1:9" x14ac:dyDescent="0.2">
      <c r="A28" s="4">
        <v>2007</v>
      </c>
      <c r="B28" s="28">
        <f>B10/'Rate Class Energy Model'!J18</f>
        <v>2.7062601827898521E-3</v>
      </c>
      <c r="C28" s="28">
        <f>C10/'Rate Class Energy Model'!K18</f>
        <v>2.5176058497532483E-3</v>
      </c>
      <c r="D28" s="28">
        <f>D10/'Rate Class Energy Model'!L18</f>
        <v>1.9100500388182851E-3</v>
      </c>
      <c r="E28" s="28">
        <f>E10/'Rate Class Energy Model'!M18</f>
        <v>1.7047063019203341E-3</v>
      </c>
      <c r="F28" s="28">
        <f>F10/'Rate Class Energy Model'!N18</f>
        <v>2.5608843096378443E-3</v>
      </c>
    </row>
    <row r="29" spans="1:9" x14ac:dyDescent="0.2">
      <c r="A29" s="4">
        <v>2008</v>
      </c>
      <c r="B29" s="28">
        <f>B11/'Rate Class Energy Model'!J19</f>
        <v>2.7281622913876355E-3</v>
      </c>
      <c r="C29" s="28">
        <f>C11/'Rate Class Energy Model'!K19</f>
        <v>2.5160208661421271E-3</v>
      </c>
      <c r="D29" s="28">
        <f>D11/'Rate Class Energy Model'!L19</f>
        <v>1.9385686143000424E-3</v>
      </c>
      <c r="E29" s="28">
        <f>E11/'Rate Class Energy Model'!M19</f>
        <v>1.6881727128795095E-3</v>
      </c>
      <c r="F29" s="28">
        <f>F11/'Rate Class Energy Model'!N19</f>
        <v>2.549505823065918E-3</v>
      </c>
    </row>
    <row r="30" spans="1:9" x14ac:dyDescent="0.2">
      <c r="A30" s="4">
        <v>2009</v>
      </c>
      <c r="B30" s="28">
        <f>B12/'Rate Class Energy Model'!J20</f>
        <v>3.0922704816441059E-3</v>
      </c>
      <c r="C30" s="28">
        <f>C12/'Rate Class Energy Model'!K20</f>
        <v>2.7470878847799265E-3</v>
      </c>
      <c r="D30" s="28">
        <f>D12/'Rate Class Energy Model'!L20</f>
        <v>2.2797105045900515E-3</v>
      </c>
      <c r="E30" s="28">
        <f>E12/'Rate Class Energy Model'!M20</f>
        <v>1.6904243776613866E-3</v>
      </c>
      <c r="F30" s="28">
        <f>F12/'Rate Class Energy Model'!N20</f>
        <v>2.7929439591232647E-3</v>
      </c>
      <c r="G30" s="28">
        <f>G12/('Rate Class Energy Model'!P20+'Rate Class Energy Model'!R20)</f>
        <v>1.982420537900864E-3</v>
      </c>
      <c r="I30" s="28"/>
    </row>
    <row r="31" spans="1:9" x14ac:dyDescent="0.2">
      <c r="A31" s="4">
        <v>2010</v>
      </c>
      <c r="B31" s="28">
        <f>B13/'Rate Class Energy Model'!J21</f>
        <v>3.0359233091886658E-3</v>
      </c>
      <c r="C31" s="28">
        <f>C13/'Rate Class Energy Model'!K21</f>
        <v>2.580417081066409E-3</v>
      </c>
      <c r="D31" s="28">
        <f>D13/'Rate Class Energy Model'!L21</f>
        <v>2.1440890969027641E-3</v>
      </c>
      <c r="E31" s="28">
        <f>E13/'Rate Class Energy Model'!M21</f>
        <v>1.7336493260294912E-3</v>
      </c>
      <c r="F31" s="28">
        <f>F13/'Rate Class Energy Model'!N21</f>
        <v>2.7957941257440964E-3</v>
      </c>
      <c r="G31" s="28">
        <f>G13/('Rate Class Energy Model'!P21+'Rate Class Energy Model'!R21)</f>
        <v>2.0351251915705962E-3</v>
      </c>
      <c r="I31" s="28"/>
    </row>
    <row r="32" spans="1:9" x14ac:dyDescent="0.2">
      <c r="A32" s="4">
        <v>2011</v>
      </c>
      <c r="B32" s="28">
        <f>B14/'Rate Class Energy Model'!J22</f>
        <v>3.0465595507390272E-3</v>
      </c>
      <c r="C32" s="28">
        <f>C14/'Rate Class Energy Model'!K22</f>
        <v>2.4188621519489837E-3</v>
      </c>
      <c r="D32" s="28">
        <f>D14/'Rate Class Energy Model'!L22</f>
        <v>2.5514750245168583E-3</v>
      </c>
      <c r="E32" s="28">
        <f>E14/'Rate Class Energy Model'!M22</f>
        <v>1.7506184180007564E-3</v>
      </c>
      <c r="F32" s="28">
        <f>F14/'Rate Class Energy Model'!N22</f>
        <v>2.7946917100768647E-3</v>
      </c>
      <c r="G32" s="28">
        <f>G14/('Rate Class Energy Model'!P22+'Rate Class Energy Model'!R22)</f>
        <v>2.0900830966685529E-3</v>
      </c>
      <c r="I32" s="28"/>
    </row>
    <row r="33" spans="1:9" x14ac:dyDescent="0.2">
      <c r="A33" s="4">
        <v>2012</v>
      </c>
      <c r="B33" s="28">
        <f>B15/'Rate Class Energy Model'!J23</f>
        <v>3.0878999974056518E-3</v>
      </c>
      <c r="C33" s="28">
        <f>C15/'Rate Class Energy Model'!K23</f>
        <v>2.3336730824025545E-3</v>
      </c>
      <c r="D33" s="28">
        <f>D15/'Rate Class Energy Model'!L23</f>
        <v>2.4045858465408937E-3</v>
      </c>
      <c r="E33" s="28">
        <f>E15/'Rate Class Energy Model'!M23</f>
        <v>1.796391424410425E-3</v>
      </c>
      <c r="F33" s="28">
        <f>F15/'Rate Class Energy Model'!N23</f>
        <v>2.786488634453041E-3</v>
      </c>
      <c r="G33" s="28">
        <f>G15/('Rate Class Energy Model'!P23+'Rate Class Energy Model'!R23)</f>
        <v>2.2333857595393069E-3</v>
      </c>
      <c r="I33" s="28"/>
    </row>
    <row r="35" spans="1:9" x14ac:dyDescent="0.2">
      <c r="A35" t="s">
        <v>16</v>
      </c>
      <c r="B35" s="28">
        <f t="shared" ref="B35:G35" si="2">AVERAGE(B24:B33)</f>
        <v>2.8417668088352803E-3</v>
      </c>
      <c r="C35" s="28">
        <f t="shared" si="2"/>
        <v>2.3787048916153633E-3</v>
      </c>
      <c r="D35" s="28">
        <f t="shared" si="2"/>
        <v>2.072015639048816E-3</v>
      </c>
      <c r="E35" s="28">
        <f t="shared" si="2"/>
        <v>1.7259267638165922E-3</v>
      </c>
      <c r="F35" s="28">
        <f t="shared" si="2"/>
        <v>2.6839243010855691E-3</v>
      </c>
      <c r="G35" s="28">
        <f t="shared" si="2"/>
        <v>2.08525364641983E-3</v>
      </c>
    </row>
    <row r="37" spans="1:9" x14ac:dyDescent="0.2">
      <c r="B37" s="28"/>
    </row>
    <row r="42" spans="1:9" x14ac:dyDescent="0.2">
      <c r="B42" s="26"/>
      <c r="C42" s="26"/>
      <c r="D42" s="26"/>
      <c r="E42" s="26"/>
      <c r="F42" s="26"/>
    </row>
    <row r="43" spans="1:9" x14ac:dyDescent="0.2">
      <c r="B43" s="26"/>
      <c r="C43" s="26"/>
      <c r="D43" s="26"/>
      <c r="E43" s="26"/>
      <c r="F43" s="26"/>
    </row>
    <row r="62" spans="2:6" x14ac:dyDescent="0.2">
      <c r="B62" s="15"/>
      <c r="C62" s="15"/>
      <c r="D62" s="15"/>
      <c r="E62" s="15"/>
      <c r="F62" s="15"/>
    </row>
    <row r="63" spans="2:6" x14ac:dyDescent="0.2">
      <c r="B63" s="15"/>
      <c r="C63" s="15"/>
      <c r="D63" s="15"/>
      <c r="E63" s="15"/>
      <c r="F63" s="15"/>
    </row>
  </sheetData>
  <phoneticPr fontId="0" type="noConversion"/>
  <pageMargins left="0.38" right="0.75" top="0.73" bottom="0.74" header="0.5" footer="0.5"/>
  <pageSetup orientation="landscape" r:id="rId1"/>
  <headerFooter alignWithMargins="0">
    <oddFooter>&amp;L&amp;Z&amp;F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124"/>
  <sheetViews>
    <sheetView zoomScaleNormal="100" workbookViewId="0">
      <selection activeCell="C8" sqref="C8"/>
    </sheetView>
  </sheetViews>
  <sheetFormatPr defaultRowHeight="12.75" x14ac:dyDescent="0.2"/>
  <cols>
    <col min="2" max="5" width="13.7109375" customWidth="1"/>
    <col min="6" max="6" width="12.85546875" bestFit="1" customWidth="1"/>
    <col min="7" max="7" width="13" bestFit="1" customWidth="1"/>
    <col min="8" max="8" width="12.85546875" bestFit="1" customWidth="1"/>
    <col min="10" max="10" width="12.7109375" customWidth="1"/>
    <col min="16" max="16" width="11.28515625" customWidth="1"/>
    <col min="17" max="17" width="10.140625" bestFit="1" customWidth="1"/>
    <col min="18" max="18" width="11.42578125" customWidth="1"/>
    <col min="19" max="19" width="11" customWidth="1"/>
    <col min="20" max="20" width="11.140625" bestFit="1" customWidth="1"/>
    <col min="25" max="25" width="13.140625" customWidth="1"/>
  </cols>
  <sheetData>
    <row r="1" spans="1:21" ht="63.75" x14ac:dyDescent="0.2">
      <c r="B1" s="105" t="s">
        <v>110</v>
      </c>
      <c r="C1" s="352" t="s">
        <v>294</v>
      </c>
      <c r="D1" s="105" t="s">
        <v>111</v>
      </c>
      <c r="E1" s="105" t="s">
        <v>112</v>
      </c>
      <c r="F1" s="105" t="s">
        <v>113</v>
      </c>
      <c r="G1" s="105" t="s">
        <v>114</v>
      </c>
      <c r="P1" s="435" t="s">
        <v>115</v>
      </c>
      <c r="Q1" s="435"/>
      <c r="R1" s="435"/>
    </row>
    <row r="2" spans="1:21" x14ac:dyDescent="0.2">
      <c r="A2">
        <v>2005</v>
      </c>
      <c r="F2" s="112"/>
      <c r="G2" s="113">
        <f>F2</f>
        <v>0</v>
      </c>
      <c r="H2" s="113">
        <f t="shared" ref="H2:H11" si="0">G2/$N$14</f>
        <v>0</v>
      </c>
      <c r="J2" s="436" t="s">
        <v>23</v>
      </c>
      <c r="K2" s="436"/>
      <c r="M2" s="74" t="s">
        <v>116</v>
      </c>
      <c r="N2" s="74">
        <v>1</v>
      </c>
      <c r="P2" s="437">
        <v>73660000</v>
      </c>
      <c r="Q2" s="437"/>
      <c r="R2" s="437"/>
    </row>
    <row r="3" spans="1:21" ht="13.5" thickBot="1" x14ac:dyDescent="0.25">
      <c r="A3">
        <v>2006</v>
      </c>
      <c r="B3" s="165">
        <v>4080568.0364742391</v>
      </c>
      <c r="C3" s="165">
        <v>1826895.8597920679</v>
      </c>
      <c r="D3" s="67">
        <f>B3-C3</f>
        <v>2253672.1766821714</v>
      </c>
      <c r="E3" s="114">
        <f>D3/C3</f>
        <v>1.2336073589540446</v>
      </c>
      <c r="F3" s="113">
        <f>C3</f>
        <v>1826895.8597920679</v>
      </c>
      <c r="G3" s="113">
        <f>F3</f>
        <v>1826895.8597920679</v>
      </c>
      <c r="H3" s="113">
        <f t="shared" si="0"/>
        <v>23421.741792205998</v>
      </c>
      <c r="J3" s="115">
        <f>G27</f>
        <v>1826895.8597920677</v>
      </c>
      <c r="K3" s="115">
        <f t="shared" ref="K3:K11" si="1">F3-J3</f>
        <v>0</v>
      </c>
      <c r="M3" s="74" t="s">
        <v>117</v>
      </c>
      <c r="N3" s="74">
        <v>2</v>
      </c>
    </row>
    <row r="4" spans="1:21" x14ac:dyDescent="0.2">
      <c r="A4">
        <v>2007</v>
      </c>
      <c r="B4" s="165">
        <v>11853497.757393796</v>
      </c>
      <c r="C4" s="165">
        <v>4932237.5799856689</v>
      </c>
      <c r="D4" s="67">
        <f t="shared" ref="D4:D11" si="2">B4-C4</f>
        <v>6921260.1774081271</v>
      </c>
      <c r="E4" s="114">
        <f t="shared" ref="E4:E12" si="3">D4/C4</f>
        <v>1.4032698273687452</v>
      </c>
      <c r="F4" s="113">
        <f>C4</f>
        <v>4932237.5799856689</v>
      </c>
      <c r="G4" s="113">
        <f>F4-H27</f>
        <v>1559506.7619080045</v>
      </c>
      <c r="H4" s="113">
        <f t="shared" si="0"/>
        <v>19993.676434718007</v>
      </c>
      <c r="J4" s="115">
        <f>G39</f>
        <v>4932237.5799856689</v>
      </c>
      <c r="K4" s="115">
        <f t="shared" si="1"/>
        <v>0</v>
      </c>
      <c r="M4" s="74" t="s">
        <v>118</v>
      </c>
      <c r="N4" s="74">
        <v>3</v>
      </c>
      <c r="P4" s="438" t="s">
        <v>119</v>
      </c>
      <c r="Q4" s="439"/>
      <c r="R4" s="439"/>
      <c r="S4" s="439"/>
      <c r="T4" s="440"/>
    </row>
    <row r="5" spans="1:21" x14ac:dyDescent="0.2">
      <c r="A5">
        <v>2008</v>
      </c>
      <c r="B5" s="165">
        <v>13371884.135300633</v>
      </c>
      <c r="C5" s="165">
        <v>7199424.3715859512</v>
      </c>
      <c r="D5" s="67">
        <f t="shared" si="2"/>
        <v>6172459.7637146814</v>
      </c>
      <c r="E5" s="114">
        <f t="shared" si="3"/>
        <v>0.85735462241614724</v>
      </c>
      <c r="F5" s="113">
        <f>C5</f>
        <v>7199424.3715859512</v>
      </c>
      <c r="G5" s="113">
        <f>F5-H39</f>
        <v>947604.14690889325</v>
      </c>
      <c r="H5" s="113">
        <f t="shared" si="0"/>
        <v>12148.771114216581</v>
      </c>
      <c r="J5" s="115">
        <f>G51</f>
        <v>7199424.3715859475</v>
      </c>
      <c r="K5" s="115">
        <f t="shared" si="1"/>
        <v>0</v>
      </c>
      <c r="M5" s="74" t="s">
        <v>120</v>
      </c>
      <c r="N5" s="74">
        <v>4</v>
      </c>
      <c r="P5" s="116">
        <v>2011</v>
      </c>
      <c r="Q5" s="74">
        <v>2012</v>
      </c>
      <c r="R5" s="74">
        <v>2013</v>
      </c>
      <c r="S5" s="74">
        <v>2014</v>
      </c>
      <c r="T5" s="117" t="s">
        <v>12</v>
      </c>
    </row>
    <row r="6" spans="1:21" x14ac:dyDescent="0.2">
      <c r="A6">
        <v>2009</v>
      </c>
      <c r="B6" s="165">
        <v>21204271.739586256</v>
      </c>
      <c r="C6" s="165">
        <v>11355458.395677308</v>
      </c>
      <c r="D6" s="67">
        <f t="shared" si="2"/>
        <v>9848813.3439089488</v>
      </c>
      <c r="E6" s="114">
        <f t="shared" si="3"/>
        <v>0.86731975061949984</v>
      </c>
      <c r="F6" s="113">
        <f>C6</f>
        <v>11355458.395677308</v>
      </c>
      <c r="G6" s="113">
        <f>F6-H51</f>
        <v>3354215.1305530686</v>
      </c>
      <c r="H6" s="113">
        <f t="shared" si="0"/>
        <v>43002.758084013702</v>
      </c>
      <c r="J6" s="115">
        <f>G63</f>
        <v>11355458.395677308</v>
      </c>
      <c r="K6" s="115">
        <f t="shared" si="1"/>
        <v>0</v>
      </c>
      <c r="M6" s="74" t="s">
        <v>121</v>
      </c>
      <c r="N6" s="74">
        <v>5</v>
      </c>
      <c r="P6" s="118">
        <f>P12/$P$2</f>
        <v>0.18259571001900624</v>
      </c>
      <c r="Q6" s="119">
        <f>Q12/$P$2</f>
        <v>0.17512897094759708</v>
      </c>
      <c r="R6" s="119">
        <f>R12/$P$2</f>
        <v>0.17512897094759708</v>
      </c>
      <c r="S6" s="119">
        <f>S12/$P$2</f>
        <v>0.17404289980993756</v>
      </c>
      <c r="T6" s="120">
        <f>SUM(P6:S6)</f>
        <v>0.70689655172413801</v>
      </c>
    </row>
    <row r="7" spans="1:21" x14ac:dyDescent="0.2">
      <c r="A7">
        <v>2010</v>
      </c>
      <c r="B7" s="165">
        <v>35333845.644771695</v>
      </c>
      <c r="C7" s="165">
        <v>16129896.991863357</v>
      </c>
      <c r="D7" s="67">
        <f t="shared" si="2"/>
        <v>19203948.65290834</v>
      </c>
      <c r="E7" s="114">
        <f t="shared" si="3"/>
        <v>1.1905809852719873</v>
      </c>
      <c r="F7" s="113">
        <f>C7</f>
        <v>16129896.991863357</v>
      </c>
      <c r="G7" s="113">
        <f>F7-H63</f>
        <v>1936256.5626411475</v>
      </c>
      <c r="H7" s="113">
        <f t="shared" si="0"/>
        <v>24823.802085142917</v>
      </c>
      <c r="J7" s="115">
        <f>G75</f>
        <v>16129896.991863348</v>
      </c>
      <c r="K7" s="115">
        <f t="shared" si="1"/>
        <v>0</v>
      </c>
      <c r="M7" s="74" t="s">
        <v>122</v>
      </c>
      <c r="N7" s="74">
        <v>6</v>
      </c>
      <c r="P7" s="121"/>
      <c r="Q7" s="119">
        <f>Q13/$P$2</f>
        <v>0.10738528373608472</v>
      </c>
      <c r="R7" s="119">
        <f t="shared" ref="R7:S9" si="4">R13/$P$2</f>
        <v>0.10657073038284008</v>
      </c>
      <c r="S7" s="119">
        <f t="shared" si="4"/>
        <v>0.10602769481401032</v>
      </c>
      <c r="T7" s="120">
        <f>SUM(P7:S7)</f>
        <v>0.3199837089329351</v>
      </c>
    </row>
    <row r="8" spans="1:21" x14ac:dyDescent="0.2">
      <c r="A8">
        <v>2011</v>
      </c>
      <c r="B8" s="165">
        <v>33350487.153464667</v>
      </c>
      <c r="C8" s="165">
        <v>19795632.977069873</v>
      </c>
      <c r="D8" s="67">
        <f t="shared" si="2"/>
        <v>13554854.176394794</v>
      </c>
      <c r="E8" s="114">
        <f t="shared" si="3"/>
        <v>0.68473961868741251</v>
      </c>
      <c r="F8" s="113">
        <f>C8+(P12/2)</f>
        <v>26520632.977069873</v>
      </c>
      <c r="G8" s="113">
        <f>F8-H75</f>
        <v>8752365.0475871004</v>
      </c>
      <c r="H8" s="113">
        <f t="shared" si="0"/>
        <v>112209.80830239873</v>
      </c>
      <c r="J8" s="115">
        <f>G87</f>
        <v>26520632.977069877</v>
      </c>
      <c r="K8" s="115">
        <f t="shared" si="1"/>
        <v>0</v>
      </c>
      <c r="M8" s="74" t="s">
        <v>123</v>
      </c>
      <c r="N8" s="74">
        <v>7</v>
      </c>
      <c r="P8" s="123"/>
      <c r="Q8" s="122"/>
      <c r="R8" s="119">
        <f t="shared" si="4"/>
        <v>6.3915286451262557E-2</v>
      </c>
      <c r="S8" s="119">
        <f t="shared" si="4"/>
        <v>5.3217485745316317E-2</v>
      </c>
      <c r="T8" s="120">
        <f>SUM(P8:S8)</f>
        <v>0.11713277219657887</v>
      </c>
    </row>
    <row r="9" spans="1:21" x14ac:dyDescent="0.2">
      <c r="A9">
        <v>2012</v>
      </c>
      <c r="B9" s="165">
        <v>32678656.715056948</v>
      </c>
      <c r="C9" s="165">
        <v>19505272.310954027</v>
      </c>
      <c r="D9" s="67">
        <f t="shared" si="2"/>
        <v>13173384.404102921</v>
      </c>
      <c r="E9" s="114">
        <f t="shared" si="3"/>
        <v>0.6753755699531987</v>
      </c>
      <c r="F9" s="113">
        <f>C9+Q12+(Q13/2)</f>
        <v>36360272.310954027</v>
      </c>
      <c r="G9" s="113">
        <f>F9-H87</f>
        <v>2433791.9859258309</v>
      </c>
      <c r="H9" s="113">
        <f t="shared" si="0"/>
        <v>31202.461358023473</v>
      </c>
      <c r="J9" s="115">
        <f>G99</f>
        <v>36360272.310954019</v>
      </c>
      <c r="K9" s="115">
        <f t="shared" si="1"/>
        <v>0</v>
      </c>
      <c r="M9" s="74" t="s">
        <v>124</v>
      </c>
      <c r="N9" s="74">
        <v>8</v>
      </c>
      <c r="P9" s="123"/>
      <c r="Q9" s="124"/>
      <c r="R9" s="122"/>
      <c r="S9" s="119">
        <f t="shared" si="4"/>
        <v>0.22033668205267445</v>
      </c>
      <c r="T9" s="120">
        <f>SUM(P9:S9)</f>
        <v>0.22033668205267445</v>
      </c>
    </row>
    <row r="10" spans="1:21" x14ac:dyDescent="0.2">
      <c r="A10">
        <v>2013</v>
      </c>
      <c r="B10" s="165">
        <v>32560861.317047428</v>
      </c>
      <c r="C10" s="165">
        <v>19444649.840082143</v>
      </c>
      <c r="D10" s="67">
        <f t="shared" si="2"/>
        <v>13116211.476965286</v>
      </c>
      <c r="E10" s="114">
        <f t="shared" si="3"/>
        <v>0.67454089350214175</v>
      </c>
      <c r="F10" s="113">
        <f>C10+R12+(R13/2)</f>
        <v>36269649.840082139</v>
      </c>
      <c r="G10" s="113">
        <f>F10-H99</f>
        <v>-2149984.9205014184</v>
      </c>
      <c r="H10" s="113">
        <f t="shared" si="0"/>
        <v>-27563.909237197673</v>
      </c>
      <c r="J10" s="115">
        <f>G111</f>
        <v>36269649.840082146</v>
      </c>
      <c r="K10" s="115">
        <f t="shared" si="1"/>
        <v>0</v>
      </c>
      <c r="M10" s="74" t="s">
        <v>125</v>
      </c>
      <c r="N10" s="74">
        <v>9</v>
      </c>
      <c r="P10" s="121">
        <f>SUM(P6:P9)</f>
        <v>0.18259571001900624</v>
      </c>
      <c r="Q10" s="122">
        <f>SUM(Q6:Q9)</f>
        <v>0.2825142546836818</v>
      </c>
      <c r="R10" s="122">
        <f>SUM(R6:R9)</f>
        <v>0.34561498778169969</v>
      </c>
      <c r="S10" s="122">
        <f>SUM(S6:S9)</f>
        <v>0.5536247624219387</v>
      </c>
      <c r="T10" s="355">
        <f>SUM(P10:S10)</f>
        <v>1.3643497149063264</v>
      </c>
    </row>
    <row r="11" spans="1:21" x14ac:dyDescent="0.2">
      <c r="A11">
        <v>2014</v>
      </c>
      <c r="B11" s="165">
        <v>31738110.709173765</v>
      </c>
      <c r="C11" s="165">
        <v>19030184.128223255</v>
      </c>
      <c r="D11" s="67">
        <f t="shared" si="2"/>
        <v>12707926.58095051</v>
      </c>
      <c r="E11" s="114">
        <f t="shared" si="3"/>
        <v>0.66777738435560685</v>
      </c>
      <c r="F11" s="113">
        <f>C11+S12+(S13/2)</f>
        <v>35755184.128223255</v>
      </c>
      <c r="G11" s="113">
        <f>F11-H111</f>
        <v>1304752.2977961525</v>
      </c>
      <c r="H11" s="113">
        <f t="shared" si="0"/>
        <v>16727.593561489135</v>
      </c>
      <c r="J11" s="115">
        <f>G123</f>
        <v>35755184.128223255</v>
      </c>
      <c r="K11" s="115">
        <f t="shared" si="1"/>
        <v>0</v>
      </c>
      <c r="M11" s="74" t="s">
        <v>126</v>
      </c>
      <c r="N11" s="74">
        <v>10</v>
      </c>
      <c r="P11" s="441"/>
      <c r="Q11" s="435"/>
      <c r="R11" s="435"/>
      <c r="S11" s="435"/>
      <c r="T11" s="442"/>
    </row>
    <row r="12" spans="1:21" x14ac:dyDescent="0.2">
      <c r="A12" t="s">
        <v>12</v>
      </c>
      <c r="B12" s="113">
        <f>SUM(B3:B11)</f>
        <v>216172183.20826942</v>
      </c>
      <c r="C12" s="113">
        <f>SUM(C3:C11)</f>
        <v>119219652.45523365</v>
      </c>
      <c r="D12" s="113">
        <f>SUM(D3:D11)</f>
        <v>96952530.753035799</v>
      </c>
      <c r="E12" s="114">
        <f t="shared" si="3"/>
        <v>0.81322608107284122</v>
      </c>
      <c r="F12" s="113">
        <f>SUM(F3:F11)</f>
        <v>176349652.45523363</v>
      </c>
      <c r="G12" s="113"/>
      <c r="H12" s="113"/>
      <c r="J12" s="113">
        <f>SUM(J3:J11)</f>
        <v>176349652.45523363</v>
      </c>
      <c r="K12" s="115">
        <f>SUM(K3:K11)</f>
        <v>0</v>
      </c>
      <c r="M12" s="74" t="s">
        <v>127</v>
      </c>
      <c r="N12" s="74">
        <v>11</v>
      </c>
      <c r="P12" s="125">
        <v>13450000</v>
      </c>
      <c r="Q12" s="125">
        <v>12900000</v>
      </c>
      <c r="R12" s="353">
        <v>12900000</v>
      </c>
      <c r="S12" s="125">
        <v>12820000</v>
      </c>
      <c r="T12" s="127">
        <f>SUM(P12:S12)</f>
        <v>52070000</v>
      </c>
      <c r="U12" s="14" t="s">
        <v>128</v>
      </c>
    </row>
    <row r="13" spans="1:21" x14ac:dyDescent="0.2">
      <c r="F13" s="113"/>
      <c r="H13" s="113"/>
      <c r="M13" s="74" t="s">
        <v>129</v>
      </c>
      <c r="N13" s="74">
        <v>12</v>
      </c>
      <c r="P13" s="128"/>
      <c r="Q13" s="126">
        <v>7910000</v>
      </c>
      <c r="R13" s="159">
        <v>7850000</v>
      </c>
      <c r="S13" s="159">
        <v>7810000</v>
      </c>
      <c r="T13" s="127">
        <f>SUM(P13:S13)</f>
        <v>23570000</v>
      </c>
      <c r="U13" s="176" t="s">
        <v>293</v>
      </c>
    </row>
    <row r="14" spans="1:21" x14ac:dyDescent="0.2">
      <c r="F14" s="113" t="s">
        <v>130</v>
      </c>
      <c r="M14" s="74" t="s">
        <v>12</v>
      </c>
      <c r="N14" s="74">
        <f>SUM(N2:N13)</f>
        <v>78</v>
      </c>
      <c r="P14" s="128"/>
      <c r="Q14" s="22"/>
      <c r="R14" s="22">
        <v>4708000</v>
      </c>
      <c r="S14" s="22">
        <v>3920000</v>
      </c>
      <c r="T14" s="127">
        <f>SUM(P14:S14)</f>
        <v>8628000</v>
      </c>
    </row>
    <row r="15" spans="1:21" x14ac:dyDescent="0.2">
      <c r="F15" s="113"/>
      <c r="P15" s="128"/>
      <c r="Q15" s="22"/>
      <c r="R15" s="22"/>
      <c r="S15" s="22">
        <v>16230000</v>
      </c>
      <c r="T15" s="127">
        <f>SUM(P15:S15)</f>
        <v>16230000</v>
      </c>
    </row>
    <row r="16" spans="1:21" ht="13.5" thickBot="1" x14ac:dyDescent="0.25">
      <c r="A16" s="3">
        <v>38718</v>
      </c>
      <c r="B16" s="3"/>
      <c r="C16" s="3"/>
      <c r="D16" s="61"/>
      <c r="E16" s="61"/>
      <c r="F16" s="113">
        <f>$H$3</f>
        <v>23421.741792205998</v>
      </c>
      <c r="J16" s="115"/>
      <c r="P16" s="129">
        <f>SUM(P12:P15)</f>
        <v>13450000</v>
      </c>
      <c r="Q16" s="130">
        <f>SUM(Q12:Q15)</f>
        <v>20810000</v>
      </c>
      <c r="R16" s="130">
        <f>SUM(R12:R15)</f>
        <v>25458000</v>
      </c>
      <c r="S16" s="130">
        <f>SUM(S12:S15)</f>
        <v>40780000</v>
      </c>
      <c r="T16" s="131">
        <f>SUM(P16:S16)</f>
        <v>100498000</v>
      </c>
    </row>
    <row r="17" spans="1:58" x14ac:dyDescent="0.2">
      <c r="A17" s="3">
        <v>38749</v>
      </c>
      <c r="B17" s="3"/>
      <c r="C17" s="3"/>
      <c r="D17" s="61"/>
      <c r="E17" s="61"/>
      <c r="F17" s="113">
        <f t="shared" ref="F17:F27" si="5">F16+$H$3</f>
        <v>46843.483584411995</v>
      </c>
    </row>
    <row r="18" spans="1:58" ht="12.75" customHeight="1" x14ac:dyDescent="0.2">
      <c r="A18" s="3">
        <v>38777</v>
      </c>
      <c r="B18" s="3"/>
      <c r="C18" s="3"/>
      <c r="D18" s="61"/>
      <c r="E18" s="61"/>
      <c r="F18" s="113">
        <f t="shared" si="5"/>
        <v>70265.225376617993</v>
      </c>
      <c r="T18" s="354"/>
    </row>
    <row r="19" spans="1:58" x14ac:dyDescent="0.2">
      <c r="A19" s="3">
        <v>38808</v>
      </c>
      <c r="B19" s="3"/>
      <c r="C19" s="3"/>
      <c r="D19" s="61"/>
      <c r="E19" s="61"/>
      <c r="F19" s="113">
        <f t="shared" si="5"/>
        <v>93686.967168823991</v>
      </c>
    </row>
    <row r="20" spans="1:58" x14ac:dyDescent="0.2">
      <c r="A20" s="3">
        <v>38838</v>
      </c>
      <c r="B20" s="3"/>
      <c r="C20" s="3"/>
      <c r="D20" s="61"/>
      <c r="E20" s="61"/>
      <c r="F20" s="113">
        <f t="shared" si="5"/>
        <v>117108.70896102999</v>
      </c>
      <c r="V20" s="18"/>
    </row>
    <row r="21" spans="1:58" x14ac:dyDescent="0.2">
      <c r="A21" s="3">
        <v>38869</v>
      </c>
      <c r="B21" s="3"/>
      <c r="C21" s="3"/>
      <c r="D21" s="61"/>
      <c r="E21" s="61"/>
      <c r="F21" s="113">
        <f t="shared" si="5"/>
        <v>140530.45075323599</v>
      </c>
    </row>
    <row r="22" spans="1:58" x14ac:dyDescent="0.2">
      <c r="A22" s="3">
        <v>38899</v>
      </c>
      <c r="B22" s="3"/>
      <c r="C22" s="3"/>
      <c r="D22" s="61"/>
      <c r="E22" s="61"/>
      <c r="F22" s="113">
        <f t="shared" si="5"/>
        <v>163952.19254544197</v>
      </c>
    </row>
    <row r="23" spans="1:58" x14ac:dyDescent="0.2">
      <c r="A23" s="3">
        <v>38930</v>
      </c>
      <c r="B23" s="3"/>
      <c r="C23" s="3"/>
      <c r="D23" s="61"/>
      <c r="E23" s="61"/>
      <c r="F23" s="113">
        <f t="shared" si="5"/>
        <v>187373.93433764798</v>
      </c>
    </row>
    <row r="24" spans="1:58" x14ac:dyDescent="0.2">
      <c r="A24" s="3">
        <v>38961</v>
      </c>
      <c r="B24" s="3"/>
      <c r="C24" s="3"/>
      <c r="D24" s="61"/>
      <c r="E24" s="61"/>
      <c r="F24" s="113">
        <f t="shared" si="5"/>
        <v>210795.67612985399</v>
      </c>
    </row>
    <row r="25" spans="1:58" x14ac:dyDescent="0.2">
      <c r="A25" s="3">
        <v>38991</v>
      </c>
      <c r="B25" s="3"/>
      <c r="C25" s="3"/>
      <c r="D25" s="61"/>
      <c r="E25" s="61"/>
      <c r="F25" s="113">
        <f t="shared" si="5"/>
        <v>234217.41792206001</v>
      </c>
    </row>
    <row r="26" spans="1:58" x14ac:dyDescent="0.2">
      <c r="A26" s="3">
        <v>39022</v>
      </c>
      <c r="B26" s="3"/>
      <c r="C26" s="3"/>
      <c r="D26" s="61"/>
      <c r="E26" s="61"/>
      <c r="F26" s="113">
        <f t="shared" si="5"/>
        <v>257639.15971426602</v>
      </c>
      <c r="G26" s="4" t="s">
        <v>23</v>
      </c>
      <c r="BF26" t="s">
        <v>131</v>
      </c>
    </row>
    <row r="27" spans="1:58" x14ac:dyDescent="0.2">
      <c r="A27" s="3">
        <v>39052</v>
      </c>
      <c r="B27" s="3"/>
      <c r="C27" s="3"/>
      <c r="D27" s="61"/>
      <c r="E27" s="61"/>
      <c r="F27" s="113">
        <f t="shared" si="5"/>
        <v>281060.90150647203</v>
      </c>
      <c r="G27" s="113">
        <f>SUM(F16:F27)</f>
        <v>1826895.8597920677</v>
      </c>
      <c r="H27" s="113">
        <f>F27*12</f>
        <v>3372730.8180776644</v>
      </c>
      <c r="AB27" s="61"/>
    </row>
    <row r="28" spans="1:58" x14ac:dyDescent="0.2">
      <c r="A28" s="3">
        <v>39083</v>
      </c>
      <c r="B28" s="3"/>
      <c r="C28" s="3"/>
      <c r="D28" s="61"/>
      <c r="E28" s="61"/>
      <c r="F28" s="113">
        <f t="shared" ref="F28:F39" si="6">F27+$H$4</f>
        <v>301054.57794119004</v>
      </c>
    </row>
    <row r="29" spans="1:58" x14ac:dyDescent="0.2">
      <c r="A29" s="3">
        <v>39114</v>
      </c>
      <c r="B29" s="3"/>
      <c r="C29" s="3"/>
      <c r="D29" s="61"/>
      <c r="E29" s="61"/>
      <c r="F29" s="113">
        <f t="shared" si="6"/>
        <v>321048.25437590806</v>
      </c>
    </row>
    <row r="30" spans="1:58" x14ac:dyDescent="0.2">
      <c r="A30" s="3">
        <v>39142</v>
      </c>
      <c r="B30" s="3"/>
      <c r="C30" s="3"/>
      <c r="D30" s="61"/>
      <c r="E30" s="61"/>
      <c r="F30" s="113">
        <f t="shared" si="6"/>
        <v>341041.93081062607</v>
      </c>
    </row>
    <row r="31" spans="1:58" x14ac:dyDescent="0.2">
      <c r="A31" s="3">
        <v>39173</v>
      </c>
      <c r="B31" s="3"/>
      <c r="C31" s="3"/>
      <c r="D31" s="61"/>
      <c r="E31" s="61"/>
      <c r="F31" s="113">
        <f t="shared" si="6"/>
        <v>361035.60724534409</v>
      </c>
    </row>
    <row r="32" spans="1:58" x14ac:dyDescent="0.2">
      <c r="A32" s="3">
        <v>39203</v>
      </c>
      <c r="B32" s="3"/>
      <c r="C32" s="3"/>
      <c r="D32" s="61"/>
      <c r="E32" s="61"/>
      <c r="F32" s="113">
        <f t="shared" si="6"/>
        <v>381029.2836800621</v>
      </c>
    </row>
    <row r="33" spans="1:8" x14ac:dyDescent="0.2">
      <c r="A33" s="3">
        <v>39234</v>
      </c>
      <c r="B33" s="3"/>
      <c r="C33" s="3"/>
      <c r="D33" s="61"/>
      <c r="E33" s="61"/>
      <c r="F33" s="113">
        <f t="shared" si="6"/>
        <v>401022.96011478011</v>
      </c>
    </row>
    <row r="34" spans="1:8" x14ac:dyDescent="0.2">
      <c r="A34" s="3">
        <v>39264</v>
      </c>
      <c r="B34" s="3"/>
      <c r="C34" s="3"/>
      <c r="D34" s="61"/>
      <c r="E34" s="61"/>
      <c r="F34" s="113">
        <f t="shared" si="6"/>
        <v>421016.63654949813</v>
      </c>
    </row>
    <row r="35" spans="1:8" x14ac:dyDescent="0.2">
      <c r="A35" s="3">
        <v>39295</v>
      </c>
      <c r="B35" s="3"/>
      <c r="C35" s="3"/>
      <c r="D35" s="61"/>
      <c r="E35" s="61"/>
      <c r="F35" s="113">
        <f t="shared" si="6"/>
        <v>441010.31298421614</v>
      </c>
    </row>
    <row r="36" spans="1:8" x14ac:dyDescent="0.2">
      <c r="A36" s="3">
        <v>39326</v>
      </c>
      <c r="B36" s="3"/>
      <c r="C36" s="3"/>
      <c r="D36" s="61"/>
      <c r="E36" s="61"/>
      <c r="F36" s="113">
        <f t="shared" si="6"/>
        <v>461003.98941893416</v>
      </c>
    </row>
    <row r="37" spans="1:8" x14ac:dyDescent="0.2">
      <c r="A37" s="3">
        <v>39356</v>
      </c>
      <c r="B37" s="3"/>
      <c r="C37" s="3"/>
      <c r="D37" s="61"/>
      <c r="E37" s="61"/>
      <c r="F37" s="113">
        <f t="shared" si="6"/>
        <v>480997.66585365217</v>
      </c>
    </row>
    <row r="38" spans="1:8" x14ac:dyDescent="0.2">
      <c r="A38" s="3">
        <v>39387</v>
      </c>
      <c r="B38" s="3"/>
      <c r="C38" s="3"/>
      <c r="D38" s="61"/>
      <c r="E38" s="61"/>
      <c r="F38" s="113">
        <f t="shared" si="6"/>
        <v>500991.34228837019</v>
      </c>
      <c r="G38" s="4" t="s">
        <v>23</v>
      </c>
    </row>
    <row r="39" spans="1:8" x14ac:dyDescent="0.2">
      <c r="A39" s="3">
        <v>39417</v>
      </c>
      <c r="B39" s="3"/>
      <c r="C39" s="3"/>
      <c r="D39" s="61"/>
      <c r="E39" s="61"/>
      <c r="F39" s="113">
        <f t="shared" si="6"/>
        <v>520985.0187230882</v>
      </c>
      <c r="G39" s="113">
        <f>SUM(F28:F39)</f>
        <v>4932237.5799856689</v>
      </c>
      <c r="H39" s="113">
        <f>F39*12</f>
        <v>6251820.2246770579</v>
      </c>
    </row>
    <row r="40" spans="1:8" x14ac:dyDescent="0.2">
      <c r="A40" s="3">
        <v>39448</v>
      </c>
      <c r="B40" s="3"/>
      <c r="C40" s="3"/>
      <c r="D40" s="61"/>
      <c r="E40" s="61"/>
      <c r="F40" s="113">
        <f t="shared" ref="F40:F51" si="7">F39+$H$5</f>
        <v>533133.78983730474</v>
      </c>
    </row>
    <row r="41" spans="1:8" x14ac:dyDescent="0.2">
      <c r="A41" s="3">
        <v>39479</v>
      </c>
      <c r="B41" s="3"/>
      <c r="C41" s="3"/>
      <c r="D41" s="61"/>
      <c r="E41" s="61"/>
      <c r="F41" s="113">
        <f t="shared" si="7"/>
        <v>545282.56095152127</v>
      </c>
    </row>
    <row r="42" spans="1:8" x14ac:dyDescent="0.2">
      <c r="A42" s="3">
        <v>39508</v>
      </c>
      <c r="B42" s="3"/>
      <c r="C42" s="3"/>
      <c r="D42" s="61"/>
      <c r="E42" s="61"/>
      <c r="F42" s="113">
        <f t="shared" si="7"/>
        <v>557431.33206573781</v>
      </c>
    </row>
    <row r="43" spans="1:8" x14ac:dyDescent="0.2">
      <c r="A43" s="3">
        <v>39539</v>
      </c>
      <c r="B43" s="3"/>
      <c r="C43" s="3"/>
      <c r="D43" s="61"/>
      <c r="E43" s="61"/>
      <c r="F43" s="113">
        <f t="shared" si="7"/>
        <v>569580.10317995434</v>
      </c>
    </row>
    <row r="44" spans="1:8" x14ac:dyDescent="0.2">
      <c r="A44" s="3">
        <v>39569</v>
      </c>
      <c r="B44" s="3"/>
      <c r="C44" s="3"/>
      <c r="D44" s="61"/>
      <c r="E44" s="61"/>
      <c r="F44" s="113">
        <f t="shared" si="7"/>
        <v>581728.87429417088</v>
      </c>
    </row>
    <row r="45" spans="1:8" x14ac:dyDescent="0.2">
      <c r="A45" s="3">
        <v>39600</v>
      </c>
      <c r="B45" s="3"/>
      <c r="C45" s="3"/>
      <c r="D45" s="61"/>
      <c r="E45" s="61"/>
      <c r="F45" s="113">
        <f t="shared" si="7"/>
        <v>593877.64540838741</v>
      </c>
    </row>
    <row r="46" spans="1:8" x14ac:dyDescent="0.2">
      <c r="A46" s="3">
        <v>39630</v>
      </c>
      <c r="B46" s="3"/>
      <c r="C46" s="3"/>
      <c r="D46" s="61"/>
      <c r="E46" s="61"/>
      <c r="F46" s="113">
        <f t="shared" si="7"/>
        <v>606026.41652260395</v>
      </c>
    </row>
    <row r="47" spans="1:8" x14ac:dyDescent="0.2">
      <c r="A47" s="3">
        <v>39661</v>
      </c>
      <c r="B47" s="3"/>
      <c r="C47" s="3"/>
      <c r="D47" s="61"/>
      <c r="E47" s="61"/>
      <c r="F47" s="113">
        <f t="shared" si="7"/>
        <v>618175.18763682048</v>
      </c>
    </row>
    <row r="48" spans="1:8" x14ac:dyDescent="0.2">
      <c r="A48" s="3">
        <v>39692</v>
      </c>
      <c r="B48" s="3"/>
      <c r="C48" s="3"/>
      <c r="D48" s="61"/>
      <c r="E48" s="61"/>
      <c r="F48" s="113">
        <f t="shared" si="7"/>
        <v>630323.95875103702</v>
      </c>
    </row>
    <row r="49" spans="1:8" x14ac:dyDescent="0.2">
      <c r="A49" s="3">
        <v>39722</v>
      </c>
      <c r="B49" s="3"/>
      <c r="C49" s="3"/>
      <c r="D49" s="61"/>
      <c r="E49" s="61"/>
      <c r="F49" s="113">
        <f t="shared" si="7"/>
        <v>642472.72986525355</v>
      </c>
    </row>
    <row r="50" spans="1:8" x14ac:dyDescent="0.2">
      <c r="A50" s="3">
        <v>39753</v>
      </c>
      <c r="B50" s="3"/>
      <c r="C50" s="3"/>
      <c r="D50" s="61"/>
      <c r="E50" s="61"/>
      <c r="F50" s="113">
        <f t="shared" si="7"/>
        <v>654621.50097947009</v>
      </c>
    </row>
    <row r="51" spans="1:8" x14ac:dyDescent="0.2">
      <c r="A51" s="3">
        <v>39783</v>
      </c>
      <c r="B51" s="3"/>
      <c r="C51" s="3"/>
      <c r="D51" s="61"/>
      <c r="E51" s="61"/>
      <c r="F51" s="113">
        <f t="shared" si="7"/>
        <v>666770.27209368662</v>
      </c>
      <c r="G51" s="113">
        <f>SUM(F40:F51)</f>
        <v>7199424.3715859475</v>
      </c>
      <c r="H51" s="113">
        <f>F51*12</f>
        <v>8001243.265124239</v>
      </c>
    </row>
    <row r="52" spans="1:8" x14ac:dyDescent="0.2">
      <c r="A52" s="3">
        <v>39814</v>
      </c>
      <c r="B52" s="3"/>
      <c r="C52" s="3"/>
      <c r="D52" s="61"/>
      <c r="E52" s="61"/>
      <c r="F52" s="113">
        <f t="shared" ref="F52:F63" si="8">F51+$H$6</f>
        <v>709773.03017770033</v>
      </c>
    </row>
    <row r="53" spans="1:8" x14ac:dyDescent="0.2">
      <c r="A53" s="3">
        <v>39845</v>
      </c>
      <c r="B53" s="3"/>
      <c r="C53" s="3"/>
      <c r="D53" s="61"/>
      <c r="E53" s="61"/>
      <c r="F53" s="113">
        <f t="shared" si="8"/>
        <v>752775.78826171404</v>
      </c>
    </row>
    <row r="54" spans="1:8" x14ac:dyDescent="0.2">
      <c r="A54" s="3">
        <v>39873</v>
      </c>
      <c r="B54" s="3"/>
      <c r="C54" s="3"/>
      <c r="D54" s="61"/>
      <c r="E54" s="61"/>
      <c r="F54" s="113">
        <f t="shared" si="8"/>
        <v>795778.54634572775</v>
      </c>
    </row>
    <row r="55" spans="1:8" x14ac:dyDescent="0.2">
      <c r="A55" s="3">
        <v>39904</v>
      </c>
      <c r="B55" s="3"/>
      <c r="C55" s="3"/>
      <c r="D55" s="61"/>
      <c r="E55" s="61"/>
      <c r="F55" s="113">
        <f t="shared" si="8"/>
        <v>838781.30442974146</v>
      </c>
    </row>
    <row r="56" spans="1:8" x14ac:dyDescent="0.2">
      <c r="A56" s="3">
        <v>39934</v>
      </c>
      <c r="B56" s="3"/>
      <c r="C56" s="3"/>
      <c r="D56" s="61"/>
      <c r="E56" s="61"/>
      <c r="F56" s="113">
        <f t="shared" si="8"/>
        <v>881784.06251375517</v>
      </c>
    </row>
    <row r="57" spans="1:8" x14ac:dyDescent="0.2">
      <c r="A57" s="3">
        <v>39965</v>
      </c>
      <c r="B57" s="3"/>
      <c r="C57" s="3"/>
      <c r="D57" s="61"/>
      <c r="E57" s="61"/>
      <c r="F57" s="113">
        <f t="shared" si="8"/>
        <v>924786.82059776888</v>
      </c>
    </row>
    <row r="58" spans="1:8" x14ac:dyDescent="0.2">
      <c r="A58" s="3">
        <v>39995</v>
      </c>
      <c r="B58" s="3"/>
      <c r="C58" s="3"/>
      <c r="D58" s="61"/>
      <c r="E58" s="61"/>
      <c r="F58" s="113">
        <f t="shared" si="8"/>
        <v>967789.57868178259</v>
      </c>
    </row>
    <row r="59" spans="1:8" x14ac:dyDescent="0.2">
      <c r="A59" s="3">
        <v>40026</v>
      </c>
      <c r="B59" s="3"/>
      <c r="C59" s="3"/>
      <c r="D59" s="61"/>
      <c r="E59" s="61"/>
      <c r="F59" s="113">
        <f t="shared" si="8"/>
        <v>1010792.3367657963</v>
      </c>
    </row>
    <row r="60" spans="1:8" x14ac:dyDescent="0.2">
      <c r="A60" s="3">
        <v>40057</v>
      </c>
      <c r="B60" s="3"/>
      <c r="C60" s="3"/>
      <c r="D60" s="61"/>
      <c r="E60" s="61"/>
      <c r="F60" s="113">
        <f t="shared" si="8"/>
        <v>1053795.09484981</v>
      </c>
    </row>
    <row r="61" spans="1:8" x14ac:dyDescent="0.2">
      <c r="A61" s="3">
        <v>40087</v>
      </c>
      <c r="B61" s="3"/>
      <c r="C61" s="3"/>
      <c r="D61" s="61"/>
      <c r="E61" s="61"/>
      <c r="F61" s="113">
        <f t="shared" si="8"/>
        <v>1096797.8529338236</v>
      </c>
    </row>
    <row r="62" spans="1:8" x14ac:dyDescent="0.2">
      <c r="A62" s="3">
        <v>40118</v>
      </c>
      <c r="B62" s="3"/>
      <c r="C62" s="3"/>
      <c r="D62" s="61"/>
      <c r="E62" s="61"/>
      <c r="F62" s="113">
        <f t="shared" si="8"/>
        <v>1139800.6110178372</v>
      </c>
    </row>
    <row r="63" spans="1:8" x14ac:dyDescent="0.2">
      <c r="A63" s="3">
        <v>40148</v>
      </c>
      <c r="B63" s="3"/>
      <c r="C63" s="3"/>
      <c r="D63" s="61"/>
      <c r="E63" s="61"/>
      <c r="F63" s="113">
        <f t="shared" si="8"/>
        <v>1182803.3691018508</v>
      </c>
      <c r="G63" s="113">
        <f>SUM(F52:F63)</f>
        <v>11355458.395677308</v>
      </c>
      <c r="H63" s="113">
        <f>F63*12</f>
        <v>14193640.429222209</v>
      </c>
    </row>
    <row r="64" spans="1:8" x14ac:dyDescent="0.2">
      <c r="A64" s="3">
        <v>40179</v>
      </c>
      <c r="B64" s="3"/>
      <c r="C64" s="3"/>
      <c r="D64" s="61"/>
      <c r="E64" s="61"/>
      <c r="F64" s="113">
        <f t="shared" ref="F64:F75" si="9">F63+$H$7</f>
        <v>1207627.1711869936</v>
      </c>
    </row>
    <row r="65" spans="1:8" x14ac:dyDescent="0.2">
      <c r="A65" s="3">
        <v>40210</v>
      </c>
      <c r="B65" s="3"/>
      <c r="C65" s="3"/>
      <c r="D65" s="61"/>
      <c r="E65" s="61"/>
      <c r="F65" s="113">
        <f t="shared" si="9"/>
        <v>1232450.9732721364</v>
      </c>
    </row>
    <row r="66" spans="1:8" x14ac:dyDescent="0.2">
      <c r="A66" s="3">
        <v>40238</v>
      </c>
      <c r="B66" s="3"/>
      <c r="C66" s="3"/>
      <c r="D66" s="61"/>
      <c r="E66" s="61"/>
      <c r="F66" s="113">
        <f t="shared" si="9"/>
        <v>1257274.7753572792</v>
      </c>
    </row>
    <row r="67" spans="1:8" x14ac:dyDescent="0.2">
      <c r="A67" s="3">
        <v>40269</v>
      </c>
      <c r="B67" s="3"/>
      <c r="C67" s="3"/>
      <c r="D67" s="61"/>
      <c r="E67" s="61"/>
      <c r="F67" s="113">
        <f t="shared" si="9"/>
        <v>1282098.577442422</v>
      </c>
    </row>
    <row r="68" spans="1:8" x14ac:dyDescent="0.2">
      <c r="A68" s="3">
        <v>40299</v>
      </c>
      <c r="B68" s="3"/>
      <c r="C68" s="3"/>
      <c r="D68" s="61"/>
      <c r="E68" s="61"/>
      <c r="F68" s="113">
        <f t="shared" si="9"/>
        <v>1306922.3795275649</v>
      </c>
    </row>
    <row r="69" spans="1:8" x14ac:dyDescent="0.2">
      <c r="A69" s="3">
        <v>40330</v>
      </c>
      <c r="B69" s="3"/>
      <c r="C69" s="3"/>
      <c r="D69" s="61"/>
      <c r="E69" s="61"/>
      <c r="F69" s="113">
        <f t="shared" si="9"/>
        <v>1331746.1816127077</v>
      </c>
    </row>
    <row r="70" spans="1:8" x14ac:dyDescent="0.2">
      <c r="A70" s="3">
        <v>40360</v>
      </c>
      <c r="B70" s="3"/>
      <c r="C70" s="3"/>
      <c r="D70" s="61"/>
      <c r="E70" s="61"/>
      <c r="F70" s="113">
        <f t="shared" si="9"/>
        <v>1356569.9836978505</v>
      </c>
    </row>
    <row r="71" spans="1:8" x14ac:dyDescent="0.2">
      <c r="A71" s="3">
        <v>40391</v>
      </c>
      <c r="B71" s="3"/>
      <c r="C71" s="3"/>
      <c r="D71" s="61"/>
      <c r="E71" s="61"/>
      <c r="F71" s="113">
        <f t="shared" si="9"/>
        <v>1381393.7857829933</v>
      </c>
    </row>
    <row r="72" spans="1:8" x14ac:dyDescent="0.2">
      <c r="A72" s="3">
        <v>40422</v>
      </c>
      <c r="B72" s="3"/>
      <c r="C72" s="3"/>
      <c r="D72" s="61"/>
      <c r="E72" s="61"/>
      <c r="F72" s="113">
        <f t="shared" si="9"/>
        <v>1406217.5878681361</v>
      </c>
    </row>
    <row r="73" spans="1:8" x14ac:dyDescent="0.2">
      <c r="A73" s="3">
        <v>40452</v>
      </c>
      <c r="B73" s="3"/>
      <c r="C73" s="3"/>
      <c r="D73" s="61"/>
      <c r="E73" s="61"/>
      <c r="F73" s="113">
        <f t="shared" si="9"/>
        <v>1431041.3899532789</v>
      </c>
    </row>
    <row r="74" spans="1:8" x14ac:dyDescent="0.2">
      <c r="A74" s="3">
        <v>40483</v>
      </c>
      <c r="B74" s="3"/>
      <c r="C74" s="3"/>
      <c r="D74" s="61"/>
      <c r="E74" s="61"/>
      <c r="F74" s="113">
        <f t="shared" si="9"/>
        <v>1455865.1920384218</v>
      </c>
    </row>
    <row r="75" spans="1:8" x14ac:dyDescent="0.2">
      <c r="A75" s="3">
        <v>40513</v>
      </c>
      <c r="B75" s="3"/>
      <c r="C75" s="3"/>
      <c r="D75" s="61"/>
      <c r="E75" s="61"/>
      <c r="F75" s="113">
        <f t="shared" si="9"/>
        <v>1480688.9941235646</v>
      </c>
      <c r="G75" s="113">
        <f>SUM(F64:F75)</f>
        <v>16129896.991863348</v>
      </c>
      <c r="H75" s="113">
        <f>F75*12</f>
        <v>17768267.929482773</v>
      </c>
    </row>
    <row r="76" spans="1:8" x14ac:dyDescent="0.2">
      <c r="A76" s="3">
        <v>40544</v>
      </c>
      <c r="B76" s="3"/>
      <c r="C76" s="3"/>
      <c r="D76" s="61"/>
      <c r="E76" s="61"/>
      <c r="F76" s="113">
        <f t="shared" ref="F76:F87" si="10">F75+$H$8</f>
        <v>1592898.8024259633</v>
      </c>
    </row>
    <row r="77" spans="1:8" x14ac:dyDescent="0.2">
      <c r="A77" s="3">
        <v>40575</v>
      </c>
      <c r="B77" s="3"/>
      <c r="C77" s="3"/>
      <c r="D77" s="61"/>
      <c r="E77" s="61"/>
      <c r="F77" s="113">
        <f t="shared" si="10"/>
        <v>1705108.6107283621</v>
      </c>
    </row>
    <row r="78" spans="1:8" x14ac:dyDescent="0.2">
      <c r="A78" s="3">
        <v>40603</v>
      </c>
      <c r="B78" s="3"/>
      <c r="C78" s="3"/>
      <c r="D78" s="61"/>
      <c r="E78" s="61"/>
      <c r="F78" s="113">
        <f t="shared" si="10"/>
        <v>1817318.4190307609</v>
      </c>
    </row>
    <row r="79" spans="1:8" x14ac:dyDescent="0.2">
      <c r="A79" s="3">
        <v>40634</v>
      </c>
      <c r="B79" s="3"/>
      <c r="C79" s="3"/>
      <c r="D79" s="61"/>
      <c r="E79" s="61"/>
      <c r="F79" s="113">
        <f t="shared" si="10"/>
        <v>1929528.2273331597</v>
      </c>
    </row>
    <row r="80" spans="1:8" x14ac:dyDescent="0.2">
      <c r="A80" s="3">
        <v>40664</v>
      </c>
      <c r="B80" s="3"/>
      <c r="C80" s="3"/>
      <c r="D80" s="61"/>
      <c r="E80" s="61"/>
      <c r="F80" s="113">
        <f t="shared" si="10"/>
        <v>2041738.0356355584</v>
      </c>
    </row>
    <row r="81" spans="1:8" x14ac:dyDescent="0.2">
      <c r="A81" s="3">
        <v>40695</v>
      </c>
      <c r="B81" s="3"/>
      <c r="C81" s="3"/>
      <c r="D81" s="61"/>
      <c r="E81" s="61"/>
      <c r="F81" s="113">
        <f t="shared" si="10"/>
        <v>2153947.8439379572</v>
      </c>
    </row>
    <row r="82" spans="1:8" x14ac:dyDescent="0.2">
      <c r="A82" s="3">
        <v>40725</v>
      </c>
      <c r="B82" s="3"/>
      <c r="C82" s="3"/>
      <c r="D82" s="61"/>
      <c r="E82" s="61"/>
      <c r="F82" s="113">
        <f t="shared" si="10"/>
        <v>2266157.652240356</v>
      </c>
    </row>
    <row r="83" spans="1:8" x14ac:dyDescent="0.2">
      <c r="A83" s="3">
        <v>40756</v>
      </c>
      <c r="B83" s="3"/>
      <c r="C83" s="3"/>
      <c r="D83" s="61"/>
      <c r="E83" s="61"/>
      <c r="F83" s="113">
        <f t="shared" si="10"/>
        <v>2378367.4605427547</v>
      </c>
    </row>
    <row r="84" spans="1:8" x14ac:dyDescent="0.2">
      <c r="A84" s="3">
        <v>40787</v>
      </c>
      <c r="B84" s="3"/>
      <c r="C84" s="3"/>
      <c r="D84" s="61"/>
      <c r="E84" s="61"/>
      <c r="F84" s="113">
        <f t="shared" si="10"/>
        <v>2490577.2688451535</v>
      </c>
    </row>
    <row r="85" spans="1:8" x14ac:dyDescent="0.2">
      <c r="A85" s="3">
        <v>40817</v>
      </c>
      <c r="B85" s="3"/>
      <c r="C85" s="3"/>
      <c r="D85" s="61"/>
      <c r="E85" s="61"/>
      <c r="F85" s="113">
        <f t="shared" si="10"/>
        <v>2602787.0771475523</v>
      </c>
    </row>
    <row r="86" spans="1:8" x14ac:dyDescent="0.2">
      <c r="A86" s="3">
        <v>40848</v>
      </c>
      <c r="B86" s="3"/>
      <c r="C86" s="3"/>
      <c r="D86" s="61"/>
      <c r="E86" s="61"/>
      <c r="F86" s="113">
        <f t="shared" si="10"/>
        <v>2714996.885449951</v>
      </c>
    </row>
    <row r="87" spans="1:8" x14ac:dyDescent="0.2">
      <c r="A87" s="3">
        <v>40878</v>
      </c>
      <c r="B87" s="3"/>
      <c r="C87" s="3"/>
      <c r="D87" s="61"/>
      <c r="E87" s="61"/>
      <c r="F87" s="113">
        <f t="shared" si="10"/>
        <v>2827206.6937523498</v>
      </c>
      <c r="G87" s="113">
        <f>SUM(F76:F87)</f>
        <v>26520632.977069877</v>
      </c>
      <c r="H87" s="113">
        <f>F87*12</f>
        <v>33926480.325028196</v>
      </c>
    </row>
    <row r="88" spans="1:8" x14ac:dyDescent="0.2">
      <c r="A88" s="3">
        <v>40909</v>
      </c>
      <c r="B88" s="3"/>
      <c r="C88" s="3"/>
      <c r="D88" s="61"/>
      <c r="E88" s="61"/>
      <c r="F88" s="113">
        <f t="shared" ref="F88:F99" si="11">F87+$H$9</f>
        <v>2858409.1551103732</v>
      </c>
    </row>
    <row r="89" spans="1:8" x14ac:dyDescent="0.2">
      <c r="A89" s="3">
        <v>40940</v>
      </c>
      <c r="B89" s="3"/>
      <c r="C89" s="3"/>
      <c r="D89" s="61"/>
      <c r="E89" s="61"/>
      <c r="F89" s="113">
        <f t="shared" si="11"/>
        <v>2889611.6164683965</v>
      </c>
    </row>
    <row r="90" spans="1:8" x14ac:dyDescent="0.2">
      <c r="A90" s="3">
        <v>40969</v>
      </c>
      <c r="B90" s="3"/>
      <c r="C90" s="3"/>
      <c r="D90" s="61"/>
      <c r="E90" s="61"/>
      <c r="F90" s="113">
        <f t="shared" si="11"/>
        <v>2920814.0778264198</v>
      </c>
    </row>
    <row r="91" spans="1:8" x14ac:dyDescent="0.2">
      <c r="A91" s="3">
        <v>41000</v>
      </c>
      <c r="B91" s="3"/>
      <c r="C91" s="3"/>
      <c r="D91" s="61"/>
      <c r="E91" s="61"/>
      <c r="F91" s="113">
        <f t="shared" si="11"/>
        <v>2952016.5391844432</v>
      </c>
    </row>
    <row r="92" spans="1:8" x14ac:dyDescent="0.2">
      <c r="A92" s="3">
        <v>41030</v>
      </c>
      <c r="B92" s="3"/>
      <c r="C92" s="3"/>
      <c r="D92" s="61"/>
      <c r="E92" s="61"/>
      <c r="F92" s="113">
        <f t="shared" si="11"/>
        <v>2983219.0005424665</v>
      </c>
    </row>
    <row r="93" spans="1:8" x14ac:dyDescent="0.2">
      <c r="A93" s="3">
        <v>41061</v>
      </c>
      <c r="B93" s="3"/>
      <c r="C93" s="3"/>
      <c r="D93" s="61"/>
      <c r="E93" s="61"/>
      <c r="F93" s="113">
        <f t="shared" si="11"/>
        <v>3014421.4619004899</v>
      </c>
    </row>
    <row r="94" spans="1:8" x14ac:dyDescent="0.2">
      <c r="A94" s="3">
        <v>41091</v>
      </c>
      <c r="B94" s="3"/>
      <c r="C94" s="3"/>
      <c r="D94" s="61"/>
      <c r="E94" s="61"/>
      <c r="F94" s="113">
        <f t="shared" si="11"/>
        <v>3045623.9232585132</v>
      </c>
    </row>
    <row r="95" spans="1:8" x14ac:dyDescent="0.2">
      <c r="A95" s="3">
        <v>41122</v>
      </c>
      <c r="B95" s="3"/>
      <c r="C95" s="3"/>
      <c r="D95" s="61"/>
      <c r="E95" s="61"/>
      <c r="F95" s="113">
        <f t="shared" si="11"/>
        <v>3076826.3846165366</v>
      </c>
    </row>
    <row r="96" spans="1:8" x14ac:dyDescent="0.2">
      <c r="A96" s="3">
        <v>41153</v>
      </c>
      <c r="B96" s="3"/>
      <c r="C96" s="3"/>
      <c r="D96" s="61"/>
      <c r="E96" s="61"/>
      <c r="F96" s="113">
        <f t="shared" si="11"/>
        <v>3108028.8459745599</v>
      </c>
    </row>
    <row r="97" spans="1:8" x14ac:dyDescent="0.2">
      <c r="A97" s="3">
        <v>41183</v>
      </c>
      <c r="B97" s="3"/>
      <c r="C97" s="3"/>
      <c r="D97" s="61"/>
      <c r="E97" s="61"/>
      <c r="F97" s="113">
        <f t="shared" si="11"/>
        <v>3139231.3073325832</v>
      </c>
    </row>
    <row r="98" spans="1:8" x14ac:dyDescent="0.2">
      <c r="A98" s="3">
        <v>41214</v>
      </c>
      <c r="B98" s="3"/>
      <c r="C98" s="3"/>
      <c r="D98" s="61"/>
      <c r="E98" s="61"/>
      <c r="F98" s="113">
        <f t="shared" si="11"/>
        <v>3170433.7686906066</v>
      </c>
    </row>
    <row r="99" spans="1:8" x14ac:dyDescent="0.2">
      <c r="A99" s="3">
        <v>41244</v>
      </c>
      <c r="B99" s="3"/>
      <c r="C99" s="3"/>
      <c r="D99" s="61"/>
      <c r="E99" s="61"/>
      <c r="F99" s="113">
        <f t="shared" si="11"/>
        <v>3201636.2300486299</v>
      </c>
      <c r="G99" s="113">
        <f>SUM(F88:F99)</f>
        <v>36360272.310954019</v>
      </c>
      <c r="H99" s="113">
        <f>F99*12</f>
        <v>38419634.760583557</v>
      </c>
    </row>
    <row r="100" spans="1:8" x14ac:dyDescent="0.2">
      <c r="A100" s="3">
        <v>41275</v>
      </c>
      <c r="B100" s="3"/>
      <c r="C100" s="3"/>
      <c r="D100" s="61"/>
      <c r="E100" s="61"/>
      <c r="F100" s="113">
        <f t="shared" ref="F100:F111" si="12">F99+$H$10</f>
        <v>3174072.3208114323</v>
      </c>
    </row>
    <row r="101" spans="1:8" x14ac:dyDescent="0.2">
      <c r="A101" s="3">
        <v>41306</v>
      </c>
      <c r="B101" s="3"/>
      <c r="C101" s="3"/>
      <c r="D101" s="61"/>
      <c r="E101" s="61"/>
      <c r="F101" s="113">
        <f t="shared" si="12"/>
        <v>3146508.4115742347</v>
      </c>
    </row>
    <row r="102" spans="1:8" x14ac:dyDescent="0.2">
      <c r="A102" s="3">
        <v>41334</v>
      </c>
      <c r="B102" s="3"/>
      <c r="C102" s="3"/>
      <c r="D102" s="61"/>
      <c r="E102" s="61"/>
      <c r="F102" s="113">
        <f t="shared" si="12"/>
        <v>3118944.5023370371</v>
      </c>
    </row>
    <row r="103" spans="1:8" x14ac:dyDescent="0.2">
      <c r="A103" s="3">
        <v>41365</v>
      </c>
      <c r="B103" s="3"/>
      <c r="C103" s="3"/>
      <c r="D103" s="61"/>
      <c r="E103" s="61"/>
      <c r="F103" s="113">
        <f t="shared" si="12"/>
        <v>3091380.5930998395</v>
      </c>
    </row>
    <row r="104" spans="1:8" x14ac:dyDescent="0.2">
      <c r="A104" s="3">
        <v>41395</v>
      </c>
      <c r="B104" s="3"/>
      <c r="C104" s="3"/>
      <c r="D104" s="61"/>
      <c r="E104" s="61"/>
      <c r="F104" s="113">
        <f t="shared" si="12"/>
        <v>3063816.6838626419</v>
      </c>
    </row>
    <row r="105" spans="1:8" x14ac:dyDescent="0.2">
      <c r="A105" s="3">
        <v>41426</v>
      </c>
      <c r="B105" s="3"/>
      <c r="C105" s="3"/>
      <c r="D105" s="61"/>
      <c r="E105" s="61"/>
      <c r="F105" s="113">
        <f t="shared" si="12"/>
        <v>3036252.7746254443</v>
      </c>
    </row>
    <row r="106" spans="1:8" x14ac:dyDescent="0.2">
      <c r="A106" s="3">
        <v>41456</v>
      </c>
      <c r="B106" s="3"/>
      <c r="C106" s="3"/>
      <c r="D106" s="61"/>
      <c r="E106" s="61"/>
      <c r="F106" s="113">
        <f t="shared" si="12"/>
        <v>3008688.8653882467</v>
      </c>
    </row>
    <row r="107" spans="1:8" x14ac:dyDescent="0.2">
      <c r="A107" s="3">
        <v>41487</v>
      </c>
      <c r="B107" s="3"/>
      <c r="C107" s="3"/>
      <c r="D107" s="61"/>
      <c r="E107" s="61"/>
      <c r="F107" s="113">
        <f t="shared" si="12"/>
        <v>2981124.9561510491</v>
      </c>
    </row>
    <row r="108" spans="1:8" x14ac:dyDescent="0.2">
      <c r="A108" s="3">
        <v>41518</v>
      </c>
      <c r="B108" s="3"/>
      <c r="C108" s="3"/>
      <c r="D108" s="61"/>
      <c r="E108" s="61"/>
      <c r="F108" s="113">
        <f t="shared" si="12"/>
        <v>2953561.0469138515</v>
      </c>
    </row>
    <row r="109" spans="1:8" x14ac:dyDescent="0.2">
      <c r="A109" s="3">
        <v>41548</v>
      </c>
      <c r="B109" s="3"/>
      <c r="C109" s="3"/>
      <c r="D109" s="61"/>
      <c r="E109" s="61"/>
      <c r="F109" s="113">
        <f t="shared" si="12"/>
        <v>2925997.1376766539</v>
      </c>
    </row>
    <row r="110" spans="1:8" x14ac:dyDescent="0.2">
      <c r="A110" s="3">
        <v>41579</v>
      </c>
      <c r="B110" s="3"/>
      <c r="C110" s="3"/>
      <c r="D110" s="61"/>
      <c r="E110" s="61"/>
      <c r="F110" s="113">
        <f t="shared" si="12"/>
        <v>2898433.2284394563</v>
      </c>
    </row>
    <row r="111" spans="1:8" x14ac:dyDescent="0.2">
      <c r="A111" s="3">
        <v>41609</v>
      </c>
      <c r="B111" s="3"/>
      <c r="C111" s="3"/>
      <c r="D111" s="61"/>
      <c r="E111" s="61"/>
      <c r="F111" s="113">
        <f t="shared" si="12"/>
        <v>2870869.3192022587</v>
      </c>
      <c r="G111" s="113">
        <f>SUM(F100:F111)</f>
        <v>36269649.840082146</v>
      </c>
      <c r="H111" s="113">
        <f>F111*12</f>
        <v>34450431.830427103</v>
      </c>
    </row>
    <row r="112" spans="1:8" x14ac:dyDescent="0.2">
      <c r="A112" s="3">
        <v>41640</v>
      </c>
      <c r="F112" s="115">
        <f>F111+$H$11</f>
        <v>2887596.9127637479</v>
      </c>
    </row>
    <row r="113" spans="1:8" x14ac:dyDescent="0.2">
      <c r="A113" s="3">
        <v>41671</v>
      </c>
      <c r="F113" s="115">
        <f t="shared" ref="F113:F123" si="13">F112+$H$11</f>
        <v>2904324.506325237</v>
      </c>
    </row>
    <row r="114" spans="1:8" x14ac:dyDescent="0.2">
      <c r="A114" s="3">
        <v>41699</v>
      </c>
      <c r="F114" s="115">
        <f t="shared" si="13"/>
        <v>2921052.0998867261</v>
      </c>
    </row>
    <row r="115" spans="1:8" x14ac:dyDescent="0.2">
      <c r="A115" s="3">
        <v>41730</v>
      </c>
      <c r="F115" s="115">
        <f t="shared" si="13"/>
        <v>2937779.6934482153</v>
      </c>
    </row>
    <row r="116" spans="1:8" x14ac:dyDescent="0.2">
      <c r="A116" s="3">
        <v>41760</v>
      </c>
      <c r="F116" s="115">
        <f t="shared" si="13"/>
        <v>2954507.2870097044</v>
      </c>
    </row>
    <row r="117" spans="1:8" x14ac:dyDescent="0.2">
      <c r="A117" s="3">
        <v>41791</v>
      </c>
      <c r="F117" s="115">
        <f t="shared" si="13"/>
        <v>2971234.8805711935</v>
      </c>
    </row>
    <row r="118" spans="1:8" x14ac:dyDescent="0.2">
      <c r="A118" s="3">
        <v>41821</v>
      </c>
      <c r="F118" s="115">
        <f t="shared" si="13"/>
        <v>2987962.4741326827</v>
      </c>
    </row>
    <row r="119" spans="1:8" x14ac:dyDescent="0.2">
      <c r="A119" s="3">
        <v>41852</v>
      </c>
      <c r="F119" s="115">
        <f t="shared" si="13"/>
        <v>3004690.0676941718</v>
      </c>
    </row>
    <row r="120" spans="1:8" x14ac:dyDescent="0.2">
      <c r="A120" s="3">
        <v>41883</v>
      </c>
      <c r="F120" s="115">
        <f t="shared" si="13"/>
        <v>3021417.6612556609</v>
      </c>
    </row>
    <row r="121" spans="1:8" x14ac:dyDescent="0.2">
      <c r="A121" s="3">
        <v>41913</v>
      </c>
      <c r="F121" s="115">
        <f t="shared" si="13"/>
        <v>3038145.2548171501</v>
      </c>
    </row>
    <row r="122" spans="1:8" x14ac:dyDescent="0.2">
      <c r="A122" s="3">
        <v>41944</v>
      </c>
      <c r="F122" s="115">
        <f t="shared" si="13"/>
        <v>3054872.8483786392</v>
      </c>
    </row>
    <row r="123" spans="1:8" x14ac:dyDescent="0.2">
      <c r="A123" s="3">
        <v>41974</v>
      </c>
      <c r="F123" s="115">
        <f t="shared" si="13"/>
        <v>3071600.4419401283</v>
      </c>
      <c r="G123" s="113">
        <f>SUM(F112:F123)</f>
        <v>35755184.128223255</v>
      </c>
      <c r="H123" s="113">
        <f>F123*12</f>
        <v>36859205.303281538</v>
      </c>
    </row>
    <row r="124" spans="1:8" x14ac:dyDescent="0.2">
      <c r="A124" s="3"/>
      <c r="F124" s="115">
        <f>SUM(F16:F123)</f>
        <v>176349652.4552336</v>
      </c>
    </row>
  </sheetData>
  <mergeCells count="5">
    <mergeCell ref="P1:R1"/>
    <mergeCell ref="J2:K2"/>
    <mergeCell ref="P2:R2"/>
    <mergeCell ref="P4:T4"/>
    <mergeCell ref="P11:T11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319"/>
  <sheetViews>
    <sheetView topLeftCell="A245" workbookViewId="0">
      <selection activeCell="E269" sqref="E269"/>
    </sheetView>
  </sheetViews>
  <sheetFormatPr defaultRowHeight="12.75" x14ac:dyDescent="0.2"/>
  <cols>
    <col min="1" max="1" width="11.85546875" style="42" customWidth="1"/>
    <col min="2" max="2" width="11.7109375" style="1" customWidth="1"/>
    <col min="3" max="3" width="13.42578125" style="1" customWidth="1"/>
  </cols>
  <sheetData>
    <row r="2" spans="1:3" ht="25.5" x14ac:dyDescent="0.2">
      <c r="A2" s="83"/>
      <c r="B2" s="85" t="s">
        <v>4</v>
      </c>
      <c r="C2" s="86" t="s">
        <v>5</v>
      </c>
    </row>
    <row r="3" spans="1:3" x14ac:dyDescent="0.2">
      <c r="A3" s="54">
        <v>33239</v>
      </c>
      <c r="B3" s="1">
        <v>750.4</v>
      </c>
      <c r="C3" s="1">
        <v>0</v>
      </c>
    </row>
    <row r="4" spans="1:3" x14ac:dyDescent="0.2">
      <c r="A4" s="54">
        <f t="shared" ref="A4:A67" si="0">EOMONTH(A3,1)</f>
        <v>33297</v>
      </c>
      <c r="B4" s="1">
        <v>589.1</v>
      </c>
      <c r="C4" s="1">
        <v>0</v>
      </c>
    </row>
    <row r="5" spans="1:3" x14ac:dyDescent="0.2">
      <c r="A5" s="54">
        <f t="shared" si="0"/>
        <v>33328</v>
      </c>
      <c r="B5" s="1">
        <v>532.20000000000005</v>
      </c>
      <c r="C5" s="1">
        <v>0</v>
      </c>
    </row>
    <row r="6" spans="1:3" x14ac:dyDescent="0.2">
      <c r="A6" s="54">
        <f t="shared" si="0"/>
        <v>33358</v>
      </c>
      <c r="B6" s="1">
        <v>297.60000000000002</v>
      </c>
      <c r="C6" s="1">
        <v>0.5</v>
      </c>
    </row>
    <row r="7" spans="1:3" x14ac:dyDescent="0.2">
      <c r="A7" s="54">
        <f t="shared" si="0"/>
        <v>33389</v>
      </c>
      <c r="B7" s="1">
        <v>0</v>
      </c>
      <c r="C7" s="1">
        <v>0</v>
      </c>
    </row>
    <row r="8" spans="1:3" x14ac:dyDescent="0.2">
      <c r="A8" s="54">
        <f t="shared" si="0"/>
        <v>33419</v>
      </c>
      <c r="B8" s="1">
        <v>21.4</v>
      </c>
      <c r="C8" s="1">
        <v>61.8</v>
      </c>
    </row>
    <row r="9" spans="1:3" x14ac:dyDescent="0.2">
      <c r="A9" s="54">
        <f t="shared" si="0"/>
        <v>33450</v>
      </c>
      <c r="B9" s="1">
        <v>5.4</v>
      </c>
      <c r="C9" s="1">
        <v>95.7</v>
      </c>
    </row>
    <row r="10" spans="1:3" x14ac:dyDescent="0.2">
      <c r="A10" s="54">
        <f t="shared" si="0"/>
        <v>33481</v>
      </c>
      <c r="B10" s="1">
        <v>2.7</v>
      </c>
      <c r="C10" s="1">
        <v>85.5</v>
      </c>
    </row>
    <row r="11" spans="1:3" x14ac:dyDescent="0.2">
      <c r="A11" s="54">
        <f t="shared" si="0"/>
        <v>33511</v>
      </c>
      <c r="B11" s="1">
        <v>130.30000000000001</v>
      </c>
      <c r="C11" s="1">
        <v>21.3</v>
      </c>
    </row>
    <row r="12" spans="1:3" x14ac:dyDescent="0.2">
      <c r="A12" s="54">
        <f t="shared" si="0"/>
        <v>33542</v>
      </c>
      <c r="B12" s="1">
        <v>241.8</v>
      </c>
      <c r="C12" s="1">
        <v>0</v>
      </c>
    </row>
    <row r="13" spans="1:3" x14ac:dyDescent="0.2">
      <c r="A13" s="54">
        <f t="shared" si="0"/>
        <v>33572</v>
      </c>
      <c r="B13" s="1">
        <v>467.6</v>
      </c>
      <c r="C13" s="1">
        <v>0</v>
      </c>
    </row>
    <row r="14" spans="1:3" x14ac:dyDescent="0.2">
      <c r="A14" s="54">
        <f t="shared" si="0"/>
        <v>33603</v>
      </c>
      <c r="B14" s="1">
        <v>600.1</v>
      </c>
      <c r="C14" s="1">
        <v>0</v>
      </c>
    </row>
    <row r="15" spans="1:3" x14ac:dyDescent="0.2">
      <c r="A15" s="54">
        <f t="shared" si="0"/>
        <v>33634</v>
      </c>
      <c r="B15" s="1">
        <v>688.8</v>
      </c>
      <c r="C15" s="1">
        <v>0</v>
      </c>
    </row>
    <row r="16" spans="1:3" x14ac:dyDescent="0.2">
      <c r="A16" s="54">
        <f t="shared" si="0"/>
        <v>33663</v>
      </c>
      <c r="B16" s="1">
        <v>625.4</v>
      </c>
      <c r="C16" s="1">
        <v>0</v>
      </c>
    </row>
    <row r="17" spans="1:3" x14ac:dyDescent="0.2">
      <c r="A17" s="54">
        <f t="shared" si="0"/>
        <v>33694</v>
      </c>
      <c r="B17" s="1">
        <v>578.70000000000005</v>
      </c>
      <c r="C17" s="1">
        <v>0</v>
      </c>
    </row>
    <row r="18" spans="1:3" x14ac:dyDescent="0.2">
      <c r="A18" s="54">
        <f t="shared" si="0"/>
        <v>33724</v>
      </c>
      <c r="B18" s="1">
        <v>379.4</v>
      </c>
      <c r="C18" s="1">
        <v>0</v>
      </c>
    </row>
    <row r="19" spans="1:3" x14ac:dyDescent="0.2">
      <c r="A19" s="54">
        <f t="shared" si="0"/>
        <v>33755</v>
      </c>
      <c r="B19" s="1">
        <v>160.9</v>
      </c>
      <c r="C19" s="1">
        <v>4</v>
      </c>
    </row>
    <row r="20" spans="1:3" x14ac:dyDescent="0.2">
      <c r="A20" s="54">
        <f t="shared" si="0"/>
        <v>33785</v>
      </c>
      <c r="B20" s="1">
        <v>69.099999999999994</v>
      </c>
      <c r="C20" s="1">
        <v>15.8</v>
      </c>
    </row>
    <row r="21" spans="1:3" x14ac:dyDescent="0.2">
      <c r="A21" s="54">
        <f t="shared" si="0"/>
        <v>33816</v>
      </c>
      <c r="B21" s="1">
        <v>25.9</v>
      </c>
      <c r="C21" s="1">
        <v>23.4</v>
      </c>
    </row>
    <row r="22" spans="1:3" x14ac:dyDescent="0.2">
      <c r="A22" s="54">
        <f t="shared" si="0"/>
        <v>33847</v>
      </c>
      <c r="B22" s="1">
        <v>40.1</v>
      </c>
      <c r="C22" s="1">
        <v>20.5</v>
      </c>
    </row>
    <row r="23" spans="1:3" x14ac:dyDescent="0.2">
      <c r="A23" s="54">
        <f t="shared" si="0"/>
        <v>33877</v>
      </c>
      <c r="B23" s="1">
        <v>113.3</v>
      </c>
      <c r="C23" s="1">
        <v>13</v>
      </c>
    </row>
    <row r="24" spans="1:3" x14ac:dyDescent="0.2">
      <c r="A24" s="54">
        <f t="shared" si="0"/>
        <v>33908</v>
      </c>
      <c r="B24" s="1">
        <v>339.1</v>
      </c>
      <c r="C24" s="1">
        <v>0</v>
      </c>
    </row>
    <row r="25" spans="1:3" x14ac:dyDescent="0.2">
      <c r="A25" s="54">
        <f t="shared" si="0"/>
        <v>33938</v>
      </c>
      <c r="B25" s="1">
        <v>455.2</v>
      </c>
      <c r="C25" s="1">
        <v>0</v>
      </c>
    </row>
    <row r="26" spans="1:3" x14ac:dyDescent="0.2">
      <c r="A26" s="54">
        <f t="shared" si="0"/>
        <v>33969</v>
      </c>
      <c r="B26" s="1">
        <v>627.70000000000005</v>
      </c>
      <c r="C26" s="1">
        <v>0</v>
      </c>
    </row>
    <row r="27" spans="1:3" x14ac:dyDescent="0.2">
      <c r="A27" s="54">
        <f t="shared" si="0"/>
        <v>34000</v>
      </c>
      <c r="B27" s="1">
        <v>687.2</v>
      </c>
      <c r="C27" s="1">
        <v>0</v>
      </c>
    </row>
    <row r="28" spans="1:3" x14ac:dyDescent="0.2">
      <c r="A28" s="54">
        <f t="shared" si="0"/>
        <v>34028</v>
      </c>
      <c r="B28" s="1">
        <v>738.1</v>
      </c>
      <c r="C28" s="1">
        <v>0</v>
      </c>
    </row>
    <row r="29" spans="1:3" x14ac:dyDescent="0.2">
      <c r="A29" s="54">
        <f t="shared" si="0"/>
        <v>34059</v>
      </c>
      <c r="B29" s="1">
        <v>632</v>
      </c>
      <c r="C29" s="1">
        <v>0</v>
      </c>
    </row>
    <row r="30" spans="1:3" x14ac:dyDescent="0.2">
      <c r="A30" s="54">
        <f t="shared" si="0"/>
        <v>34089</v>
      </c>
      <c r="B30" s="1">
        <v>343.4</v>
      </c>
      <c r="C30" s="1">
        <v>0</v>
      </c>
    </row>
    <row r="31" spans="1:3" x14ac:dyDescent="0.2">
      <c r="A31" s="54">
        <f t="shared" si="0"/>
        <v>34120</v>
      </c>
      <c r="B31" s="1">
        <v>176.6</v>
      </c>
      <c r="C31" s="1">
        <v>1.5</v>
      </c>
    </row>
    <row r="32" spans="1:3" x14ac:dyDescent="0.2">
      <c r="A32" s="54">
        <f t="shared" si="0"/>
        <v>34150</v>
      </c>
      <c r="B32" s="1">
        <v>47.3</v>
      </c>
      <c r="C32" s="1">
        <v>26.2</v>
      </c>
    </row>
    <row r="33" spans="1:5" x14ac:dyDescent="0.2">
      <c r="A33" s="54">
        <f t="shared" si="0"/>
        <v>34181</v>
      </c>
      <c r="B33" s="1">
        <v>2.9</v>
      </c>
      <c r="C33" s="1">
        <v>97.1</v>
      </c>
    </row>
    <row r="34" spans="1:5" x14ac:dyDescent="0.2">
      <c r="A34" s="54">
        <f t="shared" si="0"/>
        <v>34212</v>
      </c>
      <c r="B34" s="1">
        <v>7.5</v>
      </c>
      <c r="C34" s="1">
        <v>93.8</v>
      </c>
    </row>
    <row r="35" spans="1:5" x14ac:dyDescent="0.2">
      <c r="A35" s="54">
        <f t="shared" si="0"/>
        <v>34242</v>
      </c>
      <c r="B35" s="1">
        <v>156.4</v>
      </c>
      <c r="C35" s="1">
        <v>4</v>
      </c>
    </row>
    <row r="36" spans="1:5" x14ac:dyDescent="0.2">
      <c r="A36" s="54">
        <f t="shared" si="0"/>
        <v>34273</v>
      </c>
      <c r="B36" s="1">
        <v>335.9</v>
      </c>
      <c r="C36" s="1">
        <v>1</v>
      </c>
    </row>
    <row r="37" spans="1:5" x14ac:dyDescent="0.2">
      <c r="A37" s="54">
        <f t="shared" si="0"/>
        <v>34303</v>
      </c>
      <c r="B37" s="1">
        <v>463.5</v>
      </c>
      <c r="C37" s="1">
        <v>0</v>
      </c>
    </row>
    <row r="38" spans="1:5" x14ac:dyDescent="0.2">
      <c r="A38" s="54">
        <f t="shared" si="0"/>
        <v>34334</v>
      </c>
      <c r="B38" s="1">
        <v>649.6</v>
      </c>
      <c r="C38" s="1">
        <v>0</v>
      </c>
      <c r="D38">
        <f>SUM(B27:B38)</f>
        <v>4240.4000000000005</v>
      </c>
      <c r="E38">
        <f>SUM(C27:C38)</f>
        <v>223.6</v>
      </c>
    </row>
    <row r="39" spans="1:5" x14ac:dyDescent="0.2">
      <c r="A39" s="54">
        <f t="shared" si="0"/>
        <v>34365</v>
      </c>
      <c r="B39" s="1">
        <v>968.6</v>
      </c>
      <c r="C39" s="1">
        <v>0</v>
      </c>
    </row>
    <row r="40" spans="1:5" x14ac:dyDescent="0.2">
      <c r="A40" s="54">
        <f t="shared" si="0"/>
        <v>34393</v>
      </c>
      <c r="B40" s="1">
        <v>774.2</v>
      </c>
      <c r="C40" s="1">
        <v>0</v>
      </c>
    </row>
    <row r="41" spans="1:5" x14ac:dyDescent="0.2">
      <c r="A41" s="54">
        <f t="shared" si="0"/>
        <v>34424</v>
      </c>
      <c r="B41" s="1">
        <v>619.9</v>
      </c>
      <c r="C41" s="1">
        <v>0</v>
      </c>
    </row>
    <row r="42" spans="1:5" x14ac:dyDescent="0.2">
      <c r="A42" s="54">
        <f t="shared" si="0"/>
        <v>34454</v>
      </c>
      <c r="B42" s="1">
        <v>343.8</v>
      </c>
      <c r="C42" s="1">
        <v>0</v>
      </c>
    </row>
    <row r="43" spans="1:5" x14ac:dyDescent="0.2">
      <c r="A43" s="54">
        <f t="shared" si="0"/>
        <v>34485</v>
      </c>
      <c r="B43" s="1">
        <v>226.7</v>
      </c>
      <c r="C43" s="1">
        <v>6.9</v>
      </c>
    </row>
    <row r="44" spans="1:5" x14ac:dyDescent="0.2">
      <c r="A44" s="54">
        <f t="shared" si="0"/>
        <v>34515</v>
      </c>
      <c r="B44" s="1">
        <v>38.4</v>
      </c>
      <c r="C44" s="1">
        <v>61.6</v>
      </c>
    </row>
    <row r="45" spans="1:5" x14ac:dyDescent="0.2">
      <c r="A45" s="54">
        <f t="shared" si="0"/>
        <v>34546</v>
      </c>
      <c r="B45" s="1">
        <v>6.3</v>
      </c>
      <c r="C45" s="1">
        <v>77.7</v>
      </c>
    </row>
    <row r="46" spans="1:5" x14ac:dyDescent="0.2">
      <c r="A46" s="54">
        <f t="shared" si="0"/>
        <v>34577</v>
      </c>
      <c r="B46" s="1">
        <v>39.200000000000003</v>
      </c>
      <c r="C46" s="1">
        <v>27.3</v>
      </c>
    </row>
    <row r="47" spans="1:5" x14ac:dyDescent="0.2">
      <c r="A47" s="54">
        <f t="shared" si="0"/>
        <v>34607</v>
      </c>
      <c r="B47" s="1">
        <v>105.4</v>
      </c>
      <c r="C47" s="1">
        <v>7.5</v>
      </c>
    </row>
    <row r="48" spans="1:5" x14ac:dyDescent="0.2">
      <c r="A48" s="54">
        <f t="shared" si="0"/>
        <v>34638</v>
      </c>
      <c r="B48" s="1">
        <v>263.7</v>
      </c>
      <c r="C48" s="1">
        <v>0</v>
      </c>
    </row>
    <row r="49" spans="1:5" x14ac:dyDescent="0.2">
      <c r="A49" s="54">
        <f t="shared" si="0"/>
        <v>34668</v>
      </c>
      <c r="B49" s="1">
        <v>405.3</v>
      </c>
      <c r="C49" s="1">
        <v>0</v>
      </c>
    </row>
    <row r="50" spans="1:5" x14ac:dyDescent="0.2">
      <c r="A50" s="54">
        <f t="shared" si="0"/>
        <v>34699</v>
      </c>
      <c r="B50" s="1">
        <v>591.1</v>
      </c>
      <c r="C50" s="1">
        <v>0</v>
      </c>
      <c r="D50">
        <f>SUM(B39:B50)</f>
        <v>4382.6000000000004</v>
      </c>
      <c r="E50">
        <f>SUM(C39:C50)</f>
        <v>181</v>
      </c>
    </row>
    <row r="51" spans="1:5" x14ac:dyDescent="0.2">
      <c r="A51" s="54">
        <f t="shared" si="0"/>
        <v>34730</v>
      </c>
      <c r="B51" s="1">
        <v>667.5</v>
      </c>
      <c r="C51" s="1">
        <v>0</v>
      </c>
    </row>
    <row r="52" spans="1:5" x14ac:dyDescent="0.2">
      <c r="A52" s="54">
        <f t="shared" si="0"/>
        <v>34758</v>
      </c>
      <c r="B52" s="1">
        <v>735.3</v>
      </c>
      <c r="C52" s="1">
        <v>0</v>
      </c>
    </row>
    <row r="53" spans="1:5" x14ac:dyDescent="0.2">
      <c r="A53" s="54">
        <f t="shared" si="0"/>
        <v>34789</v>
      </c>
      <c r="B53" s="1">
        <v>523.70000000000005</v>
      </c>
      <c r="C53" s="1">
        <v>0</v>
      </c>
    </row>
    <row r="54" spans="1:5" x14ac:dyDescent="0.2">
      <c r="A54" s="54">
        <f t="shared" si="0"/>
        <v>34819</v>
      </c>
      <c r="B54" s="1">
        <v>434.4</v>
      </c>
      <c r="C54" s="1">
        <v>0</v>
      </c>
    </row>
    <row r="55" spans="1:5" x14ac:dyDescent="0.2">
      <c r="A55" s="54">
        <f t="shared" si="0"/>
        <v>34850</v>
      </c>
      <c r="B55" s="1">
        <v>171.9</v>
      </c>
      <c r="C55" s="1">
        <v>1.7</v>
      </c>
    </row>
    <row r="56" spans="1:5" x14ac:dyDescent="0.2">
      <c r="A56" s="54">
        <f t="shared" si="0"/>
        <v>34880</v>
      </c>
      <c r="B56" s="1">
        <v>25.9</v>
      </c>
      <c r="C56" s="1">
        <v>70.8</v>
      </c>
    </row>
    <row r="57" spans="1:5" x14ac:dyDescent="0.2">
      <c r="A57" s="54">
        <f t="shared" si="0"/>
        <v>34911</v>
      </c>
      <c r="B57" s="1">
        <v>17.3</v>
      </c>
      <c r="C57" s="1">
        <v>105.9</v>
      </c>
    </row>
    <row r="58" spans="1:5" x14ac:dyDescent="0.2">
      <c r="A58" s="54">
        <f t="shared" si="0"/>
        <v>34942</v>
      </c>
      <c r="B58" s="1">
        <v>4.3</v>
      </c>
      <c r="C58" s="1">
        <v>101.9</v>
      </c>
    </row>
    <row r="59" spans="1:5" x14ac:dyDescent="0.2">
      <c r="A59" s="54">
        <f t="shared" si="0"/>
        <v>34972</v>
      </c>
      <c r="B59" s="1">
        <v>143.6</v>
      </c>
      <c r="C59" s="1">
        <v>10.8</v>
      </c>
    </row>
    <row r="60" spans="1:5" x14ac:dyDescent="0.2">
      <c r="A60" s="54">
        <f t="shared" si="0"/>
        <v>35003</v>
      </c>
      <c r="B60" s="1">
        <v>245.5</v>
      </c>
      <c r="C60" s="1">
        <v>0</v>
      </c>
    </row>
    <row r="61" spans="1:5" x14ac:dyDescent="0.2">
      <c r="A61" s="54">
        <f t="shared" si="0"/>
        <v>35033</v>
      </c>
      <c r="B61" s="1">
        <v>539.20000000000005</v>
      </c>
      <c r="C61" s="1">
        <v>0</v>
      </c>
    </row>
    <row r="62" spans="1:5" x14ac:dyDescent="0.2">
      <c r="A62" s="54">
        <f t="shared" si="0"/>
        <v>35064</v>
      </c>
      <c r="B62" s="1">
        <v>741.3</v>
      </c>
      <c r="C62" s="1">
        <v>0</v>
      </c>
      <c r="D62">
        <f>SUM(B51:B62)</f>
        <v>4249.9000000000005</v>
      </c>
      <c r="E62">
        <f>SUM(C51:C62)</f>
        <v>291.10000000000002</v>
      </c>
    </row>
    <row r="63" spans="1:5" x14ac:dyDescent="0.2">
      <c r="A63" s="54">
        <f t="shared" si="0"/>
        <v>35095</v>
      </c>
      <c r="B63" s="1">
        <v>789.4</v>
      </c>
      <c r="C63" s="1">
        <v>0</v>
      </c>
    </row>
    <row r="64" spans="1:5" x14ac:dyDescent="0.2">
      <c r="A64" s="54">
        <f t="shared" si="0"/>
        <v>35124</v>
      </c>
      <c r="B64" s="1">
        <v>712.6</v>
      </c>
      <c r="C64" s="1">
        <v>0</v>
      </c>
    </row>
    <row r="65" spans="1:5" x14ac:dyDescent="0.2">
      <c r="A65" s="54">
        <f t="shared" si="0"/>
        <v>35155</v>
      </c>
      <c r="B65" s="1">
        <v>670.4</v>
      </c>
      <c r="C65" s="1">
        <v>0</v>
      </c>
    </row>
    <row r="66" spans="1:5" x14ac:dyDescent="0.2">
      <c r="A66" s="54">
        <f t="shared" si="0"/>
        <v>35185</v>
      </c>
      <c r="B66" s="1">
        <v>421.9</v>
      </c>
      <c r="C66" s="1">
        <v>0</v>
      </c>
    </row>
    <row r="67" spans="1:5" x14ac:dyDescent="0.2">
      <c r="A67" s="54">
        <f t="shared" si="0"/>
        <v>35216</v>
      </c>
      <c r="B67" s="1">
        <v>216.1</v>
      </c>
      <c r="C67" s="1">
        <v>10</v>
      </c>
    </row>
    <row r="68" spans="1:5" x14ac:dyDescent="0.2">
      <c r="A68" s="54">
        <f t="shared" ref="A68:A131" si="1">EOMONTH(A67,1)</f>
        <v>35246</v>
      </c>
      <c r="B68" s="1">
        <v>29.4</v>
      </c>
      <c r="C68" s="1">
        <v>38.6</v>
      </c>
    </row>
    <row r="69" spans="1:5" x14ac:dyDescent="0.2">
      <c r="A69" s="54">
        <f t="shared" si="1"/>
        <v>35277</v>
      </c>
      <c r="B69" s="1">
        <v>18.899999999999999</v>
      </c>
      <c r="C69" s="1">
        <v>41.9</v>
      </c>
    </row>
    <row r="70" spans="1:5" x14ac:dyDescent="0.2">
      <c r="A70" s="54">
        <f t="shared" si="1"/>
        <v>35308</v>
      </c>
      <c r="B70" s="1">
        <v>6.2</v>
      </c>
      <c r="C70" s="1">
        <v>55.2</v>
      </c>
    </row>
    <row r="71" spans="1:5" x14ac:dyDescent="0.2">
      <c r="A71" s="54">
        <f t="shared" si="1"/>
        <v>35338</v>
      </c>
      <c r="B71" s="1">
        <v>102.2</v>
      </c>
      <c r="C71" s="1">
        <v>12.6</v>
      </c>
    </row>
    <row r="72" spans="1:5" x14ac:dyDescent="0.2">
      <c r="A72" s="54">
        <f t="shared" si="1"/>
        <v>35369</v>
      </c>
      <c r="B72" s="1">
        <v>301.39999999999998</v>
      </c>
      <c r="C72" s="1">
        <v>0</v>
      </c>
    </row>
    <row r="73" spans="1:5" x14ac:dyDescent="0.2">
      <c r="A73" s="54">
        <f t="shared" si="1"/>
        <v>35399</v>
      </c>
      <c r="B73" s="1">
        <v>548.1</v>
      </c>
      <c r="C73" s="1">
        <v>0</v>
      </c>
    </row>
    <row r="74" spans="1:5" x14ac:dyDescent="0.2">
      <c r="A74" s="54">
        <f t="shared" si="1"/>
        <v>35430</v>
      </c>
      <c r="B74" s="1">
        <v>596.5</v>
      </c>
      <c r="C74" s="1">
        <v>0</v>
      </c>
      <c r="D74">
        <f>SUM(B63:B74)</f>
        <v>4413.1000000000004</v>
      </c>
      <c r="E74">
        <f>SUM(C63:C74)</f>
        <v>158.29999999999998</v>
      </c>
    </row>
    <row r="75" spans="1:5" x14ac:dyDescent="0.2">
      <c r="A75" s="54">
        <f t="shared" si="1"/>
        <v>35461</v>
      </c>
      <c r="B75" s="1">
        <v>777.9</v>
      </c>
      <c r="C75" s="1">
        <v>0</v>
      </c>
    </row>
    <row r="76" spans="1:5" x14ac:dyDescent="0.2">
      <c r="A76" s="54">
        <f t="shared" si="1"/>
        <v>35489</v>
      </c>
      <c r="B76" s="1">
        <v>615</v>
      </c>
      <c r="C76" s="1">
        <v>0</v>
      </c>
    </row>
    <row r="77" spans="1:5" x14ac:dyDescent="0.2">
      <c r="A77" s="54">
        <f t="shared" si="1"/>
        <v>35520</v>
      </c>
      <c r="B77" s="1">
        <v>619.1</v>
      </c>
      <c r="C77" s="1">
        <v>0</v>
      </c>
    </row>
    <row r="78" spans="1:5" x14ac:dyDescent="0.2">
      <c r="A78" s="54">
        <f t="shared" si="1"/>
        <v>35550</v>
      </c>
      <c r="B78" s="1">
        <v>391.9</v>
      </c>
      <c r="C78" s="1">
        <v>0</v>
      </c>
    </row>
    <row r="79" spans="1:5" x14ac:dyDescent="0.2">
      <c r="A79" s="54">
        <f t="shared" si="1"/>
        <v>35581</v>
      </c>
      <c r="B79" s="1">
        <v>289</v>
      </c>
      <c r="C79" s="1">
        <v>0</v>
      </c>
    </row>
    <row r="80" spans="1:5" x14ac:dyDescent="0.2">
      <c r="A80" s="54">
        <f t="shared" si="1"/>
        <v>35611</v>
      </c>
      <c r="B80" s="1">
        <v>30.4</v>
      </c>
      <c r="C80" s="1">
        <v>50.4</v>
      </c>
    </row>
    <row r="81" spans="1:5" x14ac:dyDescent="0.2">
      <c r="A81" s="54">
        <f t="shared" si="1"/>
        <v>35642</v>
      </c>
      <c r="B81" s="1">
        <v>22.1</v>
      </c>
      <c r="C81" s="1">
        <v>59.8</v>
      </c>
    </row>
    <row r="82" spans="1:5" x14ac:dyDescent="0.2">
      <c r="A82" s="54">
        <f t="shared" si="1"/>
        <v>35673</v>
      </c>
      <c r="B82" s="1">
        <v>49.4</v>
      </c>
      <c r="C82" s="1">
        <v>21.9</v>
      </c>
    </row>
    <row r="83" spans="1:5" x14ac:dyDescent="0.2">
      <c r="A83" s="54">
        <f t="shared" si="1"/>
        <v>35703</v>
      </c>
      <c r="B83" s="1">
        <v>115.2</v>
      </c>
      <c r="C83" s="1">
        <v>5.4</v>
      </c>
    </row>
    <row r="84" spans="1:5" x14ac:dyDescent="0.2">
      <c r="A84" s="54">
        <f t="shared" si="1"/>
        <v>35734</v>
      </c>
      <c r="B84" s="1">
        <v>288.89999999999998</v>
      </c>
      <c r="C84" s="1">
        <v>1.6</v>
      </c>
    </row>
    <row r="85" spans="1:5" x14ac:dyDescent="0.2">
      <c r="A85" s="54">
        <f t="shared" si="1"/>
        <v>35764</v>
      </c>
      <c r="B85" s="1">
        <v>471.4</v>
      </c>
      <c r="C85" s="1">
        <v>0</v>
      </c>
    </row>
    <row r="86" spans="1:5" x14ac:dyDescent="0.2">
      <c r="A86" s="54">
        <f t="shared" si="1"/>
        <v>35795</v>
      </c>
      <c r="B86" s="1">
        <v>630.70000000000005</v>
      </c>
      <c r="C86" s="1">
        <v>0</v>
      </c>
      <c r="D86">
        <f>SUM(B75:B86)</f>
        <v>4301</v>
      </c>
      <c r="E86">
        <f>SUM(C75:C86)</f>
        <v>139.1</v>
      </c>
    </row>
    <row r="87" spans="1:5" x14ac:dyDescent="0.2">
      <c r="A87" s="54">
        <f t="shared" si="1"/>
        <v>35826</v>
      </c>
      <c r="B87" s="1">
        <v>652.79999999999995</v>
      </c>
      <c r="C87" s="1">
        <v>0</v>
      </c>
    </row>
    <row r="88" spans="1:5" x14ac:dyDescent="0.2">
      <c r="A88" s="54">
        <f t="shared" si="1"/>
        <v>35854</v>
      </c>
      <c r="B88" s="1">
        <v>547.1</v>
      </c>
      <c r="C88" s="1">
        <v>0</v>
      </c>
    </row>
    <row r="89" spans="1:5" x14ac:dyDescent="0.2">
      <c r="A89" s="54">
        <f t="shared" si="1"/>
        <v>35885</v>
      </c>
      <c r="B89" s="1">
        <v>505.1</v>
      </c>
      <c r="C89" s="1">
        <v>0</v>
      </c>
    </row>
    <row r="90" spans="1:5" x14ac:dyDescent="0.2">
      <c r="A90" s="54">
        <f t="shared" si="1"/>
        <v>35915</v>
      </c>
      <c r="B90" s="1">
        <v>312</v>
      </c>
      <c r="C90" s="1">
        <v>0</v>
      </c>
    </row>
    <row r="91" spans="1:5" x14ac:dyDescent="0.2">
      <c r="A91" s="54">
        <f t="shared" si="1"/>
        <v>35946</v>
      </c>
      <c r="B91" s="1">
        <v>77.099999999999994</v>
      </c>
      <c r="C91" s="1">
        <v>16.8</v>
      </c>
    </row>
    <row r="92" spans="1:5" x14ac:dyDescent="0.2">
      <c r="A92" s="54">
        <f t="shared" si="1"/>
        <v>35976</v>
      </c>
      <c r="B92" s="1">
        <v>66.7</v>
      </c>
      <c r="C92" s="1">
        <v>63.7</v>
      </c>
    </row>
    <row r="93" spans="1:5" x14ac:dyDescent="0.2">
      <c r="A93" s="54">
        <f t="shared" si="1"/>
        <v>36007</v>
      </c>
      <c r="B93" s="1">
        <v>6.9</v>
      </c>
      <c r="C93" s="1">
        <v>64.8</v>
      </c>
    </row>
    <row r="94" spans="1:5" x14ac:dyDescent="0.2">
      <c r="A94" s="54">
        <f t="shared" si="1"/>
        <v>36038</v>
      </c>
      <c r="B94" s="1">
        <v>12.1</v>
      </c>
      <c r="C94" s="1">
        <v>83.1</v>
      </c>
    </row>
    <row r="95" spans="1:5" x14ac:dyDescent="0.2">
      <c r="A95" s="54">
        <f t="shared" si="1"/>
        <v>36068</v>
      </c>
      <c r="B95" s="1">
        <v>63</v>
      </c>
      <c r="C95" s="1">
        <v>26</v>
      </c>
    </row>
    <row r="96" spans="1:5" x14ac:dyDescent="0.2">
      <c r="A96" s="54">
        <f t="shared" si="1"/>
        <v>36099</v>
      </c>
      <c r="B96" s="1">
        <v>257.60000000000002</v>
      </c>
      <c r="C96" s="1">
        <v>0</v>
      </c>
    </row>
    <row r="97" spans="1:5" x14ac:dyDescent="0.2">
      <c r="A97" s="54">
        <f t="shared" si="1"/>
        <v>36129</v>
      </c>
      <c r="B97" s="1">
        <v>440.1</v>
      </c>
      <c r="C97" s="1">
        <v>0</v>
      </c>
    </row>
    <row r="98" spans="1:5" x14ac:dyDescent="0.2">
      <c r="A98" s="54">
        <f t="shared" si="1"/>
        <v>36160</v>
      </c>
      <c r="B98" s="1">
        <v>572.1</v>
      </c>
      <c r="C98" s="1">
        <v>0</v>
      </c>
      <c r="D98">
        <f>SUM(B87:B98)</f>
        <v>3512.5999999999995</v>
      </c>
      <c r="E98">
        <f>SUM(C87:C98)</f>
        <v>254.4</v>
      </c>
    </row>
    <row r="99" spans="1:5" x14ac:dyDescent="0.2">
      <c r="A99" s="54">
        <f t="shared" si="1"/>
        <v>36191</v>
      </c>
      <c r="B99" s="1">
        <v>789.6</v>
      </c>
      <c r="C99" s="1">
        <v>0</v>
      </c>
    </row>
    <row r="100" spans="1:5" x14ac:dyDescent="0.2">
      <c r="A100" s="54">
        <f t="shared" si="1"/>
        <v>36219</v>
      </c>
      <c r="B100" s="1">
        <v>578.4</v>
      </c>
      <c r="C100" s="1">
        <v>0</v>
      </c>
    </row>
    <row r="101" spans="1:5" x14ac:dyDescent="0.2">
      <c r="A101" s="54">
        <f t="shared" si="1"/>
        <v>36250</v>
      </c>
      <c r="B101" s="1">
        <v>592.5</v>
      </c>
      <c r="C101" s="1">
        <v>0</v>
      </c>
    </row>
    <row r="102" spans="1:5" x14ac:dyDescent="0.2">
      <c r="A102" s="54">
        <f t="shared" si="1"/>
        <v>36280</v>
      </c>
      <c r="B102" s="1">
        <v>332.6</v>
      </c>
      <c r="C102" s="1">
        <v>0</v>
      </c>
    </row>
    <row r="103" spans="1:5" x14ac:dyDescent="0.2">
      <c r="A103" s="54">
        <f t="shared" si="1"/>
        <v>36311</v>
      </c>
      <c r="B103" s="1">
        <v>126.7</v>
      </c>
      <c r="C103" s="1">
        <v>10.5</v>
      </c>
    </row>
    <row r="104" spans="1:5" x14ac:dyDescent="0.2">
      <c r="A104" s="54">
        <f t="shared" si="1"/>
        <v>36341</v>
      </c>
      <c r="B104" s="1">
        <v>44.4</v>
      </c>
      <c r="C104" s="1">
        <v>76.5</v>
      </c>
    </row>
    <row r="105" spans="1:5" x14ac:dyDescent="0.2">
      <c r="A105" s="54">
        <f t="shared" si="1"/>
        <v>36372</v>
      </c>
      <c r="B105" s="1">
        <v>3.2</v>
      </c>
      <c r="C105" s="1">
        <v>138.9</v>
      </c>
    </row>
    <row r="106" spans="1:5" x14ac:dyDescent="0.2">
      <c r="A106" s="54">
        <f t="shared" si="1"/>
        <v>36403</v>
      </c>
      <c r="B106" s="1">
        <v>28.8</v>
      </c>
      <c r="C106" s="1">
        <v>30.9</v>
      </c>
    </row>
    <row r="107" spans="1:5" x14ac:dyDescent="0.2">
      <c r="A107" s="54">
        <f t="shared" si="1"/>
        <v>36433</v>
      </c>
      <c r="B107" s="1">
        <v>88.9</v>
      </c>
      <c r="C107" s="1">
        <v>27.7</v>
      </c>
    </row>
    <row r="108" spans="1:5" x14ac:dyDescent="0.2">
      <c r="A108" s="54">
        <f t="shared" si="1"/>
        <v>36464</v>
      </c>
      <c r="B108" s="1">
        <v>319</v>
      </c>
      <c r="C108" s="1">
        <v>0</v>
      </c>
    </row>
    <row r="109" spans="1:5" x14ac:dyDescent="0.2">
      <c r="A109" s="54">
        <f t="shared" si="1"/>
        <v>36494</v>
      </c>
      <c r="B109" s="1">
        <v>405.1</v>
      </c>
      <c r="C109" s="1">
        <v>0</v>
      </c>
    </row>
    <row r="110" spans="1:5" x14ac:dyDescent="0.2">
      <c r="A110" s="54">
        <f t="shared" si="1"/>
        <v>36525</v>
      </c>
      <c r="B110" s="1">
        <v>623.70000000000005</v>
      </c>
      <c r="C110" s="1">
        <v>0</v>
      </c>
      <c r="D110">
        <f>SUM(B99:B110)</f>
        <v>3932.8999999999996</v>
      </c>
      <c r="E110">
        <f>SUM(C99:C110)</f>
        <v>284.5</v>
      </c>
    </row>
    <row r="111" spans="1:5" x14ac:dyDescent="0.2">
      <c r="A111" s="54">
        <f t="shared" si="1"/>
        <v>36556</v>
      </c>
      <c r="B111" s="1">
        <v>773</v>
      </c>
      <c r="C111" s="1">
        <v>0</v>
      </c>
    </row>
    <row r="112" spans="1:5" x14ac:dyDescent="0.2">
      <c r="A112" s="54">
        <f t="shared" si="1"/>
        <v>36585</v>
      </c>
      <c r="B112" s="1">
        <v>643.79999999999995</v>
      </c>
      <c r="C112" s="1">
        <v>0</v>
      </c>
    </row>
    <row r="113" spans="1:5" x14ac:dyDescent="0.2">
      <c r="A113" s="54">
        <f t="shared" si="1"/>
        <v>36616</v>
      </c>
      <c r="B113" s="1">
        <v>446.9</v>
      </c>
      <c r="C113" s="1">
        <v>0</v>
      </c>
    </row>
    <row r="114" spans="1:5" x14ac:dyDescent="0.2">
      <c r="A114" s="54">
        <f t="shared" si="1"/>
        <v>36646</v>
      </c>
      <c r="B114" s="1">
        <v>358.3</v>
      </c>
      <c r="C114" s="1">
        <v>0</v>
      </c>
    </row>
    <row r="115" spans="1:5" x14ac:dyDescent="0.2">
      <c r="A115" s="54">
        <f t="shared" si="1"/>
        <v>36677</v>
      </c>
      <c r="B115" s="1">
        <v>152.4</v>
      </c>
      <c r="C115" s="1">
        <v>18.7</v>
      </c>
    </row>
    <row r="116" spans="1:5" x14ac:dyDescent="0.2">
      <c r="A116" s="54">
        <f t="shared" si="1"/>
        <v>36707</v>
      </c>
      <c r="B116" s="1">
        <v>41.1</v>
      </c>
      <c r="C116" s="1">
        <v>35.4</v>
      </c>
    </row>
    <row r="117" spans="1:5" x14ac:dyDescent="0.2">
      <c r="A117" s="54">
        <f t="shared" si="1"/>
        <v>36738</v>
      </c>
      <c r="B117" s="1">
        <v>18.600000000000001</v>
      </c>
      <c r="C117" s="1">
        <v>44.8</v>
      </c>
    </row>
    <row r="118" spans="1:5" x14ac:dyDescent="0.2">
      <c r="A118" s="54">
        <f t="shared" si="1"/>
        <v>36769</v>
      </c>
      <c r="B118" s="1">
        <v>29.7</v>
      </c>
      <c r="C118" s="1">
        <v>46.3</v>
      </c>
    </row>
    <row r="119" spans="1:5" x14ac:dyDescent="0.2">
      <c r="A119" s="54">
        <f t="shared" si="1"/>
        <v>36799</v>
      </c>
      <c r="B119" s="1">
        <v>134</v>
      </c>
      <c r="C119" s="1">
        <v>23.8</v>
      </c>
    </row>
    <row r="120" spans="1:5" x14ac:dyDescent="0.2">
      <c r="A120" s="54">
        <f t="shared" si="1"/>
        <v>36830</v>
      </c>
      <c r="B120" s="1">
        <v>251.6</v>
      </c>
      <c r="C120" s="1">
        <v>0</v>
      </c>
    </row>
    <row r="121" spans="1:5" x14ac:dyDescent="0.2">
      <c r="A121" s="54">
        <f t="shared" si="1"/>
        <v>36860</v>
      </c>
      <c r="B121" s="1">
        <v>470.9</v>
      </c>
      <c r="C121" s="1">
        <v>0</v>
      </c>
    </row>
    <row r="122" spans="1:5" x14ac:dyDescent="0.2">
      <c r="A122" s="54">
        <f t="shared" si="1"/>
        <v>36891</v>
      </c>
      <c r="B122" s="1">
        <v>826.5</v>
      </c>
      <c r="C122" s="1">
        <v>0</v>
      </c>
      <c r="D122">
        <f>SUM(B111:B122)</f>
        <v>4146.7999999999993</v>
      </c>
      <c r="E122">
        <f>SUM(C111:C122)</f>
        <v>169</v>
      </c>
    </row>
    <row r="123" spans="1:5" x14ac:dyDescent="0.2">
      <c r="A123" s="54">
        <f t="shared" si="1"/>
        <v>36922</v>
      </c>
      <c r="B123" s="1">
        <v>715</v>
      </c>
      <c r="C123" s="1">
        <v>0</v>
      </c>
    </row>
    <row r="124" spans="1:5" x14ac:dyDescent="0.2">
      <c r="A124" s="54">
        <f t="shared" si="1"/>
        <v>36950</v>
      </c>
      <c r="B124" s="1">
        <v>620.20000000000005</v>
      </c>
      <c r="C124" s="1">
        <v>0</v>
      </c>
    </row>
    <row r="125" spans="1:5" x14ac:dyDescent="0.2">
      <c r="A125" s="54">
        <f t="shared" si="1"/>
        <v>36981</v>
      </c>
      <c r="B125" s="1">
        <v>618.70000000000005</v>
      </c>
      <c r="C125" s="1">
        <v>0</v>
      </c>
    </row>
    <row r="126" spans="1:5" x14ac:dyDescent="0.2">
      <c r="A126" s="54">
        <f t="shared" si="1"/>
        <v>37011</v>
      </c>
      <c r="B126" s="1">
        <v>324.60000000000002</v>
      </c>
      <c r="C126" s="1">
        <v>0</v>
      </c>
    </row>
    <row r="127" spans="1:5" x14ac:dyDescent="0.2">
      <c r="A127" s="54">
        <f t="shared" si="1"/>
        <v>37042</v>
      </c>
      <c r="B127" s="1">
        <v>140.30000000000001</v>
      </c>
      <c r="C127" s="1">
        <v>7.7</v>
      </c>
    </row>
    <row r="128" spans="1:5" x14ac:dyDescent="0.2">
      <c r="A128" s="54">
        <f t="shared" si="1"/>
        <v>37072</v>
      </c>
      <c r="B128" s="1">
        <v>47</v>
      </c>
      <c r="C128" s="1">
        <v>62.4</v>
      </c>
    </row>
    <row r="129" spans="1:5" x14ac:dyDescent="0.2">
      <c r="A129" s="54">
        <f t="shared" si="1"/>
        <v>37103</v>
      </c>
      <c r="B129" s="1">
        <v>22.3</v>
      </c>
      <c r="C129" s="1">
        <v>65.7</v>
      </c>
    </row>
    <row r="130" spans="1:5" x14ac:dyDescent="0.2">
      <c r="A130" s="54">
        <f t="shared" si="1"/>
        <v>37134</v>
      </c>
      <c r="B130" s="1">
        <v>2.2999999999999998</v>
      </c>
      <c r="C130" s="1">
        <v>94.2</v>
      </c>
    </row>
    <row r="131" spans="1:5" x14ac:dyDescent="0.2">
      <c r="A131" s="54">
        <f t="shared" si="1"/>
        <v>37164</v>
      </c>
      <c r="B131" s="1">
        <v>118.8</v>
      </c>
      <c r="C131" s="1">
        <v>19.2</v>
      </c>
    </row>
    <row r="132" spans="1:5" x14ac:dyDescent="0.2">
      <c r="A132" s="54">
        <f t="shared" ref="A132:A195" si="2">EOMONTH(A131,1)</f>
        <v>37195</v>
      </c>
      <c r="B132" s="1">
        <v>276.7</v>
      </c>
      <c r="C132" s="1">
        <v>0</v>
      </c>
    </row>
    <row r="133" spans="1:5" x14ac:dyDescent="0.2">
      <c r="A133" s="54">
        <f t="shared" si="2"/>
        <v>37225</v>
      </c>
      <c r="B133" s="1">
        <v>370.8</v>
      </c>
      <c r="C133" s="1">
        <v>0</v>
      </c>
    </row>
    <row r="134" spans="1:5" x14ac:dyDescent="0.2">
      <c r="A134" s="54">
        <f t="shared" si="2"/>
        <v>37256</v>
      </c>
      <c r="B134" s="1">
        <v>563.29999999999995</v>
      </c>
      <c r="C134" s="1">
        <v>0</v>
      </c>
      <c r="D134">
        <f>SUM(B123:B134)</f>
        <v>3820.0000000000009</v>
      </c>
      <c r="E134">
        <f>SUM(C123:C134)</f>
        <v>249.2</v>
      </c>
    </row>
    <row r="135" spans="1:5" x14ac:dyDescent="0.2">
      <c r="A135" s="54">
        <f t="shared" si="2"/>
        <v>37287</v>
      </c>
      <c r="B135" s="1">
        <v>625.70000000000005</v>
      </c>
      <c r="C135" s="1">
        <v>0</v>
      </c>
    </row>
    <row r="136" spans="1:5" x14ac:dyDescent="0.2">
      <c r="A136" s="54">
        <f t="shared" si="2"/>
        <v>37315</v>
      </c>
      <c r="B136" s="1">
        <v>592</v>
      </c>
      <c r="C136" s="1">
        <v>0</v>
      </c>
    </row>
    <row r="137" spans="1:5" x14ac:dyDescent="0.2">
      <c r="A137" s="54">
        <f t="shared" si="2"/>
        <v>37346</v>
      </c>
      <c r="B137" s="1">
        <v>581.20000000000005</v>
      </c>
      <c r="C137" s="1">
        <v>0</v>
      </c>
    </row>
    <row r="138" spans="1:5" x14ac:dyDescent="0.2">
      <c r="A138" s="54">
        <f t="shared" si="2"/>
        <v>37376</v>
      </c>
      <c r="B138" s="1">
        <v>356.2</v>
      </c>
      <c r="C138" s="1">
        <v>6.6</v>
      </c>
    </row>
    <row r="139" spans="1:5" x14ac:dyDescent="0.2">
      <c r="A139" s="54">
        <f t="shared" si="2"/>
        <v>37407</v>
      </c>
      <c r="B139" s="1">
        <v>266.8</v>
      </c>
      <c r="C139" s="1">
        <v>5.3</v>
      </c>
    </row>
    <row r="140" spans="1:5" x14ac:dyDescent="0.2">
      <c r="A140" s="54">
        <f t="shared" si="2"/>
        <v>37437</v>
      </c>
      <c r="B140" s="1">
        <v>53.1</v>
      </c>
      <c r="C140" s="1">
        <v>54.5</v>
      </c>
    </row>
    <row r="141" spans="1:5" x14ac:dyDescent="0.2">
      <c r="A141" s="54">
        <f t="shared" si="2"/>
        <v>37468</v>
      </c>
      <c r="B141" s="1">
        <v>4.7</v>
      </c>
      <c r="C141" s="1">
        <v>129</v>
      </c>
    </row>
    <row r="142" spans="1:5" x14ac:dyDescent="0.2">
      <c r="A142" s="54">
        <f t="shared" si="2"/>
        <v>37499</v>
      </c>
      <c r="B142" s="1">
        <v>11</v>
      </c>
      <c r="C142" s="1">
        <v>72.3</v>
      </c>
    </row>
    <row r="143" spans="1:5" x14ac:dyDescent="0.2">
      <c r="A143" s="54">
        <f t="shared" si="2"/>
        <v>37529</v>
      </c>
      <c r="B143" s="1">
        <v>50.2</v>
      </c>
      <c r="C143" s="1">
        <v>47</v>
      </c>
    </row>
    <row r="144" spans="1:5" x14ac:dyDescent="0.2">
      <c r="A144" s="54">
        <f t="shared" si="2"/>
        <v>37560</v>
      </c>
      <c r="B144" s="1">
        <v>345.6</v>
      </c>
      <c r="C144" s="1">
        <v>6.3</v>
      </c>
    </row>
    <row r="145" spans="1:5" x14ac:dyDescent="0.2">
      <c r="A145" s="54">
        <f t="shared" si="2"/>
        <v>37590</v>
      </c>
      <c r="B145" s="1">
        <v>486.4</v>
      </c>
      <c r="C145" s="1">
        <v>0</v>
      </c>
    </row>
    <row r="146" spans="1:5" x14ac:dyDescent="0.2">
      <c r="A146" s="54">
        <f t="shared" si="2"/>
        <v>37621</v>
      </c>
      <c r="B146" s="1">
        <v>675.6</v>
      </c>
      <c r="C146" s="1">
        <v>0</v>
      </c>
      <c r="D146">
        <f>SUM(B135:B146)</f>
        <v>4048.4999999999995</v>
      </c>
      <c r="E146">
        <f>SUM(C135:C146)</f>
        <v>321</v>
      </c>
    </row>
    <row r="147" spans="1:5" x14ac:dyDescent="0.2">
      <c r="A147" s="54">
        <f t="shared" si="2"/>
        <v>37652</v>
      </c>
      <c r="B147" s="1">
        <v>868.4</v>
      </c>
      <c r="C147" s="1">
        <v>0</v>
      </c>
    </row>
    <row r="148" spans="1:5" x14ac:dyDescent="0.2">
      <c r="A148" s="54">
        <f t="shared" si="2"/>
        <v>37680</v>
      </c>
      <c r="B148" s="1">
        <v>755.9</v>
      </c>
      <c r="C148" s="1">
        <v>0</v>
      </c>
    </row>
    <row r="149" spans="1:5" x14ac:dyDescent="0.2">
      <c r="A149" s="54">
        <f t="shared" si="2"/>
        <v>37711</v>
      </c>
      <c r="B149" s="1">
        <v>638.70000000000005</v>
      </c>
      <c r="C149" s="1">
        <v>0</v>
      </c>
    </row>
    <row r="150" spans="1:5" x14ac:dyDescent="0.2">
      <c r="A150" s="54">
        <f t="shared" si="2"/>
        <v>37741</v>
      </c>
      <c r="B150" s="1">
        <v>397.4</v>
      </c>
      <c r="C150" s="1">
        <v>0.7</v>
      </c>
    </row>
    <row r="151" spans="1:5" x14ac:dyDescent="0.2">
      <c r="A151" s="54">
        <f t="shared" si="2"/>
        <v>37772</v>
      </c>
      <c r="B151" s="1">
        <v>217</v>
      </c>
      <c r="C151" s="1">
        <v>0</v>
      </c>
    </row>
    <row r="152" spans="1:5" x14ac:dyDescent="0.2">
      <c r="A152" s="54">
        <f t="shared" si="2"/>
        <v>37802</v>
      </c>
      <c r="B152" s="1">
        <v>65.3</v>
      </c>
      <c r="C152" s="1">
        <v>25.5</v>
      </c>
    </row>
    <row r="153" spans="1:5" x14ac:dyDescent="0.2">
      <c r="A153" s="54">
        <f t="shared" si="2"/>
        <v>37833</v>
      </c>
      <c r="B153" s="1">
        <v>12.5</v>
      </c>
      <c r="C153" s="1">
        <v>50.1</v>
      </c>
    </row>
    <row r="154" spans="1:5" x14ac:dyDescent="0.2">
      <c r="A154" s="54">
        <f t="shared" si="2"/>
        <v>37864</v>
      </c>
      <c r="B154" s="1">
        <v>18.899999999999999</v>
      </c>
      <c r="C154" s="1">
        <v>72.400000000000006</v>
      </c>
    </row>
    <row r="155" spans="1:5" x14ac:dyDescent="0.2">
      <c r="A155" s="54">
        <f t="shared" si="2"/>
        <v>37894</v>
      </c>
      <c r="B155" s="1">
        <v>104.1</v>
      </c>
      <c r="C155" s="1">
        <v>6</v>
      </c>
    </row>
    <row r="156" spans="1:5" x14ac:dyDescent="0.2">
      <c r="A156" s="54">
        <f t="shared" si="2"/>
        <v>37925</v>
      </c>
      <c r="B156" s="1">
        <v>331.9</v>
      </c>
      <c r="C156" s="1">
        <v>0</v>
      </c>
    </row>
    <row r="157" spans="1:5" x14ac:dyDescent="0.2">
      <c r="A157" s="54">
        <f t="shared" si="2"/>
        <v>37955</v>
      </c>
      <c r="B157" s="1">
        <v>434.4</v>
      </c>
      <c r="C157" s="1">
        <v>0</v>
      </c>
    </row>
    <row r="158" spans="1:5" x14ac:dyDescent="0.2">
      <c r="A158" s="54">
        <f t="shared" si="2"/>
        <v>37986</v>
      </c>
      <c r="B158" s="1">
        <v>610</v>
      </c>
      <c r="C158" s="1">
        <v>0</v>
      </c>
      <c r="D158">
        <f>SUM(B147:B158)</f>
        <v>4454.5</v>
      </c>
      <c r="E158">
        <f>SUM(C147:C158)</f>
        <v>154.69999999999999</v>
      </c>
    </row>
    <row r="159" spans="1:5" x14ac:dyDescent="0.2">
      <c r="A159" s="54">
        <f t="shared" si="2"/>
        <v>38017</v>
      </c>
      <c r="B159" s="1">
        <v>879.2</v>
      </c>
      <c r="C159" s="1">
        <v>0</v>
      </c>
    </row>
    <row r="160" spans="1:5" x14ac:dyDescent="0.2">
      <c r="A160" s="54">
        <f t="shared" si="2"/>
        <v>38046</v>
      </c>
      <c r="B160" s="1">
        <v>699.2</v>
      </c>
      <c r="C160" s="1">
        <v>0</v>
      </c>
    </row>
    <row r="161" spans="1:5" x14ac:dyDescent="0.2">
      <c r="A161" s="54">
        <f t="shared" si="2"/>
        <v>38077</v>
      </c>
      <c r="B161" s="1">
        <v>540.9</v>
      </c>
      <c r="C161" s="1">
        <v>0</v>
      </c>
    </row>
    <row r="162" spans="1:5" x14ac:dyDescent="0.2">
      <c r="A162" s="54">
        <f t="shared" si="2"/>
        <v>38107</v>
      </c>
      <c r="B162" s="1">
        <v>354.1</v>
      </c>
      <c r="C162" s="1">
        <v>0</v>
      </c>
    </row>
    <row r="163" spans="1:5" x14ac:dyDescent="0.2">
      <c r="A163" s="54">
        <f t="shared" si="2"/>
        <v>38138</v>
      </c>
      <c r="B163" s="1">
        <v>196.2</v>
      </c>
      <c r="C163" s="1">
        <v>6.7</v>
      </c>
    </row>
    <row r="164" spans="1:5" x14ac:dyDescent="0.2">
      <c r="A164" s="54">
        <f t="shared" si="2"/>
        <v>38168</v>
      </c>
      <c r="B164" s="1">
        <v>92.5</v>
      </c>
      <c r="C164" s="1">
        <v>16.3</v>
      </c>
    </row>
    <row r="165" spans="1:5" x14ac:dyDescent="0.2">
      <c r="A165" s="54">
        <f t="shared" si="2"/>
        <v>38199</v>
      </c>
      <c r="B165" s="1">
        <v>21.3</v>
      </c>
      <c r="C165" s="1">
        <v>49.3</v>
      </c>
    </row>
    <row r="166" spans="1:5" x14ac:dyDescent="0.2">
      <c r="A166" s="54">
        <f t="shared" si="2"/>
        <v>38230</v>
      </c>
      <c r="B166" s="1">
        <v>55</v>
      </c>
      <c r="C166" s="1">
        <v>30.6</v>
      </c>
    </row>
    <row r="167" spans="1:5" x14ac:dyDescent="0.2">
      <c r="A167" s="54">
        <f t="shared" si="2"/>
        <v>38260</v>
      </c>
      <c r="B167" s="1">
        <v>71.3</v>
      </c>
      <c r="C167" s="1">
        <v>13.7</v>
      </c>
    </row>
    <row r="168" spans="1:5" x14ac:dyDescent="0.2">
      <c r="A168" s="54">
        <f t="shared" si="2"/>
        <v>38291</v>
      </c>
      <c r="B168" s="1">
        <v>287.5</v>
      </c>
      <c r="C168" s="1">
        <v>0</v>
      </c>
    </row>
    <row r="169" spans="1:5" x14ac:dyDescent="0.2">
      <c r="A169" s="54">
        <f t="shared" si="2"/>
        <v>38321</v>
      </c>
      <c r="B169" s="1">
        <v>432.9</v>
      </c>
      <c r="C169" s="1">
        <v>0</v>
      </c>
    </row>
    <row r="170" spans="1:5" x14ac:dyDescent="0.2">
      <c r="A170" s="54">
        <f t="shared" si="2"/>
        <v>38352</v>
      </c>
      <c r="B170" s="1">
        <v>700.1</v>
      </c>
      <c r="C170" s="1">
        <v>0</v>
      </c>
      <c r="D170">
        <f>SUM(B159:B170)</f>
        <v>4330.2000000000007</v>
      </c>
      <c r="E170">
        <f>SUM(C159:C170)</f>
        <v>116.60000000000001</v>
      </c>
    </row>
    <row r="171" spans="1:5" x14ac:dyDescent="0.2">
      <c r="A171" s="54">
        <f t="shared" si="2"/>
        <v>38383</v>
      </c>
      <c r="B171" s="1">
        <v>814.7</v>
      </c>
      <c r="C171" s="1">
        <v>0</v>
      </c>
    </row>
    <row r="172" spans="1:5" x14ac:dyDescent="0.2">
      <c r="A172" s="54">
        <f t="shared" si="2"/>
        <v>38411</v>
      </c>
      <c r="B172" s="1">
        <v>683.5</v>
      </c>
      <c r="C172" s="1">
        <v>0</v>
      </c>
    </row>
    <row r="173" spans="1:5" x14ac:dyDescent="0.2">
      <c r="A173" s="54">
        <f t="shared" si="2"/>
        <v>38442</v>
      </c>
      <c r="B173" s="1">
        <v>680.5</v>
      </c>
      <c r="C173" s="1">
        <v>0</v>
      </c>
    </row>
    <row r="174" spans="1:5" x14ac:dyDescent="0.2">
      <c r="A174" s="54">
        <f t="shared" si="2"/>
        <v>38472</v>
      </c>
      <c r="B174" s="1">
        <v>354.6</v>
      </c>
      <c r="C174" s="1">
        <v>0</v>
      </c>
    </row>
    <row r="175" spans="1:5" x14ac:dyDescent="0.2">
      <c r="A175" s="54">
        <f t="shared" si="2"/>
        <v>38503</v>
      </c>
      <c r="B175" s="1">
        <v>244.9</v>
      </c>
      <c r="C175" s="1">
        <v>0</v>
      </c>
    </row>
    <row r="176" spans="1:5" x14ac:dyDescent="0.2">
      <c r="A176" s="54">
        <f t="shared" si="2"/>
        <v>38533</v>
      </c>
      <c r="B176" s="1">
        <v>27.3</v>
      </c>
      <c r="C176" s="1">
        <v>104.8</v>
      </c>
    </row>
    <row r="177" spans="1:5" x14ac:dyDescent="0.2">
      <c r="A177" s="54">
        <f t="shared" si="2"/>
        <v>38564</v>
      </c>
      <c r="B177" s="1">
        <v>6.8</v>
      </c>
      <c r="C177" s="1">
        <v>105.4</v>
      </c>
    </row>
    <row r="178" spans="1:5" x14ac:dyDescent="0.2">
      <c r="A178" s="54">
        <f t="shared" si="2"/>
        <v>38595</v>
      </c>
      <c r="B178" s="1">
        <v>11.9</v>
      </c>
      <c r="C178" s="1">
        <v>67.900000000000006</v>
      </c>
    </row>
    <row r="179" spans="1:5" x14ac:dyDescent="0.2">
      <c r="A179" s="54">
        <f t="shared" si="2"/>
        <v>38625</v>
      </c>
      <c r="B179" s="1">
        <v>63.4</v>
      </c>
      <c r="C179" s="1">
        <v>13.7</v>
      </c>
    </row>
    <row r="180" spans="1:5" x14ac:dyDescent="0.2">
      <c r="A180" s="54">
        <f t="shared" si="2"/>
        <v>38656</v>
      </c>
      <c r="B180" s="1">
        <v>259.89999999999998</v>
      </c>
      <c r="C180" s="1">
        <v>2.6</v>
      </c>
    </row>
    <row r="181" spans="1:5" x14ac:dyDescent="0.2">
      <c r="A181" s="54">
        <f t="shared" si="2"/>
        <v>38686</v>
      </c>
      <c r="B181" s="1">
        <v>433.1</v>
      </c>
      <c r="C181" s="1">
        <v>0</v>
      </c>
    </row>
    <row r="182" spans="1:5" x14ac:dyDescent="0.2">
      <c r="A182" s="54">
        <f t="shared" si="2"/>
        <v>38717</v>
      </c>
      <c r="B182" s="1">
        <v>721.6</v>
      </c>
      <c r="C182" s="1">
        <v>0</v>
      </c>
      <c r="D182">
        <f>SUM(B171:B182)</f>
        <v>4302.2000000000007</v>
      </c>
      <c r="E182">
        <f>SUM(C171:C182)</f>
        <v>294.40000000000003</v>
      </c>
    </row>
    <row r="183" spans="1:5" x14ac:dyDescent="0.2">
      <c r="A183" s="54">
        <f t="shared" si="2"/>
        <v>38748</v>
      </c>
      <c r="B183" s="1">
        <v>590.6</v>
      </c>
      <c r="C183" s="1">
        <v>0</v>
      </c>
    </row>
    <row r="184" spans="1:5" x14ac:dyDescent="0.2">
      <c r="A184" s="54">
        <f t="shared" si="2"/>
        <v>38776</v>
      </c>
      <c r="B184" s="1">
        <v>651.20000000000005</v>
      </c>
      <c r="C184" s="1">
        <v>0</v>
      </c>
    </row>
    <row r="185" spans="1:5" x14ac:dyDescent="0.2">
      <c r="A185" s="54">
        <f t="shared" si="2"/>
        <v>38807</v>
      </c>
      <c r="B185" s="1">
        <v>562.4</v>
      </c>
      <c r="C185" s="1">
        <v>0</v>
      </c>
    </row>
    <row r="186" spans="1:5" x14ac:dyDescent="0.2">
      <c r="A186" s="54">
        <f t="shared" si="2"/>
        <v>38837</v>
      </c>
      <c r="B186" s="1">
        <v>322.5</v>
      </c>
      <c r="C186" s="1">
        <v>0</v>
      </c>
    </row>
    <row r="187" spans="1:5" x14ac:dyDescent="0.2">
      <c r="A187" s="54">
        <f t="shared" si="2"/>
        <v>38868</v>
      </c>
      <c r="B187" s="1">
        <v>177.8</v>
      </c>
      <c r="C187" s="1">
        <v>17.7</v>
      </c>
    </row>
    <row r="188" spans="1:5" x14ac:dyDescent="0.2">
      <c r="A188" s="54">
        <f t="shared" si="2"/>
        <v>38898</v>
      </c>
      <c r="B188" s="1">
        <v>44.1</v>
      </c>
      <c r="C188" s="1">
        <v>32.200000000000003</v>
      </c>
    </row>
    <row r="189" spans="1:5" x14ac:dyDescent="0.2">
      <c r="A189" s="54">
        <f t="shared" si="2"/>
        <v>38929</v>
      </c>
      <c r="B189" s="1">
        <v>6.5</v>
      </c>
      <c r="C189" s="1">
        <v>117.2</v>
      </c>
    </row>
    <row r="190" spans="1:5" x14ac:dyDescent="0.2">
      <c r="A190" s="54">
        <f t="shared" si="2"/>
        <v>38960</v>
      </c>
      <c r="B190" s="1">
        <v>27.5</v>
      </c>
      <c r="C190" s="1">
        <v>45.5</v>
      </c>
    </row>
    <row r="191" spans="1:5" x14ac:dyDescent="0.2">
      <c r="A191" s="54">
        <f t="shared" si="2"/>
        <v>38990</v>
      </c>
      <c r="B191" s="1">
        <v>130.30000000000001</v>
      </c>
      <c r="C191" s="1">
        <v>2.2999999999999998</v>
      </c>
    </row>
    <row r="192" spans="1:5" x14ac:dyDescent="0.2">
      <c r="A192" s="54">
        <f t="shared" si="2"/>
        <v>39021</v>
      </c>
      <c r="B192" s="1">
        <v>335.1</v>
      </c>
      <c r="C192" s="1">
        <v>0</v>
      </c>
    </row>
    <row r="193" spans="1:5" x14ac:dyDescent="0.2">
      <c r="A193" s="54">
        <f t="shared" si="2"/>
        <v>39051</v>
      </c>
      <c r="B193" s="1">
        <v>415.9</v>
      </c>
      <c r="C193" s="1">
        <v>0</v>
      </c>
    </row>
    <row r="194" spans="1:5" x14ac:dyDescent="0.2">
      <c r="A194" s="54">
        <f t="shared" si="2"/>
        <v>39082</v>
      </c>
      <c r="B194" s="1">
        <v>545.20000000000005</v>
      </c>
      <c r="C194" s="1">
        <v>0</v>
      </c>
      <c r="D194">
        <f>SUM(B183:B194)</f>
        <v>3809.1000000000004</v>
      </c>
      <c r="E194">
        <f>SUM(C183:C194)</f>
        <v>214.90000000000003</v>
      </c>
    </row>
    <row r="195" spans="1:5" x14ac:dyDescent="0.2">
      <c r="A195" s="54">
        <f t="shared" si="2"/>
        <v>39113</v>
      </c>
      <c r="B195" s="1">
        <v>698.3</v>
      </c>
      <c r="C195" s="1">
        <v>0</v>
      </c>
    </row>
    <row r="196" spans="1:5" x14ac:dyDescent="0.2">
      <c r="A196" s="54">
        <f t="shared" ref="A196:A259" si="3">EOMONTH(A195,1)</f>
        <v>39141</v>
      </c>
      <c r="B196" s="1">
        <v>785.1</v>
      </c>
      <c r="C196" s="1">
        <v>0</v>
      </c>
    </row>
    <row r="197" spans="1:5" x14ac:dyDescent="0.2">
      <c r="A197" s="54">
        <f t="shared" si="3"/>
        <v>39172</v>
      </c>
      <c r="B197" s="1">
        <v>582</v>
      </c>
      <c r="C197" s="1">
        <v>0</v>
      </c>
    </row>
    <row r="198" spans="1:5" x14ac:dyDescent="0.2">
      <c r="A198" s="54">
        <f t="shared" si="3"/>
        <v>39202</v>
      </c>
      <c r="B198" s="1">
        <v>403</v>
      </c>
      <c r="C198" s="1">
        <v>0</v>
      </c>
    </row>
    <row r="199" spans="1:5" x14ac:dyDescent="0.2">
      <c r="A199" s="54">
        <f t="shared" si="3"/>
        <v>39233</v>
      </c>
      <c r="B199" s="1">
        <v>166.4</v>
      </c>
      <c r="C199" s="1">
        <v>11.2</v>
      </c>
    </row>
    <row r="200" spans="1:5" x14ac:dyDescent="0.2">
      <c r="A200" s="54">
        <f t="shared" si="3"/>
        <v>39263</v>
      </c>
      <c r="B200" s="1">
        <v>35.5</v>
      </c>
      <c r="C200" s="1">
        <v>51.2</v>
      </c>
    </row>
    <row r="201" spans="1:5" x14ac:dyDescent="0.2">
      <c r="A201" s="54">
        <f t="shared" si="3"/>
        <v>39294</v>
      </c>
      <c r="B201" s="1">
        <v>28</v>
      </c>
      <c r="C201" s="1">
        <v>53.8</v>
      </c>
    </row>
    <row r="202" spans="1:5" x14ac:dyDescent="0.2">
      <c r="A202" s="54">
        <f t="shared" si="3"/>
        <v>39325</v>
      </c>
      <c r="B202" s="1">
        <v>19.7</v>
      </c>
      <c r="C202" s="1">
        <v>65.099999999999994</v>
      </c>
    </row>
    <row r="203" spans="1:5" x14ac:dyDescent="0.2">
      <c r="A203" s="54">
        <f t="shared" si="3"/>
        <v>39355</v>
      </c>
      <c r="B203" s="1">
        <v>74.7</v>
      </c>
      <c r="C203" s="1">
        <v>28</v>
      </c>
    </row>
    <row r="204" spans="1:5" x14ac:dyDescent="0.2">
      <c r="A204" s="54">
        <f t="shared" si="3"/>
        <v>39386</v>
      </c>
      <c r="B204" s="1">
        <v>184.7</v>
      </c>
      <c r="C204" s="1">
        <v>10.9</v>
      </c>
    </row>
    <row r="205" spans="1:5" x14ac:dyDescent="0.2">
      <c r="A205" s="54">
        <f t="shared" si="3"/>
        <v>39416</v>
      </c>
      <c r="B205" s="1">
        <v>511.8</v>
      </c>
      <c r="C205" s="1">
        <v>0</v>
      </c>
    </row>
    <row r="206" spans="1:5" x14ac:dyDescent="0.2">
      <c r="A206" s="54">
        <f t="shared" si="3"/>
        <v>39447</v>
      </c>
      <c r="B206" s="1">
        <v>686.6</v>
      </c>
      <c r="C206" s="1">
        <v>0</v>
      </c>
      <c r="D206">
        <f>SUM(B195:B206)</f>
        <v>4175.8</v>
      </c>
      <c r="E206">
        <f>SUM(C195:C206)</f>
        <v>220.20000000000002</v>
      </c>
    </row>
    <row r="207" spans="1:5" x14ac:dyDescent="0.2">
      <c r="A207" s="54">
        <f t="shared" si="3"/>
        <v>39478</v>
      </c>
      <c r="B207" s="1">
        <v>676.8</v>
      </c>
      <c r="C207" s="1">
        <v>0</v>
      </c>
    </row>
    <row r="208" spans="1:5" x14ac:dyDescent="0.2">
      <c r="A208" s="54">
        <f t="shared" si="3"/>
        <v>39507</v>
      </c>
      <c r="B208" s="1">
        <v>651.20000000000005</v>
      </c>
      <c r="C208" s="1">
        <v>0</v>
      </c>
    </row>
    <row r="209" spans="1:5" x14ac:dyDescent="0.2">
      <c r="A209" s="54">
        <f t="shared" si="3"/>
        <v>39538</v>
      </c>
      <c r="B209" s="1">
        <v>686.1</v>
      </c>
      <c r="C209" s="1">
        <v>0</v>
      </c>
    </row>
    <row r="210" spans="1:5" x14ac:dyDescent="0.2">
      <c r="A210" s="54">
        <f t="shared" si="3"/>
        <v>39568</v>
      </c>
      <c r="B210" s="1">
        <v>297.89999999999998</v>
      </c>
      <c r="C210" s="1">
        <v>0</v>
      </c>
    </row>
    <row r="211" spans="1:5" x14ac:dyDescent="0.2">
      <c r="A211" s="54">
        <f t="shared" si="3"/>
        <v>39599</v>
      </c>
      <c r="B211" s="1">
        <v>243.1</v>
      </c>
      <c r="C211" s="1">
        <v>0.7</v>
      </c>
    </row>
    <row r="212" spans="1:5" x14ac:dyDescent="0.2">
      <c r="A212" s="54">
        <f t="shared" si="3"/>
        <v>39629</v>
      </c>
      <c r="B212" s="1">
        <v>40.6</v>
      </c>
      <c r="C212" s="1">
        <v>53</v>
      </c>
    </row>
    <row r="213" spans="1:5" x14ac:dyDescent="0.2">
      <c r="A213" s="54">
        <f t="shared" si="3"/>
        <v>39660</v>
      </c>
      <c r="B213" s="1">
        <v>7.6</v>
      </c>
      <c r="C213" s="1">
        <v>75.8</v>
      </c>
    </row>
    <row r="214" spans="1:5" x14ac:dyDescent="0.2">
      <c r="A214" s="54">
        <f t="shared" si="3"/>
        <v>39691</v>
      </c>
      <c r="B214" s="1">
        <v>36.200000000000003</v>
      </c>
      <c r="C214" s="1">
        <v>29.5</v>
      </c>
    </row>
    <row r="215" spans="1:5" x14ac:dyDescent="0.2">
      <c r="A215" s="54">
        <f t="shared" si="3"/>
        <v>39721</v>
      </c>
      <c r="B215" s="1">
        <v>93.2</v>
      </c>
      <c r="C215" s="1">
        <v>12</v>
      </c>
    </row>
    <row r="216" spans="1:5" x14ac:dyDescent="0.2">
      <c r="A216" s="54">
        <f t="shared" si="3"/>
        <v>39752</v>
      </c>
      <c r="B216" s="1">
        <v>325.7</v>
      </c>
      <c r="C216" s="1">
        <v>0</v>
      </c>
    </row>
    <row r="217" spans="1:5" x14ac:dyDescent="0.2">
      <c r="A217" s="54">
        <f t="shared" si="3"/>
        <v>39782</v>
      </c>
      <c r="B217" s="1">
        <v>499.7</v>
      </c>
      <c r="C217" s="1">
        <v>0</v>
      </c>
    </row>
    <row r="218" spans="1:5" x14ac:dyDescent="0.2">
      <c r="A218" s="54">
        <f t="shared" si="3"/>
        <v>39813</v>
      </c>
      <c r="B218" s="1">
        <v>694</v>
      </c>
      <c r="C218" s="1">
        <v>0</v>
      </c>
      <c r="D218">
        <f>SUM(B207:B218)</f>
        <v>4252.0999999999985</v>
      </c>
      <c r="E218">
        <f>SUM(C207:C218)</f>
        <v>171</v>
      </c>
    </row>
    <row r="219" spans="1:5" x14ac:dyDescent="0.2">
      <c r="A219" s="54">
        <f t="shared" si="3"/>
        <v>39844</v>
      </c>
      <c r="B219" s="110">
        <v>891.8</v>
      </c>
      <c r="C219" s="110">
        <v>0</v>
      </c>
    </row>
    <row r="220" spans="1:5" x14ac:dyDescent="0.2">
      <c r="A220" s="54">
        <f t="shared" si="3"/>
        <v>39872</v>
      </c>
      <c r="B220" s="110">
        <v>649.6</v>
      </c>
      <c r="C220" s="110">
        <v>0</v>
      </c>
    </row>
    <row r="221" spans="1:5" x14ac:dyDescent="0.2">
      <c r="A221" s="54">
        <f t="shared" si="3"/>
        <v>39903</v>
      </c>
      <c r="B221" s="110">
        <v>562.6</v>
      </c>
      <c r="C221" s="110">
        <v>0</v>
      </c>
    </row>
    <row r="222" spans="1:5" x14ac:dyDescent="0.2">
      <c r="A222" s="54">
        <f t="shared" si="3"/>
        <v>39933</v>
      </c>
      <c r="B222" s="110">
        <v>341.5</v>
      </c>
      <c r="C222" s="110">
        <v>3.2</v>
      </c>
    </row>
    <row r="223" spans="1:5" x14ac:dyDescent="0.2">
      <c r="A223" s="54">
        <f t="shared" si="3"/>
        <v>39964</v>
      </c>
      <c r="B223" s="110">
        <v>192.8</v>
      </c>
      <c r="C223" s="110">
        <v>2.2999999999999998</v>
      </c>
    </row>
    <row r="224" spans="1:5" x14ac:dyDescent="0.2">
      <c r="A224" s="54">
        <f t="shared" si="3"/>
        <v>39994</v>
      </c>
      <c r="B224" s="110">
        <v>75.7</v>
      </c>
      <c r="C224" s="110">
        <v>26.2</v>
      </c>
    </row>
    <row r="225" spans="1:5" x14ac:dyDescent="0.2">
      <c r="A225" s="54">
        <f t="shared" si="3"/>
        <v>40025</v>
      </c>
      <c r="B225" s="110">
        <v>37.6</v>
      </c>
      <c r="C225" s="110">
        <v>14.5</v>
      </c>
    </row>
    <row r="226" spans="1:5" x14ac:dyDescent="0.2">
      <c r="A226" s="54">
        <f t="shared" si="3"/>
        <v>40056</v>
      </c>
      <c r="B226" s="110">
        <v>34.4</v>
      </c>
      <c r="C226" s="110">
        <v>57.3</v>
      </c>
    </row>
    <row r="227" spans="1:5" x14ac:dyDescent="0.2">
      <c r="A227" s="54">
        <f t="shared" si="3"/>
        <v>40086</v>
      </c>
      <c r="B227" s="110">
        <v>88.8</v>
      </c>
      <c r="C227" s="110">
        <v>5.5</v>
      </c>
    </row>
    <row r="228" spans="1:5" x14ac:dyDescent="0.2">
      <c r="A228" s="54">
        <f t="shared" si="3"/>
        <v>40117</v>
      </c>
      <c r="B228" s="110">
        <v>329.1</v>
      </c>
      <c r="C228" s="110">
        <v>0</v>
      </c>
    </row>
    <row r="229" spans="1:5" x14ac:dyDescent="0.2">
      <c r="A229" s="54">
        <f t="shared" si="3"/>
        <v>40147</v>
      </c>
      <c r="B229" s="110">
        <v>396.5</v>
      </c>
      <c r="C229" s="110">
        <v>0</v>
      </c>
    </row>
    <row r="230" spans="1:5" x14ac:dyDescent="0.2">
      <c r="A230" s="54">
        <f t="shared" si="3"/>
        <v>40178</v>
      </c>
      <c r="B230" s="110">
        <v>669.5</v>
      </c>
      <c r="C230" s="110">
        <v>0</v>
      </c>
      <c r="D230">
        <f>SUM(B219:B230)</f>
        <v>4269.8999999999996</v>
      </c>
      <c r="E230">
        <f>SUM(C219:C230)</f>
        <v>109</v>
      </c>
    </row>
    <row r="231" spans="1:5" x14ac:dyDescent="0.2">
      <c r="A231" s="54">
        <f t="shared" si="3"/>
        <v>40209</v>
      </c>
      <c r="B231" s="110">
        <f>'[7]eng-daily-01012010-12312010'!$M$56</f>
        <v>727.0999999999998</v>
      </c>
      <c r="C231" s="110">
        <f>'[7]eng-daily-01012010-12312010'!$O$56</f>
        <v>0</v>
      </c>
    </row>
    <row r="232" spans="1:5" x14ac:dyDescent="0.2">
      <c r="A232" s="54">
        <f t="shared" si="3"/>
        <v>40237</v>
      </c>
      <c r="B232" s="110">
        <f>'[7]eng-daily-01012010-12312010'!$M$85</f>
        <v>644.6999999999997</v>
      </c>
      <c r="C232" s="110">
        <f>'[7]eng-daily-01012010-12312010'!$O$85</f>
        <v>0</v>
      </c>
    </row>
    <row r="233" spans="1:5" x14ac:dyDescent="0.2">
      <c r="A233" s="54">
        <f t="shared" si="3"/>
        <v>40268</v>
      </c>
      <c r="B233" s="110">
        <f>'[7]eng-daily-01012010-12312010'!$M$116</f>
        <v>470.90000000000003</v>
      </c>
      <c r="C233" s="110">
        <f>'[7]eng-daily-01012010-12312010'!$O$116</f>
        <v>0</v>
      </c>
    </row>
    <row r="234" spans="1:5" x14ac:dyDescent="0.2">
      <c r="A234" s="54">
        <f t="shared" si="3"/>
        <v>40298</v>
      </c>
      <c r="B234" s="110">
        <f>'[7]eng-daily-01012010-12312010'!$M$146+'[8]eng-daily-01012010-12312010 par'!$M$146</f>
        <v>255.70000000000002</v>
      </c>
      <c r="C234" s="110">
        <f>'[7]eng-daily-01012010-12312010'!$O$146+'[8]eng-daily-01012010-12312010 par'!$O$146</f>
        <v>0</v>
      </c>
    </row>
    <row r="235" spans="1:5" x14ac:dyDescent="0.2">
      <c r="A235" s="54">
        <f t="shared" si="3"/>
        <v>40329</v>
      </c>
      <c r="B235" s="110">
        <f>'[8]eng-daily-01012010-12312010 par'!$M$177</f>
        <v>144.69999999999999</v>
      </c>
      <c r="C235" s="110">
        <f>'[8]eng-daily-01012010-12312010 par'!$O$177</f>
        <v>21</v>
      </c>
    </row>
    <row r="236" spans="1:5" x14ac:dyDescent="0.2">
      <c r="A236" s="54">
        <f t="shared" si="3"/>
        <v>40359</v>
      </c>
      <c r="B236" s="110">
        <f>'[8]eng-daily-01012010-12312010 par'!$M$207</f>
        <v>37.699999999999996</v>
      </c>
      <c r="C236" s="110">
        <f>'[8]eng-daily-01012010-12312010 par'!$O$207</f>
        <v>26.800000000000004</v>
      </c>
    </row>
    <row r="237" spans="1:5" x14ac:dyDescent="0.2">
      <c r="A237" s="54">
        <f t="shared" si="3"/>
        <v>40390</v>
      </c>
      <c r="B237" s="110">
        <f>'[8]eng-daily-01012010-12312010 par'!$M$238</f>
        <v>6.7</v>
      </c>
      <c r="C237" s="110">
        <f>'[8]eng-daily-01012010-12312010 par'!$O$238</f>
        <v>100.59999999999998</v>
      </c>
    </row>
    <row r="238" spans="1:5" x14ac:dyDescent="0.2">
      <c r="A238" s="54">
        <f t="shared" si="3"/>
        <v>40421</v>
      </c>
      <c r="B238" s="110">
        <f>'[8]eng-daily-01012010-12312010 par'!$M$269</f>
        <v>9.6999999999999993</v>
      </c>
      <c r="C238" s="110">
        <f>'[8]eng-daily-01012010-12312010 par'!$O$269</f>
        <v>79.200000000000017</v>
      </c>
    </row>
    <row r="239" spans="1:5" x14ac:dyDescent="0.2">
      <c r="A239" s="54">
        <f t="shared" si="3"/>
        <v>40451</v>
      </c>
      <c r="B239" s="110">
        <f>'[8]eng-daily-01012010-12312010 par'!$M$299</f>
        <v>122.70000000000002</v>
      </c>
      <c r="C239" s="110">
        <f>'[8]eng-daily-01012010-12312010 par'!$O$299</f>
        <v>16.7</v>
      </c>
    </row>
    <row r="240" spans="1:5" x14ac:dyDescent="0.2">
      <c r="A240" s="54">
        <f t="shared" si="3"/>
        <v>40482</v>
      </c>
      <c r="B240" s="110">
        <f>'[8]eng-daily-01012010-12312010 par'!$M$330</f>
        <v>279.59999999999997</v>
      </c>
      <c r="C240" s="110">
        <f>'[8]eng-daily-01012010-12312010 par'!$O$330</f>
        <v>0</v>
      </c>
    </row>
    <row r="241" spans="1:5" x14ac:dyDescent="0.2">
      <c r="A241" s="54">
        <f t="shared" si="3"/>
        <v>40512</v>
      </c>
      <c r="B241" s="110">
        <f>'[8]eng-daily-01012010-12312010 par'!$M$360</f>
        <v>337.9</v>
      </c>
      <c r="C241" s="110">
        <f>'[8]eng-daily-01012010-12312010 par'!$O$360</f>
        <v>0</v>
      </c>
    </row>
    <row r="242" spans="1:5" x14ac:dyDescent="0.2">
      <c r="A242" s="54">
        <f t="shared" si="3"/>
        <v>40543</v>
      </c>
      <c r="B242" s="110">
        <f>'[8]eng-daily-01012010-12312010 par'!$M$391</f>
        <v>719.39999999999986</v>
      </c>
      <c r="C242" s="110">
        <f>'[8]eng-daily-01012010-12312010 par'!$O$391</f>
        <v>0</v>
      </c>
      <c r="D242">
        <f>SUM(B231:B242)</f>
        <v>3756.7999999999984</v>
      </c>
      <c r="E242">
        <f>SUM(C231:C242)</f>
        <v>244.29999999999998</v>
      </c>
    </row>
    <row r="243" spans="1:5" x14ac:dyDescent="0.2">
      <c r="A243" s="54">
        <f t="shared" si="3"/>
        <v>40574</v>
      </c>
      <c r="B243" s="110">
        <f>'[9]eng-daily-01012011-12312011'!$M$56</f>
        <v>770.00000000000011</v>
      </c>
      <c r="C243" s="110">
        <f>'[9]eng-daily-01012011-12312011'!$O$56</f>
        <v>0</v>
      </c>
    </row>
    <row r="244" spans="1:5" x14ac:dyDescent="0.2">
      <c r="A244" s="54">
        <f t="shared" si="3"/>
        <v>40602</v>
      </c>
      <c r="B244" s="110">
        <f>'[9]eng-daily-01012011-12312011'!$M$85</f>
        <v>640.80000000000007</v>
      </c>
      <c r="C244" s="110">
        <f>'[9]eng-daily-01012011-12312011'!$O$85</f>
        <v>0</v>
      </c>
    </row>
    <row r="245" spans="1:5" x14ac:dyDescent="0.2">
      <c r="A245" s="54">
        <f t="shared" si="3"/>
        <v>40633</v>
      </c>
      <c r="B245" s="110">
        <f>'[9]eng-daily-01012011-12312011'!$M$116</f>
        <v>605.29999999999995</v>
      </c>
      <c r="C245" s="110">
        <f>'[9]eng-daily-01012011-12312011'!$O$116</f>
        <v>0</v>
      </c>
    </row>
    <row r="246" spans="1:5" x14ac:dyDescent="0.2">
      <c r="A246" s="54">
        <f t="shared" si="3"/>
        <v>40663</v>
      </c>
      <c r="B246" s="110">
        <f>'[9]eng-daily-01012011-12312011'!$M$146</f>
        <v>298.69999999999993</v>
      </c>
      <c r="C246" s="110">
        <f>'[9]eng-daily-01012011-12312011'!$O$146</f>
        <v>0</v>
      </c>
    </row>
    <row r="247" spans="1:5" x14ac:dyDescent="0.2">
      <c r="A247" s="54">
        <f t="shared" si="3"/>
        <v>40694</v>
      </c>
      <c r="B247" s="110">
        <f>'[9]eng-daily-01012011-12312011'!$M$177</f>
        <v>148.69999999999996</v>
      </c>
      <c r="C247" s="110">
        <f>'[9]eng-daily-01012011-12312011'!$O$177</f>
        <v>13.2</v>
      </c>
    </row>
    <row r="248" spans="1:5" x14ac:dyDescent="0.2">
      <c r="A248" s="54">
        <f t="shared" si="3"/>
        <v>40724</v>
      </c>
      <c r="B248" s="110">
        <f>'[9]eng-daily-01012011-12312011'!$M$207</f>
        <v>48.500000000000007</v>
      </c>
      <c r="C248" s="110">
        <f>'[9]eng-daily-01012011-12312011'!$O$207</f>
        <v>21.599999999999998</v>
      </c>
    </row>
    <row r="249" spans="1:5" x14ac:dyDescent="0.2">
      <c r="A249" s="54">
        <f t="shared" si="3"/>
        <v>40755</v>
      </c>
      <c r="B249" s="110">
        <f>'[9]eng-daily-01012011-12312011'!$M$238</f>
        <v>0.8</v>
      </c>
      <c r="C249" s="110">
        <f>'[9]eng-daily-01012011-12312011'!$O$238</f>
        <v>128.19999999999999</v>
      </c>
    </row>
    <row r="250" spans="1:5" x14ac:dyDescent="0.2">
      <c r="A250" s="54">
        <f t="shared" si="3"/>
        <v>40786</v>
      </c>
      <c r="B250" s="110">
        <f>'[9]eng-daily-01012011-12312011'!$M$269</f>
        <v>6.8999999999999995</v>
      </c>
      <c r="C250" s="110">
        <f>'[9]eng-daily-01012011-12312011'!$O$269</f>
        <v>54.3</v>
      </c>
    </row>
    <row r="251" spans="1:5" x14ac:dyDescent="0.2">
      <c r="A251" s="54">
        <f t="shared" si="3"/>
        <v>40816</v>
      </c>
      <c r="B251" s="110">
        <f>'[9]eng-daily-01012011-12312011'!$M$299</f>
        <v>88.9</v>
      </c>
      <c r="C251" s="110">
        <f>'[9]eng-daily-01012011-12312011'!$O$299</f>
        <v>17.2</v>
      </c>
    </row>
    <row r="252" spans="1:5" x14ac:dyDescent="0.2">
      <c r="A252" s="54">
        <f t="shared" si="3"/>
        <v>40847</v>
      </c>
      <c r="B252" s="110">
        <f>'[9]eng-daily-01012011-12312011'!$M$330</f>
        <v>279.89999999999998</v>
      </c>
      <c r="C252" s="110">
        <f>'[9]eng-daily-01012011-12312011'!$O$330</f>
        <v>0</v>
      </c>
    </row>
    <row r="253" spans="1:5" x14ac:dyDescent="0.2">
      <c r="A253" s="54">
        <f t="shared" si="3"/>
        <v>40877</v>
      </c>
      <c r="B253" s="110">
        <f>'[9]eng-daily-01012011-12312011'!$M$360</f>
        <v>382.4</v>
      </c>
      <c r="C253" s="110">
        <f>'[9]eng-daily-01012011-12312011'!$O$360</f>
        <v>0</v>
      </c>
    </row>
    <row r="254" spans="1:5" x14ac:dyDescent="0.2">
      <c r="A254" s="54">
        <f t="shared" si="3"/>
        <v>40908</v>
      </c>
      <c r="B254" s="110">
        <f>'[9]eng-daily-01012011-12312011'!$M$391</f>
        <v>574.79999999999995</v>
      </c>
      <c r="C254" s="110">
        <f>'[9]eng-daily-01012011-12312011'!$O$391</f>
        <v>0</v>
      </c>
      <c r="D254">
        <f>SUM(B243:B254)</f>
        <v>3845.7000000000007</v>
      </c>
      <c r="E254">
        <f>SUM(C243:C254)</f>
        <v>234.5</v>
      </c>
    </row>
    <row r="255" spans="1:5" x14ac:dyDescent="0.2">
      <c r="A255" s="54">
        <f t="shared" si="3"/>
        <v>40939</v>
      </c>
      <c r="B255" s="110">
        <f>'[10]eng-daily-01012012-12312012'!$M$56</f>
        <v>657.30000000000007</v>
      </c>
      <c r="C255" s="110">
        <f>'[10]eng-daily-01012012-12312012'!$O$56</f>
        <v>0</v>
      </c>
    </row>
    <row r="256" spans="1:5" x14ac:dyDescent="0.2">
      <c r="A256" s="54">
        <f t="shared" si="3"/>
        <v>40968</v>
      </c>
      <c r="B256" s="110">
        <f>'[10]eng-daily-01012012-12312012'!$M$85</f>
        <v>573</v>
      </c>
      <c r="C256" s="110">
        <f>'[10]eng-daily-01012012-12312012'!$O$85</f>
        <v>0</v>
      </c>
    </row>
    <row r="257" spans="1:5" x14ac:dyDescent="0.2">
      <c r="A257" s="54">
        <f t="shared" si="3"/>
        <v>40999</v>
      </c>
      <c r="B257" s="110">
        <f>'[10]eng-daily-01012012-12312012'!$M$116</f>
        <v>370.1</v>
      </c>
      <c r="C257" s="110">
        <f>'[10]eng-daily-01012012-12312012'!$O$116</f>
        <v>0</v>
      </c>
    </row>
    <row r="258" spans="1:5" x14ac:dyDescent="0.2">
      <c r="A258" s="54">
        <f t="shared" si="3"/>
        <v>41029</v>
      </c>
      <c r="B258" s="110">
        <f>'[10]eng-daily-01012012-12312012'!$M$146</f>
        <v>365.3</v>
      </c>
      <c r="C258" s="110">
        <f>'[10]eng-daily-01012012-12312012'!$O$146</f>
        <v>0</v>
      </c>
    </row>
    <row r="259" spans="1:5" x14ac:dyDescent="0.2">
      <c r="A259" s="54">
        <f t="shared" si="3"/>
        <v>41060</v>
      </c>
      <c r="B259" s="110">
        <f>'[10]eng-daily-01012012-12312012'!$M$177</f>
        <v>103.8</v>
      </c>
      <c r="C259" s="110">
        <f>'[10]eng-daily-01012012-12312012'!$O$177</f>
        <v>18.2</v>
      </c>
    </row>
    <row r="260" spans="1:5" x14ac:dyDescent="0.2">
      <c r="A260" s="54">
        <f t="shared" ref="A260:A266" si="4">EOMONTH(A259,1)</f>
        <v>41090</v>
      </c>
      <c r="B260" s="110">
        <f>'[10]eng-daily-01012012-12312012'!$M$207</f>
        <v>42.100000000000009</v>
      </c>
      <c r="C260" s="110">
        <f>'[10]eng-daily-01012012-12312012'!$O$207</f>
        <v>61.199999999999996</v>
      </c>
    </row>
    <row r="261" spans="1:5" x14ac:dyDescent="0.2">
      <c r="A261" s="54">
        <f t="shared" si="4"/>
        <v>41121</v>
      </c>
      <c r="B261" s="110">
        <f>'[10]eng-daily-01012012-12312012'!$M$238</f>
        <v>0</v>
      </c>
      <c r="C261" s="110">
        <f>'[10]eng-daily-01012012-12312012'!$O$238</f>
        <v>116.40000000000002</v>
      </c>
    </row>
    <row r="262" spans="1:5" x14ac:dyDescent="0.2">
      <c r="A262" s="54">
        <f t="shared" si="4"/>
        <v>41152</v>
      </c>
      <c r="B262" s="110">
        <f>'[10]eng-daily-01012012-12312012'!$M$269</f>
        <v>19.400000000000002</v>
      </c>
      <c r="C262" s="110">
        <f>'[10]eng-daily-01012012-12312012'!$O$269</f>
        <v>58.100000000000009</v>
      </c>
    </row>
    <row r="263" spans="1:5" x14ac:dyDescent="0.2">
      <c r="A263" s="54">
        <f t="shared" si="4"/>
        <v>41182</v>
      </c>
      <c r="B263" s="110">
        <f>'[10]eng-daily-01012012-12312012'!$M$299</f>
        <v>125.40000000000002</v>
      </c>
      <c r="C263" s="110">
        <f>'[10]eng-daily-01012012-12312012'!$O$299</f>
        <v>16.399999999999999</v>
      </c>
    </row>
    <row r="264" spans="1:5" x14ac:dyDescent="0.2">
      <c r="A264" s="54">
        <f t="shared" si="4"/>
        <v>41213</v>
      </c>
      <c r="B264" s="110">
        <f>'[10]eng-daily-01012012-12312012'!$M$330</f>
        <v>279.2</v>
      </c>
      <c r="C264" s="110">
        <f>'[10]eng-daily-01012012-12312012'!$O$330</f>
        <v>0</v>
      </c>
    </row>
    <row r="265" spans="1:5" x14ac:dyDescent="0.2">
      <c r="A265" s="54">
        <f t="shared" si="4"/>
        <v>41243</v>
      </c>
      <c r="B265" s="110">
        <f>'[10]eng-daily-01012012-12312012'!$M$360</f>
        <v>483.60000000000014</v>
      </c>
      <c r="C265" s="110">
        <f>'[10]eng-daily-01012012-12312012'!$O$360</f>
        <v>0</v>
      </c>
    </row>
    <row r="266" spans="1:5" x14ac:dyDescent="0.2">
      <c r="A266" s="54">
        <f t="shared" si="4"/>
        <v>41274</v>
      </c>
      <c r="B266" s="110">
        <f>'[10]eng-daily-01012012-12312012'!$M$391</f>
        <v>565.50000000000011</v>
      </c>
      <c r="C266" s="110">
        <f>'[10]eng-daily-01012012-12312012'!$O$391</f>
        <v>0</v>
      </c>
      <c r="D266">
        <f>SUM(B255:B266)</f>
        <v>3584.7</v>
      </c>
      <c r="E266">
        <f>SUM(C255:C266)</f>
        <v>270.3</v>
      </c>
    </row>
    <row r="267" spans="1:5" x14ac:dyDescent="0.2">
      <c r="A267"/>
      <c r="B267"/>
      <c r="C267"/>
      <c r="D267">
        <f>SUM(D266,D254,D242,D230,D218,D206,D194,D182,D170,D158,D146,D134,D122,D110,D98,D86,D74,D62,D50,D38)</f>
        <v>81828.800000000003</v>
      </c>
      <c r="E267">
        <f>SUM(E266,E254,E242,E230,E218,E206,E194,E182,E170,E158,E146,E134,E122,E110,E98,E86,E74,E62,E50,E38)</f>
        <v>4301.1000000000004</v>
      </c>
    </row>
    <row r="268" spans="1:5" x14ac:dyDescent="0.2">
      <c r="A268"/>
      <c r="B268"/>
      <c r="C268"/>
      <c r="D268">
        <f>'Weather Analysis '!U22</f>
        <v>81828.799999999988</v>
      </c>
      <c r="E268">
        <f>'Weather Analysis '!U42</f>
        <v>4301.0999999999995</v>
      </c>
    </row>
    <row r="269" spans="1:5" x14ac:dyDescent="0.2">
      <c r="A269"/>
      <c r="B269"/>
      <c r="C269"/>
    </row>
    <row r="270" spans="1:5" x14ac:dyDescent="0.2">
      <c r="A270"/>
      <c r="B270"/>
      <c r="C270"/>
    </row>
    <row r="271" spans="1:5" x14ac:dyDescent="0.2">
      <c r="A271"/>
      <c r="B271"/>
      <c r="C271"/>
    </row>
    <row r="272" spans="1:5" x14ac:dyDescent="0.2">
      <c r="A272"/>
      <c r="B272"/>
      <c r="C272"/>
    </row>
    <row r="273" spans="1:3" x14ac:dyDescent="0.2">
      <c r="A273"/>
      <c r="B273"/>
      <c r="C273"/>
    </row>
    <row r="274" spans="1:3" x14ac:dyDescent="0.2">
      <c r="A274"/>
      <c r="B274"/>
      <c r="C274"/>
    </row>
    <row r="275" spans="1:3" x14ac:dyDescent="0.2">
      <c r="A275"/>
      <c r="B275"/>
      <c r="C275"/>
    </row>
    <row r="276" spans="1:3" x14ac:dyDescent="0.2">
      <c r="A276"/>
      <c r="B276"/>
      <c r="C276"/>
    </row>
    <row r="277" spans="1:3" x14ac:dyDescent="0.2">
      <c r="A277"/>
      <c r="B277"/>
      <c r="C277"/>
    </row>
    <row r="278" spans="1:3" x14ac:dyDescent="0.2">
      <c r="A278"/>
      <c r="B278"/>
      <c r="C278"/>
    </row>
    <row r="279" spans="1:3" x14ac:dyDescent="0.2">
      <c r="A279"/>
      <c r="B279"/>
      <c r="C279"/>
    </row>
    <row r="280" spans="1:3" x14ac:dyDescent="0.2">
      <c r="A280"/>
      <c r="B280"/>
      <c r="C280"/>
    </row>
    <row r="281" spans="1:3" x14ac:dyDescent="0.2">
      <c r="A281"/>
      <c r="B281"/>
      <c r="C281"/>
    </row>
    <row r="282" spans="1:3" x14ac:dyDescent="0.2">
      <c r="A282"/>
      <c r="B282"/>
      <c r="C282"/>
    </row>
    <row r="283" spans="1:3" x14ac:dyDescent="0.2">
      <c r="A283"/>
      <c r="B283"/>
      <c r="C283"/>
    </row>
    <row r="284" spans="1:3" x14ac:dyDescent="0.2">
      <c r="A284"/>
      <c r="B284"/>
      <c r="C284"/>
    </row>
    <row r="285" spans="1:3" x14ac:dyDescent="0.2">
      <c r="A285"/>
      <c r="B285"/>
      <c r="C285"/>
    </row>
    <row r="286" spans="1:3" x14ac:dyDescent="0.2">
      <c r="A286"/>
      <c r="B286"/>
      <c r="C286"/>
    </row>
    <row r="287" spans="1:3" x14ac:dyDescent="0.2">
      <c r="A287"/>
      <c r="B287"/>
      <c r="C287"/>
    </row>
    <row r="288" spans="1:3" x14ac:dyDescent="0.2">
      <c r="A288"/>
      <c r="B288"/>
      <c r="C288"/>
    </row>
    <row r="289" spans="1:3" x14ac:dyDescent="0.2">
      <c r="A289"/>
      <c r="B289"/>
      <c r="C289"/>
    </row>
    <row r="290" spans="1:3" x14ac:dyDescent="0.2">
      <c r="A290"/>
      <c r="B290"/>
      <c r="C290"/>
    </row>
    <row r="291" spans="1:3" x14ac:dyDescent="0.2">
      <c r="A291"/>
      <c r="B291"/>
      <c r="C291"/>
    </row>
    <row r="292" spans="1:3" x14ac:dyDescent="0.2">
      <c r="A292"/>
      <c r="B292"/>
      <c r="C292"/>
    </row>
    <row r="293" spans="1:3" x14ac:dyDescent="0.2">
      <c r="A293"/>
      <c r="B293"/>
      <c r="C293"/>
    </row>
    <row r="294" spans="1:3" x14ac:dyDescent="0.2">
      <c r="A294"/>
      <c r="B294"/>
      <c r="C294"/>
    </row>
    <row r="295" spans="1:3" x14ac:dyDescent="0.2">
      <c r="A295"/>
      <c r="B295"/>
      <c r="C295"/>
    </row>
    <row r="296" spans="1:3" x14ac:dyDescent="0.2">
      <c r="A296"/>
      <c r="B296"/>
      <c r="C296"/>
    </row>
    <row r="297" spans="1:3" x14ac:dyDescent="0.2">
      <c r="A297"/>
      <c r="B297"/>
      <c r="C297"/>
    </row>
    <row r="298" spans="1:3" x14ac:dyDescent="0.2">
      <c r="A298"/>
      <c r="B298"/>
      <c r="C298"/>
    </row>
    <row r="299" spans="1:3" x14ac:dyDescent="0.2">
      <c r="A299"/>
      <c r="B299"/>
      <c r="C299"/>
    </row>
    <row r="300" spans="1:3" x14ac:dyDescent="0.2">
      <c r="A300"/>
      <c r="B300"/>
      <c r="C300"/>
    </row>
    <row r="301" spans="1:3" x14ac:dyDescent="0.2">
      <c r="A301"/>
      <c r="B301"/>
      <c r="C301"/>
    </row>
    <row r="302" spans="1:3" x14ac:dyDescent="0.2">
      <c r="A302"/>
      <c r="B302"/>
      <c r="C302"/>
    </row>
    <row r="303" spans="1:3" x14ac:dyDescent="0.2">
      <c r="A303"/>
      <c r="B303"/>
      <c r="C303"/>
    </row>
    <row r="304" spans="1:3" x14ac:dyDescent="0.2">
      <c r="A304"/>
      <c r="B304"/>
      <c r="C304"/>
    </row>
    <row r="305" spans="1:3" x14ac:dyDescent="0.2">
      <c r="A305"/>
      <c r="B305"/>
      <c r="C305"/>
    </row>
    <row r="306" spans="1:3" x14ac:dyDescent="0.2">
      <c r="A306"/>
      <c r="B306"/>
      <c r="C306"/>
    </row>
    <row r="307" spans="1:3" x14ac:dyDescent="0.2">
      <c r="A307"/>
      <c r="B307"/>
      <c r="C307"/>
    </row>
    <row r="308" spans="1:3" x14ac:dyDescent="0.2">
      <c r="A308"/>
      <c r="B308"/>
      <c r="C308"/>
    </row>
    <row r="309" spans="1:3" x14ac:dyDescent="0.2">
      <c r="A309"/>
      <c r="B309"/>
      <c r="C309"/>
    </row>
    <row r="310" spans="1:3" x14ac:dyDescent="0.2">
      <c r="A310"/>
      <c r="B310"/>
      <c r="C310"/>
    </row>
    <row r="311" spans="1:3" x14ac:dyDescent="0.2">
      <c r="A311"/>
      <c r="B311"/>
      <c r="C311"/>
    </row>
    <row r="312" spans="1:3" x14ac:dyDescent="0.2">
      <c r="A312"/>
      <c r="B312"/>
      <c r="C312"/>
    </row>
    <row r="313" spans="1:3" x14ac:dyDescent="0.2">
      <c r="A313"/>
      <c r="B313"/>
      <c r="C313"/>
    </row>
    <row r="314" spans="1:3" x14ac:dyDescent="0.2">
      <c r="A314"/>
      <c r="B314"/>
      <c r="C314"/>
    </row>
    <row r="315" spans="1:3" x14ac:dyDescent="0.2">
      <c r="A315"/>
      <c r="B315"/>
      <c r="C315"/>
    </row>
    <row r="316" spans="1:3" x14ac:dyDescent="0.2">
      <c r="A316"/>
      <c r="B316"/>
      <c r="C316"/>
    </row>
    <row r="317" spans="1:3" x14ac:dyDescent="0.2">
      <c r="A317"/>
      <c r="B317"/>
      <c r="C317"/>
    </row>
    <row r="318" spans="1:3" x14ac:dyDescent="0.2">
      <c r="A318"/>
      <c r="B318"/>
      <c r="C318"/>
    </row>
    <row r="319" spans="1:3" x14ac:dyDescent="0.2">
      <c r="A319"/>
      <c r="B319"/>
      <c r="C319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5</vt:i4>
      </vt:variant>
    </vt:vector>
  </HeadingPairs>
  <TitlesOfParts>
    <vt:vector size="17" baseType="lpstr">
      <vt:lpstr>Graph</vt:lpstr>
      <vt:lpstr>Exibit 3 Tables</vt:lpstr>
      <vt:lpstr>Summary</vt:lpstr>
      <vt:lpstr>Purchased Power Model</vt:lpstr>
      <vt:lpstr>Rate Class Energy Model</vt:lpstr>
      <vt:lpstr>Rate Class Customer Model</vt:lpstr>
      <vt:lpstr>Rate Class Load Model</vt:lpstr>
      <vt:lpstr>CDM Activity</vt:lpstr>
      <vt:lpstr>HDD and CDD</vt:lpstr>
      <vt:lpstr>Weather Analysis </vt:lpstr>
      <vt:lpstr>2013 COP Forecast Feb 2014</vt:lpstr>
      <vt:lpstr>2014 COP Forecast Feb 2014</vt:lpstr>
      <vt:lpstr>'Purchased Power Model'!Print_Area</vt:lpstr>
      <vt:lpstr>'Rate Class Customer Model'!Print_Area</vt:lpstr>
      <vt:lpstr>'Rate Class Energy Model'!Print_Area</vt:lpstr>
      <vt:lpstr>'Rate Class Load Model'!Print_Area</vt:lpstr>
      <vt:lpstr>'Purchased Power Model'!Print_Titles</vt:lpstr>
    </vt:vector>
  </TitlesOfParts>
  <Company>London Hydro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Bruce Bacon</dc:creator>
  <cp:lastModifiedBy>Grant Brooker</cp:lastModifiedBy>
  <cp:lastPrinted>2014-02-13T20:52:43Z</cp:lastPrinted>
  <dcterms:created xsi:type="dcterms:W3CDTF">2008-02-06T18:24:44Z</dcterms:created>
  <dcterms:modified xsi:type="dcterms:W3CDTF">2014-02-25T13:23:27Z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M_Links_Updated">
    <vt:bool>true</vt:bool>
  </property>
</Properties>
</file>