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9795" firstSheet="14" activeTab="16"/>
  </bookViews>
  <sheets>
    <sheet name="Res (100kWh)" sheetId="1" r:id="rId1"/>
    <sheet name="Res (250kWh)" sheetId="2" r:id="rId2"/>
    <sheet name="Res (500kWh)" sheetId="3" r:id="rId3"/>
    <sheet name="Res (800kWh)" sheetId="4" r:id="rId4"/>
    <sheet name="Res (1,000kWh)" sheetId="5" r:id="rId5"/>
    <sheet name="Res (1,500kWh)" sheetId="6" r:id="rId6"/>
    <sheet name="Res (2,000kWh)" sheetId="7" r:id="rId7"/>
    <sheet name="GS&lt;50 (1,000kWh)" sheetId="8" r:id="rId8"/>
    <sheet name="GS&lt;50 (2,000kWh)" sheetId="9" r:id="rId9"/>
    <sheet name="GS&lt;50 (5,000kWh)" sheetId="10" r:id="rId10"/>
    <sheet name="GS&lt;50 (10,000kWh)" sheetId="11" r:id="rId11"/>
    <sheet name="GS&lt;50 (15,000kWh)" sheetId="12" r:id="rId12"/>
    <sheet name="GS 50-999 (60kW)" sheetId="13" r:id="rId13"/>
    <sheet name="GS 50-999 (100kW)" sheetId="14" r:id="rId14"/>
    <sheet name="GS 1000-4999 (1,000kW)" sheetId="15" r:id="rId15"/>
    <sheet name="GS 1000-4999 (5,000kW)" sheetId="16" r:id="rId16"/>
    <sheet name="LU (25,000kW)" sheetId="17" r:id="rId17"/>
    <sheet name="ST (1kW)" sheetId="18" r:id="rId18"/>
    <sheet name="USL (150kWh)" sheetId="19" r:id="rId19"/>
    <sheet name="Summary" sheetId="20" r:id="rId20"/>
  </sheets>
  <externalReferences>
    <externalReference r:id="rId23"/>
    <externalReference r:id="rId24"/>
    <externalReference r:id="rId25"/>
    <externalReference r:id="rId26"/>
    <externalReference r:id="rId27"/>
  </externalReferences>
  <definedNames>
    <definedName name="EBNUMBER">'[1]LDC Info'!$E$16</definedName>
    <definedName name="_xlnm.Print_Area" localSheetId="14">'GS 1000-4999 (1,000kW)'!$A$1:$O$88</definedName>
    <definedName name="_xlnm.Print_Area" localSheetId="15">'GS 1000-4999 (5,000kW)'!$A$1:$O$88</definedName>
    <definedName name="_xlnm.Print_Area" localSheetId="13">'GS 50-999 (100kW)'!$A$1:$O$88</definedName>
    <definedName name="_xlnm.Print_Area" localSheetId="12">'GS 50-999 (60kW)'!$A$1:$O$88</definedName>
    <definedName name="_xlnm.Print_Area" localSheetId="7">'GS&lt;50 (1,000kWh)'!$A$1:$O$89</definedName>
    <definedName name="_xlnm.Print_Area" localSheetId="10">'GS&lt;50 (10,000kWh)'!$A$1:$O$89</definedName>
    <definedName name="_xlnm.Print_Area" localSheetId="11">'GS&lt;50 (15,000kWh)'!$A$1:$O$89</definedName>
    <definedName name="_xlnm.Print_Area" localSheetId="8">'GS&lt;50 (2,000kWh)'!$A$1:$O$89</definedName>
    <definedName name="_xlnm.Print_Area" localSheetId="9">'GS&lt;50 (5,000kWh)'!$A$1:$O$89</definedName>
    <definedName name="_xlnm.Print_Area" localSheetId="16">'LU (25,000kW)'!$A$1:$O$88</definedName>
    <definedName name="_xlnm.Print_Area" localSheetId="4">'Res (1,000kWh)'!$A$1:$O$89</definedName>
    <definedName name="_xlnm.Print_Area" localSheetId="5">'Res (1,500kWh)'!$A$1:$O$89</definedName>
    <definedName name="_xlnm.Print_Area" localSheetId="0">'Res (100kWh)'!$A$1:$O$89</definedName>
    <definedName name="_xlnm.Print_Area" localSheetId="6">'Res (2,000kWh)'!$A$1:$O$89</definedName>
    <definedName name="_xlnm.Print_Area" localSheetId="1">'Res (250kWh)'!$A$1:$O$89</definedName>
    <definedName name="_xlnm.Print_Area" localSheetId="2">'Res (500kWh)'!$A$1:$O$89</definedName>
    <definedName name="_xlnm.Print_Area" localSheetId="3">'Res (800kWh)'!$A$1:$O$89</definedName>
    <definedName name="_xlnm.Print_Area" localSheetId="17">'ST (1kW)'!$A$1:$O$88</definedName>
    <definedName name="_xlnm.Print_Area" localSheetId="18">'USL (150kWh)'!$A$1:$O$88</definedName>
  </definedNames>
  <calcPr fullCalcOnLoad="1"/>
</workbook>
</file>

<file path=xl/comments1.xml><?xml version="1.0" encoding="utf-8"?>
<comments xmlns="http://schemas.openxmlformats.org/spreadsheetml/2006/main">
  <authors>
    <author>Marc Abramovitz</author>
  </authors>
  <commentList>
    <comment ref="B23" authorId="0">
      <text>
        <r>
          <rPr>
            <b/>
            <sz val="10"/>
            <rFont val="Arial"/>
            <family val="2"/>
          </rPr>
          <t>Insert specific service charge rate adders/riders as required</t>
        </r>
      </text>
    </comment>
    <comment ref="B38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  <comment ref="B30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1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2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3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4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40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1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2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24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  <comment ref="B25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26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10.xml><?xml version="1.0" encoding="utf-8"?>
<comments xmlns="http://schemas.openxmlformats.org/spreadsheetml/2006/main">
  <authors>
    <author>Marc Abramovitz</author>
  </authors>
  <commentList>
    <comment ref="B23" authorId="0">
      <text>
        <r>
          <rPr>
            <b/>
            <sz val="10"/>
            <rFont val="Arial"/>
            <family val="2"/>
          </rPr>
          <t>Insert specific service charge rate adders/riders as required</t>
        </r>
      </text>
    </comment>
    <comment ref="B38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  <comment ref="B30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1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2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3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4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40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1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2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24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  <comment ref="B25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26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11.xml><?xml version="1.0" encoding="utf-8"?>
<comments xmlns="http://schemas.openxmlformats.org/spreadsheetml/2006/main">
  <authors>
    <author>Marc Abramovitz</author>
  </authors>
  <commentList>
    <comment ref="B23" authorId="0">
      <text>
        <r>
          <rPr>
            <b/>
            <sz val="10"/>
            <rFont val="Arial"/>
            <family val="2"/>
          </rPr>
          <t>Insert specific service charge rate adders/riders as required</t>
        </r>
      </text>
    </comment>
    <comment ref="B38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  <comment ref="B30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1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2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3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4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40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1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2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24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  <comment ref="B25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26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12.xml><?xml version="1.0" encoding="utf-8"?>
<comments xmlns="http://schemas.openxmlformats.org/spreadsheetml/2006/main">
  <authors>
    <author>Marc Abramovitz</author>
  </authors>
  <commentList>
    <comment ref="B23" authorId="0">
      <text>
        <r>
          <rPr>
            <b/>
            <sz val="10"/>
            <rFont val="Arial"/>
            <family val="2"/>
          </rPr>
          <t>Insert specific service charge rate adders/riders as required</t>
        </r>
      </text>
    </comment>
    <comment ref="B38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  <comment ref="B30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1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2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3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4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40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1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2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24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  <comment ref="B25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26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13.xml><?xml version="1.0" encoding="utf-8"?>
<comments xmlns="http://schemas.openxmlformats.org/spreadsheetml/2006/main">
  <authors>
    <author>Marc Abramovitz</author>
  </authors>
  <commentList>
    <comment ref="B23" authorId="0">
      <text>
        <r>
          <rPr>
            <b/>
            <sz val="10"/>
            <rFont val="Arial"/>
            <family val="2"/>
          </rPr>
          <t>Insert specific service charge rate adders/riders as required</t>
        </r>
      </text>
    </comment>
    <comment ref="B24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  <comment ref="B30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1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2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3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4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9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0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1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25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26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14.xml><?xml version="1.0" encoding="utf-8"?>
<comments xmlns="http://schemas.openxmlformats.org/spreadsheetml/2006/main">
  <authors>
    <author>Marc Abramovitz</author>
  </authors>
  <commentList>
    <comment ref="B23" authorId="0">
      <text>
        <r>
          <rPr>
            <b/>
            <sz val="10"/>
            <rFont val="Arial"/>
            <family val="2"/>
          </rPr>
          <t>Insert specific service charge rate adders/riders as required</t>
        </r>
      </text>
    </comment>
    <comment ref="B24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  <comment ref="B30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1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2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3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4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</commentList>
</comments>
</file>

<file path=xl/comments15.xml><?xml version="1.0" encoding="utf-8"?>
<comments xmlns="http://schemas.openxmlformats.org/spreadsheetml/2006/main">
  <authors>
    <author>Marc Abramovitz</author>
  </authors>
  <commentList>
    <comment ref="B23" authorId="0">
      <text>
        <r>
          <rPr>
            <b/>
            <sz val="10"/>
            <rFont val="Arial"/>
            <family val="2"/>
          </rPr>
          <t>Insert specific service charge rate adders/riders as required</t>
        </r>
      </text>
    </comment>
    <comment ref="B24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  <comment ref="B30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1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2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3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4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9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0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1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25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26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16.xml><?xml version="1.0" encoding="utf-8"?>
<comments xmlns="http://schemas.openxmlformats.org/spreadsheetml/2006/main">
  <authors>
    <author>Marc Abramovitz</author>
  </authors>
  <commentList>
    <comment ref="B23" authorId="0">
      <text>
        <r>
          <rPr>
            <b/>
            <sz val="10"/>
            <rFont val="Arial"/>
            <family val="2"/>
          </rPr>
          <t>Insert specific service charge rate adders/riders as required</t>
        </r>
      </text>
    </comment>
    <comment ref="B24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  <comment ref="B30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1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2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3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4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9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0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1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25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26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17.xml><?xml version="1.0" encoding="utf-8"?>
<comments xmlns="http://schemas.openxmlformats.org/spreadsheetml/2006/main">
  <authors>
    <author>Marc Abramovitz</author>
  </authors>
  <commentList>
    <comment ref="B23" authorId="0">
      <text>
        <r>
          <rPr>
            <b/>
            <sz val="10"/>
            <rFont val="Arial"/>
            <family val="2"/>
          </rPr>
          <t>Insert specific service charge rate adders/riders as required</t>
        </r>
      </text>
    </comment>
    <comment ref="B24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  <comment ref="B30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1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2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3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4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9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0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1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25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26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18.xml><?xml version="1.0" encoding="utf-8"?>
<comments xmlns="http://schemas.openxmlformats.org/spreadsheetml/2006/main">
  <authors>
    <author>Marc Abramovitz</author>
  </authors>
  <commentList>
    <comment ref="B23" authorId="0">
      <text>
        <r>
          <rPr>
            <b/>
            <sz val="10"/>
            <rFont val="Arial"/>
            <family val="2"/>
          </rPr>
          <t>Insert specific service charge rate adders/riders as required</t>
        </r>
      </text>
    </comment>
    <comment ref="B24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  <comment ref="B30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1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2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3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4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9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0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1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25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26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19.xml><?xml version="1.0" encoding="utf-8"?>
<comments xmlns="http://schemas.openxmlformats.org/spreadsheetml/2006/main">
  <authors>
    <author>Marc Abramovitz</author>
  </authors>
  <commentList>
    <comment ref="B23" authorId="0">
      <text>
        <r>
          <rPr>
            <b/>
            <sz val="10"/>
            <rFont val="Arial"/>
            <family val="2"/>
          </rPr>
          <t>Insert specific service charge rate adders/riders as required</t>
        </r>
      </text>
    </comment>
    <comment ref="B24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  <comment ref="B30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1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2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3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4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9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0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1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25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26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2.xml><?xml version="1.0" encoding="utf-8"?>
<comments xmlns="http://schemas.openxmlformats.org/spreadsheetml/2006/main">
  <authors>
    <author>Marc Abramovitz</author>
  </authors>
  <commentList>
    <comment ref="B23" authorId="0">
      <text>
        <r>
          <rPr>
            <b/>
            <sz val="10"/>
            <rFont val="Arial"/>
            <family val="2"/>
          </rPr>
          <t>Insert specific service charge rate adders/riders as required</t>
        </r>
      </text>
    </comment>
    <comment ref="B38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  <comment ref="B30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1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2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3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4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40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1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2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24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  <comment ref="B25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26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3.xml><?xml version="1.0" encoding="utf-8"?>
<comments xmlns="http://schemas.openxmlformats.org/spreadsheetml/2006/main">
  <authors>
    <author>Marc Abramovitz</author>
  </authors>
  <commentList>
    <comment ref="B23" authorId="0">
      <text>
        <r>
          <rPr>
            <b/>
            <sz val="10"/>
            <rFont val="Arial"/>
            <family val="2"/>
          </rPr>
          <t>Insert specific service charge rate adders/riders as required</t>
        </r>
      </text>
    </comment>
    <comment ref="B38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  <comment ref="B30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1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2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3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4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40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1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2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24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  <comment ref="B25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26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4.xml><?xml version="1.0" encoding="utf-8"?>
<comments xmlns="http://schemas.openxmlformats.org/spreadsheetml/2006/main">
  <authors>
    <author>Marc Abramovitz</author>
  </authors>
  <commentList>
    <comment ref="B23" authorId="0">
      <text>
        <r>
          <rPr>
            <b/>
            <sz val="10"/>
            <rFont val="Arial"/>
            <family val="2"/>
          </rPr>
          <t>Insert specific service charge rate adders/riders as required</t>
        </r>
      </text>
    </comment>
    <comment ref="B38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  <comment ref="B30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1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2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3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4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40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1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2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24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  <comment ref="B25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26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5.xml><?xml version="1.0" encoding="utf-8"?>
<comments xmlns="http://schemas.openxmlformats.org/spreadsheetml/2006/main">
  <authors>
    <author>Marc Abramovitz</author>
  </authors>
  <commentList>
    <comment ref="B23" authorId="0">
      <text>
        <r>
          <rPr>
            <b/>
            <sz val="10"/>
            <rFont val="Arial"/>
            <family val="2"/>
          </rPr>
          <t>Insert specific service charge rate adders/riders as required</t>
        </r>
      </text>
    </comment>
    <comment ref="B38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  <comment ref="B30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1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2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3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4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40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1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2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24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  <comment ref="B25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26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6.xml><?xml version="1.0" encoding="utf-8"?>
<comments xmlns="http://schemas.openxmlformats.org/spreadsheetml/2006/main">
  <authors>
    <author>Marc Abramovitz</author>
  </authors>
  <commentList>
    <comment ref="B23" authorId="0">
      <text>
        <r>
          <rPr>
            <b/>
            <sz val="10"/>
            <rFont val="Arial"/>
            <family val="2"/>
          </rPr>
          <t>Insert specific service charge rate adders/riders as required</t>
        </r>
      </text>
    </comment>
    <comment ref="B38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  <comment ref="B30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1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2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3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4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40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1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2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24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  <comment ref="B25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26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7.xml><?xml version="1.0" encoding="utf-8"?>
<comments xmlns="http://schemas.openxmlformats.org/spreadsheetml/2006/main">
  <authors>
    <author>Marc Abramovitz</author>
  </authors>
  <commentList>
    <comment ref="B23" authorId="0">
      <text>
        <r>
          <rPr>
            <b/>
            <sz val="10"/>
            <rFont val="Arial"/>
            <family val="2"/>
          </rPr>
          <t>Insert specific service charge rate adders/riders as required</t>
        </r>
      </text>
    </comment>
    <comment ref="B38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  <comment ref="B30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1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2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3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4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40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1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2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24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  <comment ref="B25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26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8.xml><?xml version="1.0" encoding="utf-8"?>
<comments xmlns="http://schemas.openxmlformats.org/spreadsheetml/2006/main">
  <authors>
    <author>Marc Abramovitz</author>
  </authors>
  <commentList>
    <comment ref="B23" authorId="0">
      <text>
        <r>
          <rPr>
            <b/>
            <sz val="10"/>
            <rFont val="Arial"/>
            <family val="2"/>
          </rPr>
          <t>Insert specific service charge rate adders/riders as required</t>
        </r>
      </text>
    </comment>
    <comment ref="B38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  <comment ref="B30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1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2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3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4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40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1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2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24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  <comment ref="B25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26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9.xml><?xml version="1.0" encoding="utf-8"?>
<comments xmlns="http://schemas.openxmlformats.org/spreadsheetml/2006/main">
  <authors>
    <author>Marc Abramovitz</author>
  </authors>
  <commentList>
    <comment ref="B23" authorId="0">
      <text>
        <r>
          <rPr>
            <b/>
            <sz val="10"/>
            <rFont val="Arial"/>
            <family val="2"/>
          </rPr>
          <t>Insert specific service charge rate adders/riders as required</t>
        </r>
      </text>
    </comment>
    <comment ref="B38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  <comment ref="B30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1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2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3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4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40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1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2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24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  <comment ref="B25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26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sharedStrings.xml><?xml version="1.0" encoding="utf-8"?>
<sst xmlns="http://schemas.openxmlformats.org/spreadsheetml/2006/main" count="1972" uniqueCount="113">
  <si>
    <t>File Number:</t>
  </si>
  <si>
    <t>Appendix 2-W</t>
  </si>
  <si>
    <t>Bill Impacts</t>
  </si>
  <si>
    <t>Customer Class:</t>
  </si>
  <si>
    <t>TOU / non-TOU:</t>
  </si>
  <si>
    <t>TOU</t>
  </si>
  <si>
    <t>Consumption</t>
  </si>
  <si>
    <t xml:space="preserve"> kWh</t>
  </si>
  <si>
    <t>Current Board-Approved</t>
  </si>
  <si>
    <t>Proposed</t>
  </si>
  <si>
    <t>Impact</t>
  </si>
  <si>
    <t>Charge Unit</t>
  </si>
  <si>
    <t>Rate</t>
  </si>
  <si>
    <t>Volume</t>
  </si>
  <si>
    <t>Charge</t>
  </si>
  <si>
    <t>$ Change</t>
  </si>
  <si>
    <t>% Change</t>
  </si>
  <si>
    <t>($)</t>
  </si>
  <si>
    <t>Monthly Service Charge</t>
  </si>
  <si>
    <t>Distribution Volumetric Rate</t>
  </si>
  <si>
    <t>Smart Meter Disposition Rider</t>
  </si>
  <si>
    <t>LRAM &amp; SSM Rate Rider</t>
  </si>
  <si>
    <t>Sub-Total A (excluding pass through)</t>
  </si>
  <si>
    <t>Deferral/Variance Account Disposition Rate Rider</t>
  </si>
  <si>
    <t>Low Voltage Service Charge</t>
  </si>
  <si>
    <t>Line Losses on Cost of Power</t>
  </si>
  <si>
    <t>Smart Meter Entity Charge</t>
  </si>
  <si>
    <t>Sub-Total B - Distribution (includes Sub-Total A)</t>
  </si>
  <si>
    <t>RTSR - Network</t>
  </si>
  <si>
    <t>RTSR - Line and Transformation Connection</t>
  </si>
  <si>
    <t>Sub-Total C - Delivery (including Sub-Total B)</t>
  </si>
  <si>
    <t>Wholesale Market Service Charge (WMSC)</t>
  </si>
  <si>
    <t>Rural and Remote Rate Protection (RRRP)</t>
  </si>
  <si>
    <t>Standard Supply Service Charge</t>
  </si>
  <si>
    <t>Debt Retirement Charge (DRC)</t>
  </si>
  <si>
    <t>TOU - Off Peak</t>
  </si>
  <si>
    <t>TOU - Mid Peak</t>
  </si>
  <si>
    <t>TOU - On Peak</t>
  </si>
  <si>
    <t>Energy - RPP - Tier 1</t>
  </si>
  <si>
    <t>Energy - RPP - Tier 2</t>
  </si>
  <si>
    <t>Total Bill on TOU (before Taxes)</t>
  </si>
  <si>
    <t>HST</t>
  </si>
  <si>
    <r>
      <t xml:space="preserve">Total Bill </t>
    </r>
    <r>
      <rPr>
        <sz val="10"/>
        <rFont val="Arial"/>
        <family val="2"/>
      </rPr>
      <t>(including HST)</t>
    </r>
  </si>
  <si>
    <r>
      <t xml:space="preserve">Ontario Clean Energy Benefit </t>
    </r>
    <r>
      <rPr>
        <b/>
        <i/>
        <vertAlign val="superscript"/>
        <sz val="10"/>
        <rFont val="Arial"/>
        <family val="2"/>
      </rPr>
      <t>1</t>
    </r>
  </si>
  <si>
    <t>Total Bill on TOU (including OCEB)</t>
  </si>
  <si>
    <t>Total Bill on RPP (before Taxes)</t>
  </si>
  <si>
    <t>Total Bill on RPP (including OCEB)</t>
  </si>
  <si>
    <t>Loss Factor (%)</t>
  </si>
  <si>
    <r>
      <t>1</t>
    </r>
    <r>
      <rPr>
        <sz val="10"/>
        <rFont val="Arial"/>
        <family val="2"/>
      </rPr>
      <t xml:space="preserve"> Applicable to eligible customers only.  Refer to the </t>
    </r>
    <r>
      <rPr>
        <i/>
        <sz val="10"/>
        <rFont val="Arial"/>
        <family val="2"/>
      </rPr>
      <t>Ontario Clean Energy Benefit Act, 2010.</t>
    </r>
  </si>
  <si>
    <t xml:space="preserve">Note that the "Charge $" columns provide breakdowns of the amounts that each bill component contributes to the total monthly bill at the referenced </t>
  </si>
  <si>
    <t>consumption level at existing and proposed rates.</t>
  </si>
  <si>
    <t>Applicants must provide bill impacts for residential at 800 kWh and GS&lt;50kW at 2000 kWh. In addition, their filing must cover the range that is relevant</t>
  </si>
  <si>
    <t>to their service territory, class by class. A general guideline of consumption levels follows:</t>
  </si>
  <si>
    <t>Residential (kWh) - 100, 250, 500, 800, 1000, 1500, 2000</t>
  </si>
  <si>
    <t>GS&lt;50kW (kWh) - 1000, 2000, 5000, 10000, 15000</t>
  </si>
  <si>
    <t>GS&gt;50kW (kW) - 60, 100, 500, 1000</t>
  </si>
  <si>
    <t>Large User - range appropriate for utility</t>
  </si>
  <si>
    <t>Lighting Classes and USL - 150 kWh and 1 kW, range appropriate for utility.</t>
  </si>
  <si>
    <t>Note that cells with the highlighted color shown to the left indicate quantities that are loss adjusted.</t>
  </si>
  <si>
    <t>Residential</t>
  </si>
  <si>
    <t>Monthly</t>
  </si>
  <si>
    <t>per kWh</t>
  </si>
  <si>
    <t>Rate Rider for Disposal of Residual Historical Smart Meter Costs - effective until April 30, 2014</t>
  </si>
  <si>
    <t>Rate Rider for Smart Meter Incremental Revenue Requirement</t>
  </si>
  <si>
    <t>Stranded Meter Rate Rider (SMRR)</t>
  </si>
  <si>
    <t xml:space="preserve">Rate Rider for Application of Tax Change </t>
  </si>
  <si>
    <t>Rate Rider for Accounts 1575 and 1576</t>
  </si>
  <si>
    <t>GS &lt; 50 kW</t>
  </si>
  <si>
    <t>non-TOU</t>
  </si>
  <si>
    <t>GS 50-999 kW</t>
  </si>
  <si>
    <t>kW</t>
  </si>
  <si>
    <t>per kW</t>
  </si>
  <si>
    <t>GS 1,000-4,999 kW</t>
  </si>
  <si>
    <t>Large Use</t>
  </si>
  <si>
    <t>Street Lighting</t>
  </si>
  <si>
    <t>Unmetered Scattered Load</t>
  </si>
  <si>
    <t>COP Spot Price</t>
  </si>
  <si>
    <t>Rate Rider for Disposition of Global Adjustment Sub-Account(Applicable only for Non-RPP Customers)</t>
  </si>
  <si>
    <t>Sheet:</t>
  </si>
  <si>
    <t>Sheet 4- Res (800 kWh)</t>
  </si>
  <si>
    <t>Sheet 3- Res (500 kWh)</t>
  </si>
  <si>
    <t>Sheet 2- Res (250 kWh)</t>
  </si>
  <si>
    <t>Sheet 1- Res (100 kWh)</t>
  </si>
  <si>
    <t>Sheet 5- Res (1,000 kWh)</t>
  </si>
  <si>
    <t>Sheet 6- Res (1,500 kWh)</t>
  </si>
  <si>
    <t>Sheet 7- Res (2,000 kWh)</t>
  </si>
  <si>
    <t>Sheet 8- GS&lt;50 (1,000 kWh)</t>
  </si>
  <si>
    <t>Sheet 9- GS&lt;50 (2,000 kWh)</t>
  </si>
  <si>
    <t>Sheet 10- GS&lt;50 (5,000 kWh)</t>
  </si>
  <si>
    <t>Sheet 11- GS&lt;50 (10,000 kWh)</t>
  </si>
  <si>
    <t>Sheet 12- GS&lt;50 (15,000 kWh)</t>
  </si>
  <si>
    <t>Sheet 13- GS 50-999 (60 kW)</t>
  </si>
  <si>
    <t>Sheet 14- GS 50-999 (100 kW)</t>
  </si>
  <si>
    <t>Sheet 15- GS 1000-4999 (1,000 kW)</t>
  </si>
  <si>
    <t>Sheet 16- GS 1000-4999 (5,000 kW)</t>
  </si>
  <si>
    <t>Sheet 17- LU (25,000 kW)</t>
  </si>
  <si>
    <t>Sheet 18- ST (1 kW)</t>
  </si>
  <si>
    <t>Sheet 19- USL (150kWh)</t>
  </si>
  <si>
    <t>Cambridge and North Dumfries Hydro Inc.</t>
  </si>
  <si>
    <t>EB-2013-0116</t>
  </si>
  <si>
    <t>Filed:</t>
  </si>
  <si>
    <t>Rate Class</t>
  </si>
  <si>
    <t>kWh</t>
  </si>
  <si>
    <t># of Connections</t>
  </si>
  <si>
    <t>2013 Bill $</t>
  </si>
  <si>
    <t>2014 Bill $</t>
  </si>
  <si>
    <t>$ Difference</t>
  </si>
  <si>
    <t>Bill Impact %</t>
  </si>
  <si>
    <t>Time-of-Use</t>
  </si>
  <si>
    <t>USL</t>
  </si>
  <si>
    <t>Interrogatory:</t>
  </si>
  <si>
    <t>7.7-Staff-23</t>
  </si>
  <si>
    <t>Summary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</si>
</sst>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-&quot;$&quot;* #,##0.00_-;\-&quot;$&quot;* #,##0.00_-;_-&quot;$&quot;* &quot;-&quot;??_-;_-@_-"/>
    <numFmt numFmtId="167" formatCode="_-&quot;$&quot;* #,##0.0000_-;\-&quot;$&quot;* #,##0.0000_-;_-&quot;$&quot;* &quot;-&quot;??_-;_-@_-"/>
    <numFmt numFmtId="168" formatCode="_-&quot;$&quot;* #,##0.000_-;\-&quot;$&quot;* #,##0.000_-;_-&quot;$&quot;* &quot;-&quot;??_-;_-@_-"/>
    <numFmt numFmtId="169" formatCode="_-* #,##0.0000_-;\-* #,##0.0000_-;_-* &quot;-&quot;??_-;_-@_-"/>
    <numFmt numFmtId="170" formatCode="0.0%"/>
    <numFmt numFmtId="171" formatCode="[$-409]dddd\,\ mmmm\ dd\,\ yyyy"/>
    <numFmt numFmtId="172" formatCode="[$-409]h:mm:ss\ AM/PM"/>
    <numFmt numFmtId="173" formatCode="&quot;$&quot;#,##0.00"/>
    <numFmt numFmtId="174" formatCode="0.000%"/>
    <numFmt numFmtId="175" formatCode="[$-409]mmmm\ d\,\ yy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12"/>
      <name val="Algerian"/>
      <family val="5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i/>
      <vertAlign val="superscript"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medium"/>
      <bottom style="medium"/>
    </border>
    <border>
      <left style="thin"/>
      <right style="thin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60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 vertical="top" wrapText="1"/>
      <protection/>
    </xf>
    <xf numFmtId="0" fontId="0" fillId="33" borderId="0" xfId="0" applyFill="1" applyBorder="1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top"/>
    </xf>
    <xf numFmtId="0" fontId="5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8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center"/>
      <protection/>
    </xf>
    <xf numFmtId="0" fontId="9" fillId="2" borderId="0" xfId="0" applyFont="1" applyFill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65" fontId="3" fillId="4" borderId="10" xfId="42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 quotePrefix="1">
      <alignment horizontal="center"/>
      <protection/>
    </xf>
    <xf numFmtId="0" fontId="3" fillId="0" borderId="15" xfId="0" applyFont="1" applyBorder="1" applyAlignment="1" applyProtection="1" quotePrefix="1">
      <alignment horizontal="center"/>
      <protection/>
    </xf>
    <xf numFmtId="0" fontId="0" fillId="0" borderId="0" xfId="0" applyAlignment="1" applyProtection="1">
      <alignment vertical="top"/>
      <protection/>
    </xf>
    <xf numFmtId="0" fontId="0" fillId="2" borderId="0" xfId="0" applyFill="1" applyAlignment="1" applyProtection="1">
      <alignment vertical="top"/>
      <protection locked="0"/>
    </xf>
    <xf numFmtId="0" fontId="0" fillId="0" borderId="0" xfId="0" applyFill="1" applyAlignment="1" applyProtection="1">
      <alignment vertical="top"/>
      <protection/>
    </xf>
    <xf numFmtId="167" fontId="0" fillId="4" borderId="16" xfId="44" applyNumberFormat="1" applyFont="1" applyFill="1" applyBorder="1" applyAlignment="1" applyProtection="1">
      <alignment vertical="top"/>
      <protection locked="0"/>
    </xf>
    <xf numFmtId="0" fontId="0" fillId="0" borderId="16" xfId="0" applyFill="1" applyBorder="1" applyAlignment="1" applyProtection="1">
      <alignment vertical="center"/>
      <protection/>
    </xf>
    <xf numFmtId="44" fontId="0" fillId="0" borderId="12" xfId="44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67" fontId="0" fillId="4" borderId="16" xfId="44" applyNumberFormat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/>
    </xf>
    <xf numFmtId="166" fontId="0" fillId="0" borderId="16" xfId="0" applyNumberFormat="1" applyBorder="1" applyAlignment="1" applyProtection="1">
      <alignment vertical="center"/>
      <protection/>
    </xf>
    <xf numFmtId="10" fontId="0" fillId="0" borderId="12" xfId="58" applyNumberFormat="1" applyFont="1" applyBorder="1" applyAlignment="1" applyProtection="1">
      <alignment vertical="center"/>
      <protection/>
    </xf>
    <xf numFmtId="0" fontId="0" fillId="4" borderId="0" xfId="0" applyFill="1" applyAlignment="1" applyProtection="1">
      <alignment vertical="top"/>
      <protection locked="0"/>
    </xf>
    <xf numFmtId="0" fontId="0" fillId="0" borderId="0" xfId="0" applyFill="1" applyAlignment="1" applyProtection="1">
      <alignment/>
      <protection/>
    </xf>
    <xf numFmtId="0" fontId="3" fillId="34" borderId="17" xfId="0" applyFont="1" applyFill="1" applyBorder="1" applyAlignment="1" applyProtection="1">
      <alignment vertical="top"/>
      <protection locked="0"/>
    </xf>
    <xf numFmtId="0" fontId="0" fillId="34" borderId="18" xfId="0" applyFill="1" applyBorder="1" applyAlignment="1" applyProtection="1">
      <alignment vertical="top"/>
      <protection/>
    </xf>
    <xf numFmtId="0" fontId="0" fillId="34" borderId="18" xfId="0" applyFill="1" applyBorder="1" applyAlignment="1" applyProtection="1">
      <alignment vertical="top"/>
      <protection locked="0"/>
    </xf>
    <xf numFmtId="167" fontId="0" fillId="34" borderId="10" xfId="44" applyNumberFormat="1" applyFont="1" applyFill="1" applyBorder="1" applyAlignment="1" applyProtection="1">
      <alignment vertical="top"/>
      <protection locked="0"/>
    </xf>
    <xf numFmtId="0" fontId="0" fillId="34" borderId="10" xfId="0" applyFill="1" applyBorder="1" applyAlignment="1" applyProtection="1">
      <alignment vertical="center"/>
      <protection locked="0"/>
    </xf>
    <xf numFmtId="44" fontId="0" fillId="34" borderId="19" xfId="44" applyFont="1" applyFill="1" applyBorder="1" applyAlignment="1" applyProtection="1">
      <alignment vertical="center"/>
      <protection/>
    </xf>
    <xf numFmtId="0" fontId="0" fillId="34" borderId="0" xfId="0" applyFill="1" applyAlignment="1" applyProtection="1">
      <alignment vertical="center"/>
      <protection/>
    </xf>
    <xf numFmtId="167" fontId="0" fillId="34" borderId="10" xfId="44" applyNumberFormat="1" applyFont="1" applyFill="1" applyBorder="1" applyAlignment="1" applyProtection="1">
      <alignment vertical="center"/>
      <protection locked="0"/>
    </xf>
    <xf numFmtId="0" fontId="0" fillId="34" borderId="19" xfId="0" applyFill="1" applyBorder="1" applyAlignment="1" applyProtection="1">
      <alignment vertical="center"/>
      <protection locked="0"/>
    </xf>
    <xf numFmtId="166" fontId="3" fillId="34" borderId="10" xfId="0" applyNumberFormat="1" applyFont="1" applyFill="1" applyBorder="1" applyAlignment="1" applyProtection="1">
      <alignment vertical="center"/>
      <protection/>
    </xf>
    <xf numFmtId="10" fontId="3" fillId="34" borderId="19" xfId="58" applyNumberFormat="1" applyFont="1" applyFill="1" applyBorder="1" applyAlignment="1" applyProtection="1">
      <alignment vertical="center"/>
      <protection/>
    </xf>
    <xf numFmtId="0" fontId="8" fillId="4" borderId="0" xfId="0" applyFont="1" applyFill="1" applyAlignment="1" applyProtection="1">
      <alignment vertical="top" wrapText="1"/>
      <protection/>
    </xf>
    <xf numFmtId="0" fontId="0" fillId="0" borderId="2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8" fillId="0" borderId="0" xfId="0" applyFont="1" applyAlignment="1" applyProtection="1">
      <alignment vertical="top"/>
      <protection/>
    </xf>
    <xf numFmtId="0" fontId="3" fillId="34" borderId="17" xfId="0" applyFont="1" applyFill="1" applyBorder="1" applyAlignment="1" applyProtection="1">
      <alignment vertical="top" wrapText="1"/>
      <protection/>
    </xf>
    <xf numFmtId="0" fontId="0" fillId="34" borderId="18" xfId="0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34" borderId="10" xfId="0" applyFill="1" applyBorder="1" applyAlignment="1" applyProtection="1">
      <alignment vertical="center"/>
      <protection/>
    </xf>
    <xf numFmtId="166" fontId="3" fillId="34" borderId="19" xfId="0" applyNumberFormat="1" applyFont="1" applyFill="1" applyBorder="1" applyAlignment="1" applyProtection="1">
      <alignment vertical="center"/>
      <protection/>
    </xf>
    <xf numFmtId="0" fontId="0" fillId="34" borderId="19" xfId="0" applyFill="1" applyBorder="1" applyAlignment="1" applyProtection="1">
      <alignment vertical="center"/>
      <protection/>
    </xf>
    <xf numFmtId="0" fontId="0" fillId="2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/>
    </xf>
    <xf numFmtId="1" fontId="0" fillId="35" borderId="16" xfId="0" applyNumberFormat="1" applyFill="1" applyBorder="1" applyAlignment="1" applyProtection="1">
      <alignment vertical="center"/>
      <protection/>
    </xf>
    <xf numFmtId="1" fontId="0" fillId="35" borderId="12" xfId="0" applyNumberForma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0" fillId="34" borderId="10" xfId="0" applyFill="1" applyBorder="1" applyAlignment="1" applyProtection="1">
      <alignment vertical="top"/>
      <protection/>
    </xf>
    <xf numFmtId="0" fontId="3" fillId="34" borderId="0" xfId="0" applyFont="1" applyFill="1" applyAlignment="1" applyProtection="1">
      <alignment vertical="center"/>
      <protection/>
    </xf>
    <xf numFmtId="0" fontId="3" fillId="34" borderId="10" xfId="0" applyFont="1" applyFill="1" applyBorder="1" applyAlignment="1" applyProtection="1">
      <alignment vertical="center"/>
      <protection/>
    </xf>
    <xf numFmtId="0" fontId="3" fillId="34" borderId="19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top" wrapText="1"/>
      <protection/>
    </xf>
    <xf numFmtId="167" fontId="0" fillId="4" borderId="16" xfId="44" applyNumberFormat="1" applyFill="1" applyBorder="1" applyAlignment="1" applyProtection="1">
      <alignment vertical="top"/>
      <protection locked="0"/>
    </xf>
    <xf numFmtId="44" fontId="0" fillId="0" borderId="12" xfId="44" applyBorder="1" applyAlignment="1" applyProtection="1">
      <alignment vertical="center"/>
      <protection/>
    </xf>
    <xf numFmtId="167" fontId="0" fillId="4" borderId="16" xfId="44" applyNumberFormat="1" applyFill="1" applyBorder="1" applyAlignment="1" applyProtection="1">
      <alignment vertical="center"/>
      <protection locked="0"/>
    </xf>
    <xf numFmtId="10" fontId="0" fillId="0" borderId="12" xfId="58" applyNumberFormat="1" applyBorder="1" applyAlignment="1" applyProtection="1">
      <alignment vertical="center"/>
      <protection/>
    </xf>
    <xf numFmtId="1" fontId="0" fillId="0" borderId="16" xfId="0" applyNumberFormat="1" applyFill="1" applyBorder="1" applyAlignment="1" applyProtection="1">
      <alignment vertical="center"/>
      <protection/>
    </xf>
    <xf numFmtId="1" fontId="0" fillId="0" borderId="12" xfId="0" applyNumberFormat="1" applyFill="1" applyBorder="1" applyAlignment="1" applyProtection="1">
      <alignment vertical="center"/>
      <protection/>
    </xf>
    <xf numFmtId="167" fontId="0" fillId="0" borderId="16" xfId="44" applyNumberFormat="1" applyFill="1" applyBorder="1" applyAlignment="1" applyProtection="1">
      <alignment vertical="top"/>
      <protection locked="0"/>
    </xf>
    <xf numFmtId="166" fontId="0" fillId="0" borderId="0" xfId="0" applyNumberFormat="1" applyAlignment="1" applyProtection="1">
      <alignment/>
      <protection/>
    </xf>
    <xf numFmtId="0" fontId="8" fillId="0" borderId="0" xfId="55" applyProtection="1">
      <alignment/>
      <protection/>
    </xf>
    <xf numFmtId="0" fontId="8" fillId="0" borderId="0" xfId="55" applyFont="1" applyAlignment="1" applyProtection="1">
      <alignment vertical="top"/>
      <protection/>
    </xf>
    <xf numFmtId="0" fontId="8" fillId="0" borderId="0" xfId="55" applyAlignment="1" applyProtection="1">
      <alignment vertical="top"/>
      <protection/>
    </xf>
    <xf numFmtId="0" fontId="8" fillId="2" borderId="0" xfId="55" applyFill="1" applyAlignment="1" applyProtection="1">
      <alignment vertical="top"/>
      <protection locked="0"/>
    </xf>
    <xf numFmtId="0" fontId="8" fillId="0" borderId="0" xfId="55" applyFill="1" applyAlignment="1" applyProtection="1">
      <alignment vertical="top"/>
      <protection/>
    </xf>
    <xf numFmtId="1" fontId="8" fillId="36" borderId="16" xfId="55" applyNumberFormat="1" applyFill="1" applyBorder="1" applyAlignment="1" applyProtection="1">
      <alignment vertical="center"/>
      <protection/>
    </xf>
    <xf numFmtId="0" fontId="8" fillId="0" borderId="0" xfId="55" applyAlignment="1" applyProtection="1">
      <alignment vertical="center"/>
      <protection/>
    </xf>
    <xf numFmtId="166" fontId="8" fillId="0" borderId="16" xfId="55" applyNumberFormat="1" applyBorder="1" applyAlignment="1" applyProtection="1">
      <alignment vertical="center"/>
      <protection/>
    </xf>
    <xf numFmtId="0" fontId="8" fillId="37" borderId="21" xfId="0" applyFont="1" applyFill="1" applyBorder="1" applyAlignment="1" applyProtection="1">
      <alignment/>
      <protection/>
    </xf>
    <xf numFmtId="0" fontId="0" fillId="37" borderId="22" xfId="0" applyFill="1" applyBorder="1" applyAlignment="1" applyProtection="1">
      <alignment vertical="top"/>
      <protection/>
    </xf>
    <xf numFmtId="0" fontId="0" fillId="37" borderId="22" xfId="0" applyFill="1" applyBorder="1" applyAlignment="1" applyProtection="1">
      <alignment vertical="top"/>
      <protection locked="0"/>
    </xf>
    <xf numFmtId="167" fontId="0" fillId="37" borderId="23" xfId="44" applyNumberFormat="1" applyFill="1" applyBorder="1" applyAlignment="1" applyProtection="1">
      <alignment vertical="top"/>
      <protection locked="0"/>
    </xf>
    <xf numFmtId="0" fontId="0" fillId="37" borderId="24" xfId="0" applyFill="1" applyBorder="1" applyAlignment="1" applyProtection="1">
      <alignment vertical="center"/>
      <protection locked="0"/>
    </xf>
    <xf numFmtId="44" fontId="0" fillId="37" borderId="22" xfId="44" applyFill="1" applyBorder="1" applyAlignment="1" applyProtection="1">
      <alignment vertical="center"/>
      <protection/>
    </xf>
    <xf numFmtId="0" fontId="0" fillId="37" borderId="22" xfId="0" applyFill="1" applyBorder="1" applyAlignment="1" applyProtection="1">
      <alignment vertical="center"/>
      <protection/>
    </xf>
    <xf numFmtId="0" fontId="0" fillId="37" borderId="23" xfId="0" applyFill="1" applyBorder="1" applyAlignment="1" applyProtection="1">
      <alignment vertical="center"/>
      <protection locked="0"/>
    </xf>
    <xf numFmtId="166" fontId="0" fillId="37" borderId="23" xfId="0" applyNumberFormat="1" applyFill="1" applyBorder="1" applyAlignment="1" applyProtection="1">
      <alignment vertical="center"/>
      <protection/>
    </xf>
    <xf numFmtId="10" fontId="0" fillId="37" borderId="25" xfId="58" applyNumberForma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top"/>
      <protection/>
    </xf>
    <xf numFmtId="9" fontId="0" fillId="0" borderId="16" xfId="0" applyNumberFormat="1" applyFill="1" applyBorder="1" applyAlignment="1" applyProtection="1">
      <alignment vertical="top"/>
      <protection/>
    </xf>
    <xf numFmtId="9" fontId="0" fillId="0" borderId="0" xfId="0" applyNumberFormat="1" applyFill="1" applyBorder="1" applyAlignment="1" applyProtection="1">
      <alignment vertical="center"/>
      <protection/>
    </xf>
    <xf numFmtId="166" fontId="3" fillId="0" borderId="20" xfId="0" applyNumberFormat="1" applyFont="1" applyFill="1" applyBorder="1" applyAlignment="1" applyProtection="1">
      <alignment vertical="center"/>
      <protection/>
    </xf>
    <xf numFmtId="0" fontId="3" fillId="0" borderId="16" xfId="0" applyFont="1" applyFill="1" applyBorder="1" applyAlignment="1" applyProtection="1">
      <alignment vertical="center"/>
      <protection/>
    </xf>
    <xf numFmtId="9" fontId="3" fillId="0" borderId="16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166" fontId="3" fillId="0" borderId="16" xfId="0" applyNumberFormat="1" applyFont="1" applyFill="1" applyBorder="1" applyAlignment="1" applyProtection="1">
      <alignment vertical="center"/>
      <protection/>
    </xf>
    <xf numFmtId="10" fontId="3" fillId="0" borderId="12" xfId="58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horizontal="left" vertical="top" indent="1"/>
      <protection/>
    </xf>
    <xf numFmtId="9" fontId="0" fillId="0" borderId="16" xfId="0" applyNumberFormat="1" applyFill="1" applyBorder="1" applyAlignment="1" applyProtection="1">
      <alignment vertical="top"/>
      <protection locked="0"/>
    </xf>
    <xf numFmtId="0" fontId="0" fillId="0" borderId="0" xfId="0" applyFill="1" applyBorder="1" applyAlignment="1" applyProtection="1">
      <alignment vertical="center"/>
      <protection/>
    </xf>
    <xf numFmtId="166" fontId="8" fillId="0" borderId="20" xfId="0" applyNumberFormat="1" applyFont="1" applyFill="1" applyBorder="1" applyAlignment="1" applyProtection="1">
      <alignment vertical="center"/>
      <protection/>
    </xf>
    <xf numFmtId="0" fontId="8" fillId="0" borderId="16" xfId="0" applyFont="1" applyFill="1" applyBorder="1" applyAlignment="1" applyProtection="1">
      <alignment vertical="center"/>
      <protection/>
    </xf>
    <xf numFmtId="9" fontId="8" fillId="0" borderId="16" xfId="0" applyNumberFormat="1" applyFont="1" applyFill="1" applyBorder="1" applyAlignment="1" applyProtection="1">
      <alignment vertical="center"/>
      <protection locked="0"/>
    </xf>
    <xf numFmtId="166" fontId="8" fillId="0" borderId="12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166" fontId="8" fillId="0" borderId="16" xfId="0" applyNumberFormat="1" applyFont="1" applyFill="1" applyBorder="1" applyAlignment="1" applyProtection="1">
      <alignment vertical="center"/>
      <protection/>
    </xf>
    <xf numFmtId="10" fontId="8" fillId="0" borderId="12" xfId="58" applyNumberFormat="1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top" wrapText="1" indent="1"/>
      <protection/>
    </xf>
    <xf numFmtId="0" fontId="0" fillId="0" borderId="16" xfId="0" applyFill="1" applyBorder="1" applyAlignment="1" applyProtection="1">
      <alignment vertical="top"/>
      <protection/>
    </xf>
    <xf numFmtId="166" fontId="48" fillId="0" borderId="20" xfId="0" applyNumberFormat="1" applyFont="1" applyFill="1" applyBorder="1" applyAlignment="1" applyProtection="1">
      <alignment vertical="center"/>
      <protection/>
    </xf>
    <xf numFmtId="166" fontId="48" fillId="0" borderId="12" xfId="0" applyNumberFormat="1" applyFont="1" applyFill="1" applyBorder="1" applyAlignment="1" applyProtection="1">
      <alignment vertical="center"/>
      <protection/>
    </xf>
    <xf numFmtId="166" fontId="48" fillId="0" borderId="16" xfId="0" applyNumberFormat="1" applyFont="1" applyFill="1" applyBorder="1" applyAlignment="1" applyProtection="1">
      <alignment vertical="center"/>
      <protection/>
    </xf>
    <xf numFmtId="10" fontId="48" fillId="0" borderId="12" xfId="58" applyNumberFormat="1" applyFont="1" applyFill="1" applyBorder="1" applyAlignment="1" applyProtection="1">
      <alignment vertical="center"/>
      <protection/>
    </xf>
    <xf numFmtId="0" fontId="0" fillId="7" borderId="0" xfId="0" applyFill="1" applyAlignment="1" applyProtection="1">
      <alignment vertical="top"/>
      <protection/>
    </xf>
    <xf numFmtId="0" fontId="0" fillId="7" borderId="14" xfId="0" applyFill="1" applyBorder="1" applyAlignment="1" applyProtection="1">
      <alignment vertical="top"/>
      <protection/>
    </xf>
    <xf numFmtId="0" fontId="0" fillId="7" borderId="26" xfId="0" applyFill="1" applyBorder="1" applyAlignment="1" applyProtection="1">
      <alignment vertical="center"/>
      <protection/>
    </xf>
    <xf numFmtId="166" fontId="3" fillId="7" borderId="27" xfId="0" applyNumberFormat="1" applyFont="1" applyFill="1" applyBorder="1" applyAlignment="1" applyProtection="1">
      <alignment vertical="center"/>
      <protection/>
    </xf>
    <xf numFmtId="0" fontId="3" fillId="7" borderId="14" xfId="0" applyFont="1" applyFill="1" applyBorder="1" applyAlignment="1" applyProtection="1">
      <alignment vertical="center"/>
      <protection/>
    </xf>
    <xf numFmtId="166" fontId="3" fillId="7" borderId="15" xfId="0" applyNumberFormat="1" applyFont="1" applyFill="1" applyBorder="1" applyAlignment="1" applyProtection="1">
      <alignment vertical="center"/>
      <protection/>
    </xf>
    <xf numFmtId="0" fontId="3" fillId="7" borderId="26" xfId="0" applyFont="1" applyFill="1" applyBorder="1" applyAlignment="1" applyProtection="1">
      <alignment vertical="center"/>
      <protection/>
    </xf>
    <xf numFmtId="166" fontId="3" fillId="7" borderId="14" xfId="0" applyNumberFormat="1" applyFont="1" applyFill="1" applyBorder="1" applyAlignment="1" applyProtection="1">
      <alignment vertical="center"/>
      <protection/>
    </xf>
    <xf numFmtId="10" fontId="3" fillId="7" borderId="15" xfId="58" applyNumberFormat="1" applyFont="1" applyFill="1" applyBorder="1" applyAlignment="1" applyProtection="1">
      <alignment vertical="center"/>
      <protection/>
    </xf>
    <xf numFmtId="0" fontId="8" fillId="37" borderId="21" xfId="55" applyFont="1" applyFill="1" applyBorder="1" applyProtection="1">
      <alignment/>
      <protection/>
    </xf>
    <xf numFmtId="0" fontId="8" fillId="37" borderId="22" xfId="55" applyFill="1" applyBorder="1" applyAlignment="1" applyProtection="1">
      <alignment vertical="top"/>
      <protection/>
    </xf>
    <xf numFmtId="0" fontId="8" fillId="37" borderId="22" xfId="55" applyFill="1" applyBorder="1" applyAlignment="1" applyProtection="1">
      <alignment vertical="top"/>
      <protection locked="0"/>
    </xf>
    <xf numFmtId="0" fontId="8" fillId="37" borderId="24" xfId="55" applyFill="1" applyBorder="1" applyAlignment="1" applyProtection="1">
      <alignment vertical="center"/>
      <protection locked="0"/>
    </xf>
    <xf numFmtId="0" fontId="8" fillId="37" borderId="22" xfId="55" applyFill="1" applyBorder="1" applyAlignment="1" applyProtection="1">
      <alignment vertical="center"/>
      <protection/>
    </xf>
    <xf numFmtId="0" fontId="8" fillId="37" borderId="23" xfId="55" applyFill="1" applyBorder="1" applyAlignment="1" applyProtection="1">
      <alignment vertical="center"/>
      <protection locked="0"/>
    </xf>
    <xf numFmtId="166" fontId="8" fillId="37" borderId="23" xfId="55" applyNumberFormat="1" applyFill="1" applyBorder="1" applyAlignment="1" applyProtection="1">
      <alignment vertical="center"/>
      <protection/>
    </xf>
    <xf numFmtId="0" fontId="3" fillId="0" borderId="0" xfId="55" applyFont="1" applyFill="1" applyAlignment="1" applyProtection="1">
      <alignment vertical="top"/>
      <protection/>
    </xf>
    <xf numFmtId="9" fontId="8" fillId="0" borderId="16" xfId="55" applyNumberFormat="1" applyFill="1" applyBorder="1" applyAlignment="1" applyProtection="1">
      <alignment vertical="top"/>
      <protection/>
    </xf>
    <xf numFmtId="9" fontId="8" fillId="0" borderId="0" xfId="55" applyNumberFormat="1" applyFill="1" applyBorder="1" applyAlignment="1" applyProtection="1">
      <alignment vertical="center"/>
      <protection/>
    </xf>
    <xf numFmtId="166" fontId="3" fillId="0" borderId="20" xfId="55" applyNumberFormat="1" applyFont="1" applyFill="1" applyBorder="1" applyAlignment="1" applyProtection="1">
      <alignment vertical="center"/>
      <protection/>
    </xf>
    <xf numFmtId="0" fontId="3" fillId="0" borderId="16" xfId="55" applyFont="1" applyFill="1" applyBorder="1" applyAlignment="1" applyProtection="1">
      <alignment vertical="center"/>
      <protection/>
    </xf>
    <xf numFmtId="9" fontId="3" fillId="0" borderId="16" xfId="55" applyNumberFormat="1" applyFont="1" applyFill="1" applyBorder="1" applyAlignment="1" applyProtection="1">
      <alignment vertical="center"/>
      <protection/>
    </xf>
    <xf numFmtId="0" fontId="3" fillId="0" borderId="0" xfId="55" applyFont="1" applyFill="1" applyBorder="1" applyAlignment="1" applyProtection="1">
      <alignment vertical="center"/>
      <protection/>
    </xf>
    <xf numFmtId="166" fontId="3" fillId="0" borderId="16" xfId="55" applyNumberFormat="1" applyFont="1" applyFill="1" applyBorder="1" applyAlignment="1" applyProtection="1">
      <alignment vertical="center"/>
      <protection/>
    </xf>
    <xf numFmtId="0" fontId="8" fillId="0" borderId="0" xfId="55" applyFont="1" applyFill="1" applyAlignment="1" applyProtection="1">
      <alignment horizontal="left" vertical="top" indent="1"/>
      <protection/>
    </xf>
    <xf numFmtId="9" fontId="8" fillId="0" borderId="16" xfId="55" applyNumberFormat="1" applyFill="1" applyBorder="1" applyAlignment="1" applyProtection="1">
      <alignment vertical="top"/>
      <protection locked="0"/>
    </xf>
    <xf numFmtId="166" fontId="8" fillId="0" borderId="20" xfId="55" applyNumberFormat="1" applyFont="1" applyFill="1" applyBorder="1" applyAlignment="1" applyProtection="1">
      <alignment vertical="center"/>
      <protection/>
    </xf>
    <xf numFmtId="0" fontId="8" fillId="0" borderId="16" xfId="55" applyFont="1" applyFill="1" applyBorder="1" applyAlignment="1" applyProtection="1">
      <alignment vertical="center"/>
      <protection/>
    </xf>
    <xf numFmtId="9" fontId="8" fillId="0" borderId="16" xfId="55" applyNumberFormat="1" applyFont="1" applyFill="1" applyBorder="1" applyAlignment="1" applyProtection="1">
      <alignment vertical="top"/>
      <protection locked="0"/>
    </xf>
    <xf numFmtId="9" fontId="8" fillId="0" borderId="16" xfId="55" applyNumberFormat="1" applyFont="1" applyFill="1" applyBorder="1" applyAlignment="1" applyProtection="1">
      <alignment vertical="center"/>
      <protection/>
    </xf>
    <xf numFmtId="166" fontId="8" fillId="0" borderId="12" xfId="55" applyNumberFormat="1" applyFont="1" applyFill="1" applyBorder="1" applyAlignment="1" applyProtection="1">
      <alignment vertical="center"/>
      <protection/>
    </xf>
    <xf numFmtId="0" fontId="8" fillId="0" borderId="0" xfId="55" applyFont="1" applyFill="1" applyBorder="1" applyAlignment="1" applyProtection="1">
      <alignment vertical="center"/>
      <protection/>
    </xf>
    <xf numFmtId="166" fontId="8" fillId="0" borderId="16" xfId="55" applyNumberFormat="1" applyFont="1" applyFill="1" applyBorder="1" applyAlignment="1" applyProtection="1">
      <alignment vertical="center"/>
      <protection/>
    </xf>
    <xf numFmtId="0" fontId="3" fillId="0" borderId="0" xfId="55" applyFont="1" applyAlignment="1" applyProtection="1">
      <alignment horizontal="left" vertical="top" wrapText="1" indent="1"/>
      <protection/>
    </xf>
    <xf numFmtId="0" fontId="8" fillId="0" borderId="16" xfId="55" applyFill="1" applyBorder="1" applyAlignment="1" applyProtection="1">
      <alignment vertical="top"/>
      <protection/>
    </xf>
    <xf numFmtId="0" fontId="8" fillId="0" borderId="0" xfId="55" applyFill="1" applyBorder="1" applyAlignment="1" applyProtection="1">
      <alignment vertical="center"/>
      <protection/>
    </xf>
    <xf numFmtId="166" fontId="48" fillId="0" borderId="20" xfId="55" applyNumberFormat="1" applyFont="1" applyFill="1" applyBorder="1" applyAlignment="1" applyProtection="1">
      <alignment vertical="center"/>
      <protection/>
    </xf>
    <xf numFmtId="166" fontId="48" fillId="0" borderId="12" xfId="55" applyNumberFormat="1" applyFont="1" applyFill="1" applyBorder="1" applyAlignment="1" applyProtection="1">
      <alignment vertical="center"/>
      <protection/>
    </xf>
    <xf numFmtId="166" fontId="48" fillId="0" borderId="16" xfId="55" applyNumberFormat="1" applyFont="1" applyFill="1" applyBorder="1" applyAlignment="1" applyProtection="1">
      <alignment vertical="center"/>
      <protection/>
    </xf>
    <xf numFmtId="0" fontId="8" fillId="7" borderId="0" xfId="55" applyFill="1" applyAlignment="1" applyProtection="1">
      <alignment vertical="top"/>
      <protection/>
    </xf>
    <xf numFmtId="0" fontId="8" fillId="7" borderId="16" xfId="55" applyFill="1" applyBorder="1" applyAlignment="1" applyProtection="1">
      <alignment vertical="top"/>
      <protection/>
    </xf>
    <xf numFmtId="0" fontId="8" fillId="7" borderId="0" xfId="55" applyFill="1" applyBorder="1" applyAlignment="1" applyProtection="1">
      <alignment vertical="center"/>
      <protection/>
    </xf>
    <xf numFmtId="166" fontId="3" fillId="7" borderId="20" xfId="55" applyNumberFormat="1" applyFont="1" applyFill="1" applyBorder="1" applyAlignment="1" applyProtection="1">
      <alignment vertical="center"/>
      <protection/>
    </xf>
    <xf numFmtId="0" fontId="3" fillId="7" borderId="16" xfId="55" applyFont="1" applyFill="1" applyBorder="1" applyAlignment="1" applyProtection="1">
      <alignment vertical="center"/>
      <protection/>
    </xf>
    <xf numFmtId="166" fontId="3" fillId="7" borderId="12" xfId="55" applyNumberFormat="1" applyFont="1" applyFill="1" applyBorder="1" applyAlignment="1" applyProtection="1">
      <alignment vertical="center"/>
      <protection/>
    </xf>
    <xf numFmtId="0" fontId="3" fillId="7" borderId="0" xfId="55" applyFont="1" applyFill="1" applyBorder="1" applyAlignment="1" applyProtection="1">
      <alignment vertical="center"/>
      <protection/>
    </xf>
    <xf numFmtId="166" fontId="3" fillId="7" borderId="16" xfId="55" applyNumberFormat="1" applyFont="1" applyFill="1" applyBorder="1" applyAlignment="1" applyProtection="1">
      <alignment vertical="center"/>
      <protection/>
    </xf>
    <xf numFmtId="10" fontId="3" fillId="7" borderId="12" xfId="58" applyNumberFormat="1" applyFont="1" applyFill="1" applyBorder="1" applyAlignment="1" applyProtection="1">
      <alignment vertical="center"/>
      <protection/>
    </xf>
    <xf numFmtId="167" fontId="0" fillId="37" borderId="24" xfId="44" applyNumberFormat="1" applyFill="1" applyBorder="1" applyAlignment="1" applyProtection="1">
      <alignment vertical="top"/>
      <protection locked="0"/>
    </xf>
    <xf numFmtId="0" fontId="8" fillId="37" borderId="22" xfId="55" applyFill="1" applyBorder="1" applyAlignment="1" applyProtection="1">
      <alignment vertical="center"/>
      <protection locked="0"/>
    </xf>
    <xf numFmtId="44" fontId="0" fillId="37" borderId="28" xfId="44" applyFill="1" applyBorder="1" applyAlignment="1" applyProtection="1">
      <alignment vertical="center"/>
      <protection/>
    </xf>
    <xf numFmtId="0" fontId="8" fillId="37" borderId="24" xfId="55" applyFill="1" applyBorder="1" applyAlignment="1" applyProtection="1">
      <alignment vertical="center"/>
      <protection/>
    </xf>
    <xf numFmtId="44" fontId="0" fillId="37" borderId="23" xfId="44" applyFill="1" applyBorder="1" applyAlignment="1" applyProtection="1">
      <alignment vertical="center"/>
      <protection/>
    </xf>
    <xf numFmtId="166" fontId="8" fillId="37" borderId="24" xfId="55" applyNumberFormat="1" applyFill="1" applyBorder="1" applyAlignment="1" applyProtection="1">
      <alignment vertical="center"/>
      <protection/>
    </xf>
    <xf numFmtId="10" fontId="0" fillId="4" borderId="10" xfId="58" applyNumberFormat="1" applyFill="1" applyBorder="1" applyAlignment="1" applyProtection="1">
      <alignment/>
      <protection locked="0"/>
    </xf>
    <xf numFmtId="0" fontId="12" fillId="0" borderId="0" xfId="0" applyFont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66" fontId="0" fillId="4" borderId="16" xfId="44" applyNumberFormat="1" applyFont="1" applyFill="1" applyBorder="1" applyAlignment="1" applyProtection="1">
      <alignment vertical="center"/>
      <protection locked="0"/>
    </xf>
    <xf numFmtId="166" fontId="0" fillId="4" borderId="16" xfId="44" applyNumberFormat="1" applyFont="1" applyFill="1" applyBorder="1" applyAlignment="1" applyProtection="1">
      <alignment vertical="top"/>
      <protection locked="0"/>
    </xf>
    <xf numFmtId="0" fontId="0" fillId="4" borderId="0" xfId="0" applyFill="1" applyAlignment="1" applyProtection="1">
      <alignment vertical="top" wrapText="1"/>
      <protection/>
    </xf>
    <xf numFmtId="166" fontId="0" fillId="4" borderId="16" xfId="44" applyNumberFormat="1" applyFill="1" applyBorder="1" applyAlignment="1" applyProtection="1">
      <alignment vertical="top"/>
      <protection locked="0"/>
    </xf>
    <xf numFmtId="166" fontId="0" fillId="4" borderId="16" xfId="44" applyNumberFormat="1" applyFill="1" applyBorder="1" applyAlignment="1" applyProtection="1">
      <alignment vertical="center"/>
      <protection locked="0"/>
    </xf>
    <xf numFmtId="166" fontId="0" fillId="36" borderId="16" xfId="44" applyNumberFormat="1" applyFont="1" applyFill="1" applyBorder="1" applyAlignment="1" applyProtection="1">
      <alignment vertical="top"/>
      <protection locked="0"/>
    </xf>
    <xf numFmtId="165" fontId="0" fillId="0" borderId="16" xfId="0" applyNumberFormat="1" applyFill="1" applyBorder="1" applyAlignment="1" applyProtection="1">
      <alignment vertical="center"/>
      <protection/>
    </xf>
    <xf numFmtId="0" fontId="8" fillId="38" borderId="0" xfId="55" applyFont="1" applyFill="1" applyAlignment="1" applyProtection="1">
      <alignment vertical="top"/>
      <protection/>
    </xf>
    <xf numFmtId="0" fontId="8" fillId="0" borderId="0" xfId="0" applyFont="1" applyFill="1" applyAlignment="1" applyProtection="1">
      <alignment vertical="top"/>
      <protection/>
    </xf>
    <xf numFmtId="0" fontId="0" fillId="0" borderId="0" xfId="0" applyFill="1" applyAlignment="1" applyProtection="1">
      <alignment vertical="top"/>
      <protection locked="0"/>
    </xf>
    <xf numFmtId="167" fontId="0" fillId="0" borderId="16" xfId="44" applyNumberFormat="1" applyFont="1" applyFill="1" applyBorder="1" applyAlignment="1" applyProtection="1">
      <alignment vertical="top"/>
      <protection locked="0"/>
    </xf>
    <xf numFmtId="44" fontId="0" fillId="0" borderId="12" xfId="44" applyFont="1" applyFill="1" applyBorder="1" applyAlignment="1" applyProtection="1">
      <alignment vertical="center"/>
      <protection/>
    </xf>
    <xf numFmtId="167" fontId="0" fillId="0" borderId="16" xfId="44" applyNumberFormat="1" applyFont="1" applyFill="1" applyBorder="1" applyAlignment="1" applyProtection="1">
      <alignment vertical="center"/>
      <protection locked="0"/>
    </xf>
    <xf numFmtId="166" fontId="0" fillId="0" borderId="16" xfId="0" applyNumberFormat="1" applyFill="1" applyBorder="1" applyAlignment="1" applyProtection="1">
      <alignment vertical="center"/>
      <protection/>
    </xf>
    <xf numFmtId="10" fontId="0" fillId="0" borderId="12" xfId="58" applyNumberFormat="1" applyFont="1" applyFill="1" applyBorder="1" applyAlignment="1" applyProtection="1">
      <alignment vertical="center"/>
      <protection/>
    </xf>
    <xf numFmtId="44" fontId="0" fillId="0" borderId="12" xfId="44" applyFill="1" applyBorder="1" applyAlignment="1" applyProtection="1">
      <alignment vertical="center"/>
      <protection/>
    </xf>
    <xf numFmtId="166" fontId="3" fillId="0" borderId="29" xfId="55" applyNumberFormat="1" applyFont="1" applyFill="1" applyBorder="1" applyAlignment="1" applyProtection="1">
      <alignment vertical="center"/>
      <protection/>
    </xf>
    <xf numFmtId="166" fontId="3" fillId="0" borderId="29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right"/>
    </xf>
    <xf numFmtId="0" fontId="4" fillId="0" borderId="0" xfId="0" applyFont="1" applyAlignment="1">
      <alignment vertical="top"/>
    </xf>
    <xf numFmtId="0" fontId="0" fillId="33" borderId="0" xfId="0" applyFill="1" applyBorder="1" applyAlignment="1" applyProtection="1">
      <alignment horizontal="right"/>
      <protection/>
    </xf>
    <xf numFmtId="0" fontId="4" fillId="0" borderId="0" xfId="0" applyFont="1" applyFill="1" applyAlignment="1">
      <alignment vertical="top"/>
    </xf>
    <xf numFmtId="0" fontId="4" fillId="0" borderId="0" xfId="0" applyFont="1" applyFill="1" applyBorder="1" applyAlignment="1">
      <alignment vertical="top"/>
    </xf>
    <xf numFmtId="0" fontId="0" fillId="0" borderId="0" xfId="0" applyFill="1" applyAlignment="1">
      <alignment/>
    </xf>
    <xf numFmtId="15" fontId="4" fillId="0" borderId="0" xfId="0" applyNumberFormat="1" applyFont="1" applyFill="1" applyAlignment="1">
      <alignment vertical="top"/>
    </xf>
    <xf numFmtId="174" fontId="0" fillId="4" borderId="10" xfId="58" applyNumberFormat="1" applyFill="1" applyBorder="1" applyAlignment="1" applyProtection="1">
      <alignment/>
      <protection locked="0"/>
    </xf>
    <xf numFmtId="0" fontId="46" fillId="0" borderId="0" xfId="0" applyFont="1" applyAlignment="1">
      <alignment/>
    </xf>
    <xf numFmtId="0" fontId="0" fillId="0" borderId="0" xfId="0" applyFill="1" applyAlignment="1">
      <alignment horizontal="right"/>
    </xf>
    <xf numFmtId="175" fontId="0" fillId="0" borderId="0" xfId="0" applyNumberFormat="1" applyAlignment="1" quotePrefix="1">
      <alignment/>
    </xf>
    <xf numFmtId="0" fontId="3" fillId="39" borderId="22" xfId="0" applyFont="1" applyFill="1" applyBorder="1" applyAlignment="1">
      <alignment horizontal="center" vertical="center"/>
    </xf>
    <xf numFmtId="0" fontId="3" fillId="39" borderId="22" xfId="0" applyFont="1" applyFill="1" applyBorder="1" applyAlignment="1">
      <alignment horizontal="center" vertical="center" wrapText="1"/>
    </xf>
    <xf numFmtId="0" fontId="3" fillId="39" borderId="25" xfId="0" applyFont="1" applyFill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/>
    </xf>
    <xf numFmtId="43" fontId="0" fillId="0" borderId="0" xfId="42" applyFont="1" applyBorder="1" applyAlignment="1">
      <alignment/>
    </xf>
    <xf numFmtId="10" fontId="0" fillId="0" borderId="31" xfId="58" applyNumberFormat="1" applyFont="1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32" xfId="0" applyBorder="1" applyAlignment="1">
      <alignment/>
    </xf>
    <xf numFmtId="0" fontId="0" fillId="0" borderId="26" xfId="0" applyBorder="1" applyAlignment="1">
      <alignment/>
    </xf>
    <xf numFmtId="3" fontId="0" fillId="0" borderId="26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43" fontId="0" fillId="0" borderId="26" xfId="42" applyFont="1" applyBorder="1" applyAlignment="1">
      <alignment/>
    </xf>
    <xf numFmtId="10" fontId="0" fillId="0" borderId="33" xfId="58" applyNumberFormat="1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5" xfId="0" applyBorder="1" applyAlignment="1">
      <alignment horizontal="center"/>
    </xf>
    <xf numFmtId="43" fontId="0" fillId="0" borderId="35" xfId="42" applyFont="1" applyBorder="1" applyAlignment="1">
      <alignment/>
    </xf>
    <xf numFmtId="10" fontId="0" fillId="0" borderId="36" xfId="0" applyNumberFormat="1" applyBorder="1" applyAlignment="1">
      <alignment/>
    </xf>
    <xf numFmtId="0" fontId="8" fillId="0" borderId="3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10" fontId="0" fillId="0" borderId="31" xfId="58" applyNumberFormat="1" applyFont="1" applyBorder="1" applyAlignment="1">
      <alignment/>
    </xf>
    <xf numFmtId="0" fontId="3" fillId="7" borderId="0" xfId="0" applyFont="1" applyFill="1" applyAlignment="1" applyProtection="1">
      <alignment horizontal="left" vertical="top" wrapText="1"/>
      <protection/>
    </xf>
    <xf numFmtId="0" fontId="4" fillId="0" borderId="0" xfId="0" applyFont="1" applyAlignment="1">
      <alignment horizontal="right" vertical="top"/>
    </xf>
    <xf numFmtId="0" fontId="4" fillId="4" borderId="0" xfId="0" applyFont="1" applyFill="1" applyBorder="1" applyAlignment="1">
      <alignment horizontal="right" vertical="top"/>
    </xf>
    <xf numFmtId="0" fontId="4" fillId="4" borderId="0" xfId="0" applyFont="1" applyFill="1" applyAlignment="1">
      <alignment horizontal="right" vertical="top"/>
    </xf>
    <xf numFmtId="15" fontId="4" fillId="4" borderId="0" xfId="0" applyNumberFormat="1" applyFont="1" applyFill="1" applyAlignment="1">
      <alignment horizontal="right" vertical="top"/>
    </xf>
    <xf numFmtId="0" fontId="7" fillId="0" borderId="0" xfId="0" applyFont="1" applyAlignment="1" applyProtection="1">
      <alignment horizontal="center"/>
      <protection/>
    </xf>
    <xf numFmtId="0" fontId="10" fillId="0" borderId="0" xfId="55" applyFont="1" applyAlignment="1" applyProtection="1">
      <alignment horizontal="left" vertical="top" wrapText="1" indent="1"/>
      <protection/>
    </xf>
    <xf numFmtId="0" fontId="6" fillId="4" borderId="0" xfId="0" applyFont="1" applyFill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/>
    </xf>
    <xf numFmtId="0" fontId="3" fillId="7" borderId="0" xfId="55" applyFont="1" applyFill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3" fillId="0" borderId="16" xfId="0" applyFont="1" applyFill="1" applyBorder="1" applyAlignment="1" applyProtection="1">
      <alignment horizontal="center" wrapText="1"/>
      <protection/>
    </xf>
    <xf numFmtId="0" fontId="0" fillId="0" borderId="14" xfId="0" applyBorder="1" applyAlignment="1">
      <alignment wrapText="1"/>
    </xf>
    <xf numFmtId="0" fontId="3" fillId="0" borderId="12" xfId="0" applyFont="1" applyFill="1" applyBorder="1" applyAlignment="1" applyProtection="1">
      <alignment horizontal="center" wrapText="1"/>
      <protection/>
    </xf>
    <xf numFmtId="0" fontId="0" fillId="0" borderId="15" xfId="0" applyBorder="1" applyAlignment="1">
      <alignment wrapText="1"/>
    </xf>
    <xf numFmtId="0" fontId="10" fillId="0" borderId="0" xfId="0" applyFont="1" applyAlignment="1" applyProtection="1">
      <alignment horizontal="left" vertical="top" wrapText="1" indent="1"/>
      <protection/>
    </xf>
    <xf numFmtId="0" fontId="0" fillId="33" borderId="0" xfId="0" applyFill="1" applyBorder="1" applyAlignment="1" applyProtection="1">
      <alignment horizontal="right"/>
      <protection/>
    </xf>
    <xf numFmtId="0" fontId="46" fillId="0" borderId="0" xfId="0" applyFont="1" applyAlignment="1">
      <alignment horizontal="right"/>
    </xf>
    <xf numFmtId="0" fontId="3" fillId="39" borderId="21" xfId="0" applyFont="1" applyFill="1" applyBorder="1" applyAlignment="1">
      <alignment horizontal="center" vertical="center"/>
    </xf>
    <xf numFmtId="0" fontId="3" fillId="39" borderId="22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externalLink" Target="externalLinks/externalLink5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EB%20Rate%20Applications\2014%20COS%20Rate%20Rebasing\New%20Working%20Models%20August%202013\Revised_Filing_Requirements_Chapter2_Appendices_for%202014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EB%20Rate%20Applications\2014%20COS%20Rate%20Rebasing\2014%20Working%20Models%20FINAL%20Sept\2014%20Rate%20Design%20Model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OEB%20Rate%20Applications\2014%20COS%20Rate%20Rebasing\Interrogatories%20and%20background\Models%20updated%20for%20IRs\2014%20Rate%20Design%20Model_IR%20update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OEB%20Rate%20Applications\2014%20COS%20Rate%20Rebasing\Interrogatories%20and%20background\Models%20updated%20for%20IRs\2014_EDDVAR_Continuity_Schedule_CoS%20as%20filed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OEB%20Rate%20Applications\2014%20COS%20Rate%20Rebasing\Interrogatories%20and%20background\Models%20updated%20for%20IRs\2014%20RTSR%20MODEL_V4.0_20130917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DC Info"/>
      <sheetName val="Table of Contents"/>
      <sheetName val="COS Flowchart"/>
      <sheetName val="List of Key References"/>
      <sheetName val="App.2-AA_Capital Projects"/>
      <sheetName val="App.2-AB_Capital Expenditures"/>
      <sheetName val="App.2-BA1_Fix Asset Cont.CGAAP"/>
      <sheetName val="App.2-BA2_Fix Asset Cont.MIFRS"/>
      <sheetName val="Appendix 2-BB Service Life Comp"/>
      <sheetName val="Instruction for App. 2-C MIFRS"/>
      <sheetName val="App.2-CA_CGAAP_DepExp_2011"/>
      <sheetName val="App.2-CB_MIFRS_DepExp_2011"/>
      <sheetName val="App.2-CC_MIFRS_DepExp_2012"/>
      <sheetName val="App.2-CD_MIFRS_DepExp_2013"/>
      <sheetName val="App.2-CE_MIFRS_DepExp_2014"/>
      <sheetName val="App.2-CF_CGAAP_DepExp_2012"/>
      <sheetName val="App.2-CG_MIFRS_DepExp_2012"/>
      <sheetName val="App.2-CH_MIFRS_DepExp_2013"/>
      <sheetName val="App.2-CI_MIFRS_DepExp_2014"/>
      <sheetName val="App.2-CJ_CGAAP_DepExp_2012"/>
      <sheetName val="App.2-CK_CGAAP_DepExp_2013"/>
      <sheetName val="App.2-CL_MIFRS_DepExp_2013"/>
      <sheetName val="App.2-CM_MIFRS_DepExp_2014"/>
      <sheetName val="Instruction for App. 2-C CGAAP"/>
      <sheetName val="App.2-CN_OldCGAAP_DepExp_2012"/>
      <sheetName val="App.2-CO_NewCGAAP_DepExp_2012"/>
      <sheetName val="App.2-CP_NewCGAAP_DepExp_2013"/>
      <sheetName val="App.2-CQ NewCGAAP_DepExp_2014"/>
      <sheetName val="App.2-CR_OldCGAAP_DepExp_2012"/>
      <sheetName val="App.2-CS_OldCGAAP_DepExp_2013"/>
      <sheetName val="App.2-CT_NewCGAAP_DepExp_2013"/>
      <sheetName val="App.2-CU_NewCGAAP_DepExp_2014"/>
      <sheetName val="App.2-CV_USGAAP_DepExp"/>
      <sheetName val="App.2-DA_Overhead"/>
      <sheetName val="App.2-DB_Overhead"/>
      <sheetName val="App.2-EA_PP&amp;E Deferral Account"/>
      <sheetName val="App.2-EB_PP&amp;E Deferral Account"/>
      <sheetName val="App.2-EC_PP&amp;E Deferral Account"/>
      <sheetName val="App.2-ED_Account 1576 (2012)"/>
      <sheetName val="App.2-EE_Account 1576 (2013)"/>
      <sheetName val="App.2-FA Proposed REG Invest."/>
      <sheetName val="App.2-FB Calc of REG Improvemnt"/>
      <sheetName val="App.2-FC Calc of REG Expansion"/>
      <sheetName val="App.2-G SQI"/>
      <sheetName val="App.2-H_Other_Oper_Rev"/>
      <sheetName val="App.2-I LF_CDM_WF"/>
      <sheetName val="App.2-JA_OM&amp;A_Summary_Analys"/>
      <sheetName val="App.2-JB_OM&amp;A_Cost _Drivers"/>
      <sheetName val="App.2-JC_OMA Programs"/>
      <sheetName val="App.2-K_Employee Costs"/>
      <sheetName val="App.2-L_OM&amp;A_per_Cust_FTEE"/>
      <sheetName val="App.2-M_Regulatory_Costs"/>
      <sheetName val="App.2-N_Corp_Cost_Allocation"/>
      <sheetName val="App.2-OA Capital Structure"/>
      <sheetName val="App.2-OB_Debt Instruments"/>
      <sheetName val="App.2-P_Cost_Allocation"/>
      <sheetName val="App.2-Q_Cost of Serv. Emb. Dx"/>
      <sheetName val="App.2-R_Loss Factors"/>
      <sheetName val="App.2-S_Stranded Meters"/>
      <sheetName val="App.2-TA_1592_Tax_Variance"/>
      <sheetName val="App.2-TB_1592_HST-OVAT"/>
      <sheetName val="App.2-U_IFRS Transition Costs"/>
      <sheetName val="App.2-V_Rev_Reconciliation"/>
      <sheetName val="App.2-W_Bill Impacts"/>
      <sheetName val="App.2-YA_MIFRS Summary Impacts"/>
      <sheetName val="App. 2-YB_CGAAP Summary Impacts"/>
      <sheetName val="App. 2-Z_Tariff"/>
      <sheetName val="lists"/>
      <sheetName val="lists2"/>
      <sheetName val="Sheet19"/>
    </sheetNames>
    <sheetDataSet>
      <sheetData sheetId="0">
        <row r="16">
          <cell r="E16" t="str">
            <v>EB-2013-0116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venue Input"/>
      <sheetName val="Transformer Allowance"/>
      <sheetName val="Forecast Data For 2014"/>
      <sheetName val="2013 Existing Rates"/>
      <sheetName val="2014 Test Yr On Existing Rates"/>
      <sheetName val="Cost Allocation Study"/>
      <sheetName val="Rates By Rate Class"/>
      <sheetName val="Allocation Low Voltage Costs"/>
      <sheetName val="Low Voltage Rates"/>
      <sheetName val="LRAM and SSM Rate Rider"/>
      <sheetName val="Distribution Rate Schedule"/>
      <sheetName val="BILL IMPACTS"/>
      <sheetName val="Rate Schedule "/>
      <sheetName val="Dist. Rev. Reconciliation"/>
      <sheetName val="Revenue Deficiency Analysis"/>
      <sheetName val="Appendix 2-O Table a"/>
      <sheetName val="Appendix 2-O Table b"/>
      <sheetName val="Appendix 2-O Table c"/>
      <sheetName val="Appendix 2-O Table d"/>
      <sheetName val="Tables for Exhibit 8"/>
    </sheetNames>
    <sheetDataSet>
      <sheetData sheetId="3">
        <row r="6">
          <cell r="C6">
            <v>10.09</v>
          </cell>
          <cell r="E6">
            <v>0.0163</v>
          </cell>
        </row>
        <row r="7">
          <cell r="C7">
            <v>11.92</v>
          </cell>
          <cell r="E7">
            <v>0.0127</v>
          </cell>
        </row>
        <row r="8">
          <cell r="C8">
            <v>109.35</v>
          </cell>
          <cell r="D8">
            <v>3.6834</v>
          </cell>
        </row>
        <row r="9">
          <cell r="C9">
            <v>908.75</v>
          </cell>
          <cell r="D9">
            <v>3.2086</v>
          </cell>
        </row>
        <row r="10">
          <cell r="C10">
            <v>7785.09</v>
          </cell>
          <cell r="D10">
            <v>2.1619</v>
          </cell>
        </row>
        <row r="11">
          <cell r="B11">
            <v>2.04</v>
          </cell>
          <cell r="D11">
            <v>13.011</v>
          </cell>
        </row>
        <row r="12">
          <cell r="B12">
            <v>7.07</v>
          </cell>
          <cell r="E12">
            <v>0.0151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venue Input"/>
      <sheetName val="Transformer Allowance"/>
      <sheetName val="Forecast Data For 2014"/>
      <sheetName val="2013 Existing Rates"/>
      <sheetName val="2014 Test Yr On Existing Rates"/>
      <sheetName val="Cost Allocation Study"/>
      <sheetName val="Rates By Rate Class"/>
      <sheetName val="Allocation Low Voltage Costs"/>
      <sheetName val="Low Voltage Rates"/>
      <sheetName val="LRAM and SSM Rate Rider"/>
      <sheetName val="Distribution Rate Schedule"/>
      <sheetName val="BILL IMPACTS"/>
      <sheetName val="Rate Schedule "/>
      <sheetName val="Dist. Rev. Reconciliation"/>
      <sheetName val="Revenue Deficiency Analysis"/>
      <sheetName val="Appendix 2-O Table a"/>
      <sheetName val="Appendix 2-O Table b"/>
      <sheetName val="Appendix 2-O Table c"/>
      <sheetName val="Appendix 2-O Table d"/>
      <sheetName val="Tables for Exhibit 8"/>
    </sheetNames>
    <sheetDataSet>
      <sheetData sheetId="12">
        <row r="10">
          <cell r="E10">
            <v>16.58</v>
          </cell>
        </row>
        <row r="11">
          <cell r="E11">
            <v>0.0119</v>
          </cell>
        </row>
        <row r="12">
          <cell r="E12">
            <v>0.0001</v>
          </cell>
        </row>
        <row r="16">
          <cell r="E16">
            <v>25.58</v>
          </cell>
        </row>
        <row r="17">
          <cell r="E17">
            <v>0.0104</v>
          </cell>
        </row>
        <row r="18">
          <cell r="E18">
            <v>0.0001</v>
          </cell>
        </row>
        <row r="22">
          <cell r="E22">
            <v>127.04</v>
          </cell>
        </row>
        <row r="23">
          <cell r="E23">
            <v>4.2624</v>
          </cell>
        </row>
        <row r="24">
          <cell r="E24">
            <v>0.0577</v>
          </cell>
        </row>
        <row r="28">
          <cell r="E28">
            <v>1060.51</v>
          </cell>
        </row>
        <row r="29">
          <cell r="E29">
            <v>3.6532</v>
          </cell>
        </row>
        <row r="30">
          <cell r="E30">
            <v>0.0453</v>
          </cell>
        </row>
        <row r="34">
          <cell r="E34">
            <v>9085.19</v>
          </cell>
        </row>
        <row r="35">
          <cell r="E35">
            <v>2.5229</v>
          </cell>
        </row>
        <row r="36">
          <cell r="E36">
            <v>0.0453</v>
          </cell>
        </row>
        <row r="52">
          <cell r="E52">
            <v>2.5941</v>
          </cell>
        </row>
        <row r="53">
          <cell r="E53">
            <v>16.5449</v>
          </cell>
        </row>
        <row r="54">
          <cell r="E54">
            <v>0.029</v>
          </cell>
        </row>
        <row r="58">
          <cell r="E58">
            <v>5.6674</v>
          </cell>
        </row>
        <row r="59">
          <cell r="E59">
            <v>0.0121</v>
          </cell>
        </row>
        <row r="60">
          <cell r="E60">
            <v>0.0001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. Information Sheet"/>
      <sheetName val="2. 2013 Continuity Schedule"/>
      <sheetName val="3. Appendix A"/>
      <sheetName val="4. Billing Determinants"/>
      <sheetName val="5. Allocation of Balances"/>
      <sheetName val="6. Rate Rider Calculations"/>
    </sheetNames>
    <sheetDataSet>
      <sheetData sheetId="5">
        <row r="20">
          <cell r="F20">
            <v>-0.0007408030378165835</v>
          </cell>
        </row>
        <row r="21">
          <cell r="F21">
            <v>-0.001125755911208088</v>
          </cell>
        </row>
        <row r="22">
          <cell r="F22">
            <v>-0.44651540739305623</v>
          </cell>
        </row>
        <row r="23">
          <cell r="F23">
            <v>-0.5615487674009901</v>
          </cell>
        </row>
        <row r="24">
          <cell r="F24">
            <v>-0.5829917306354213</v>
          </cell>
        </row>
        <row r="25">
          <cell r="F25">
            <v>0.11390569376356258</v>
          </cell>
        </row>
        <row r="26">
          <cell r="F26">
            <v>-9.181865258740997E-05</v>
          </cell>
        </row>
        <row r="49">
          <cell r="F49">
            <v>-1.3981917421003902</v>
          </cell>
        </row>
        <row r="50">
          <cell r="F50">
            <v>-1.6739397397024387</v>
          </cell>
        </row>
        <row r="51">
          <cell r="F51">
            <v>-1.9146207069667809</v>
          </cell>
        </row>
        <row r="52">
          <cell r="F52">
            <v>-1.4558500738531106</v>
          </cell>
        </row>
        <row r="53">
          <cell r="F53">
            <v>-0.0037116251631935117</v>
          </cell>
        </row>
        <row r="75">
          <cell r="F75">
            <v>-0.0023955525753637957</v>
          </cell>
        </row>
        <row r="76">
          <cell r="F76">
            <v>-0.0023955525753637957</v>
          </cell>
        </row>
        <row r="77">
          <cell r="F77">
            <v>-0.9024192048959747</v>
          </cell>
        </row>
        <row r="78">
          <cell r="F78">
            <v>-1.0803921404061536</v>
          </cell>
        </row>
        <row r="79">
          <cell r="F79">
            <v>-1.2357321560652414</v>
          </cell>
        </row>
        <row r="80">
          <cell r="F80">
            <v>-0.9396329748884613</v>
          </cell>
        </row>
        <row r="81">
          <cell r="F81">
            <v>-0.0023955525753637952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. Info"/>
      <sheetName val="2. Table of Contents"/>
      <sheetName val="3. Rate Classes"/>
      <sheetName val="4. RRR Data"/>
      <sheetName val="5. UTRs and Sub-Transmission"/>
      <sheetName val="6. Historical Wholesale"/>
      <sheetName val="7. Current Wholesale"/>
      <sheetName val="8. Forecast Wholesale"/>
      <sheetName val="9. Adj Network to Current WS"/>
      <sheetName val="10. Adj Conn. to Current WS"/>
      <sheetName val="11. Adj Network to Forecast WS"/>
      <sheetName val="12. Adj Conn. to Forecast WS"/>
      <sheetName val="13. Final 2014 RTS Rates"/>
      <sheetName val="hidden1"/>
    </sheetNames>
    <sheetDataSet>
      <sheetData sheetId="12">
        <row r="26">
          <cell r="F26">
            <v>0.006672891733385364</v>
          </cell>
          <cell r="H26">
            <v>0.004150792266205902</v>
          </cell>
        </row>
        <row r="27">
          <cell r="F27">
            <v>0.005811873445206607</v>
          </cell>
          <cell r="H27">
            <v>0.003920192695861129</v>
          </cell>
        </row>
        <row r="28">
          <cell r="F28">
            <v>3.780300794248831</v>
          </cell>
          <cell r="H28">
            <v>2.3939694395342537</v>
          </cell>
        </row>
        <row r="29">
          <cell r="F29">
            <v>2.871065481932064</v>
          </cell>
          <cell r="H29">
            <v>1.8788099993840324</v>
          </cell>
        </row>
        <row r="30">
          <cell r="F30">
            <v>2.7207101633588477</v>
          </cell>
          <cell r="H30">
            <v>1.9123622368691975</v>
          </cell>
        </row>
        <row r="31">
          <cell r="F31">
            <v>0.005811873445206608</v>
          </cell>
          <cell r="H31">
            <v>0.003920192695861129</v>
          </cell>
        </row>
        <row r="32">
          <cell r="F32">
            <v>1.899729225580404</v>
          </cell>
          <cell r="H32">
            <v>1.2030379584886777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9"/>
  <sheetViews>
    <sheetView showGridLines="0" zoomScalePageLayoutView="0" workbookViewId="0" topLeftCell="A1">
      <selection activeCell="B9" sqref="B9:O9"/>
    </sheetView>
  </sheetViews>
  <sheetFormatPr defaultColWidth="9.140625" defaultRowHeight="15"/>
  <cols>
    <col min="1" max="1" width="2.140625" style="7" customWidth="1"/>
    <col min="2" max="2" width="44.57421875" style="7" customWidth="1"/>
    <col min="3" max="3" width="1.28515625" style="7" customWidth="1"/>
    <col min="4" max="4" width="11.28125" style="7" customWidth="1"/>
    <col min="5" max="5" width="1.28515625" style="7" customWidth="1"/>
    <col min="6" max="6" width="12.28125" style="7" customWidth="1"/>
    <col min="7" max="7" width="8.57421875" style="7" customWidth="1"/>
    <col min="8" max="8" width="9.7109375" style="7" customWidth="1"/>
    <col min="9" max="9" width="2.8515625" style="7" customWidth="1"/>
    <col min="10" max="10" width="12.140625" style="7" customWidth="1"/>
    <col min="11" max="11" width="8.57421875" style="7" customWidth="1"/>
    <col min="12" max="12" width="9.7109375" style="7" customWidth="1"/>
    <col min="13" max="13" width="2.8515625" style="7" customWidth="1"/>
    <col min="14" max="14" width="11.57421875" style="7" customWidth="1"/>
    <col min="15" max="15" width="10.8515625" style="7" bestFit="1" customWidth="1"/>
    <col min="16" max="16" width="6.421875" style="7" customWidth="1"/>
    <col min="17" max="20" width="9.140625" style="7" customWidth="1"/>
    <col min="21" max="16384" width="9.140625" style="7" customWidth="1"/>
  </cols>
  <sheetData>
    <row r="1" spans="1:20" s="2" customFormat="1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234" t="str">
        <f>EBNUMBER</f>
        <v>EB-2013-0116</v>
      </c>
      <c r="O1" s="234"/>
      <c r="T1" s="2">
        <v>1</v>
      </c>
    </row>
    <row r="2" spans="1:15" s="2" customFormat="1" ht="1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110</v>
      </c>
      <c r="N2" s="235" t="s">
        <v>111</v>
      </c>
      <c r="O2" s="235"/>
    </row>
    <row r="3" spans="3:15" s="2" customFormat="1" ht="15" customHeight="1">
      <c r="C3" s="6"/>
      <c r="D3" s="6"/>
      <c r="E3" s="6"/>
      <c r="L3" s="3" t="s">
        <v>78</v>
      </c>
      <c r="N3" s="236" t="s">
        <v>82</v>
      </c>
      <c r="O3" s="236"/>
    </row>
    <row r="4" spans="12:15" s="2" customFormat="1" ht="9" customHeight="1">
      <c r="L4" s="3"/>
      <c r="N4" s="4"/>
      <c r="O4"/>
    </row>
    <row r="5" spans="12:15" s="2" customFormat="1" ht="15">
      <c r="L5" s="3" t="s">
        <v>100</v>
      </c>
      <c r="N5" s="237">
        <v>41695</v>
      </c>
      <c r="O5" s="237"/>
    </row>
    <row r="6" spans="14:16" s="2" customFormat="1" ht="15" customHeight="1">
      <c r="N6" s="7"/>
      <c r="O6"/>
      <c r="P6"/>
    </row>
    <row r="7" spans="12:16" ht="7.5" customHeight="1">
      <c r="L7"/>
      <c r="M7"/>
      <c r="N7"/>
      <c r="O7"/>
      <c r="P7"/>
    </row>
    <row r="8" spans="2:16" ht="18.75" customHeight="1">
      <c r="B8" s="238" t="s">
        <v>1</v>
      </c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/>
    </row>
    <row r="9" spans="2:16" ht="18.75" customHeight="1">
      <c r="B9" s="238" t="s">
        <v>2</v>
      </c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/>
    </row>
    <row r="10" spans="12:16" ht="7.5" customHeight="1">
      <c r="L10"/>
      <c r="M10"/>
      <c r="N10"/>
      <c r="O10"/>
      <c r="P10"/>
    </row>
    <row r="11" spans="12:16" ht="7.5" customHeight="1">
      <c r="L11"/>
      <c r="M11"/>
      <c r="N11"/>
      <c r="O11"/>
      <c r="P11"/>
    </row>
    <row r="12" spans="2:15" ht="15.75">
      <c r="B12" s="8" t="s">
        <v>3</v>
      </c>
      <c r="D12" s="240" t="s">
        <v>59</v>
      </c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</row>
    <row r="13" spans="2:15" ht="7.5" customHeight="1">
      <c r="B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2:15" ht="15.75">
      <c r="B14" s="8" t="s">
        <v>4</v>
      </c>
      <c r="D14" s="11" t="s">
        <v>5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2:15" ht="15.75">
      <c r="B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2:7" ht="15">
      <c r="B16" s="12"/>
      <c r="D16" s="13" t="s">
        <v>6</v>
      </c>
      <c r="E16" s="13"/>
      <c r="F16" s="14">
        <v>100</v>
      </c>
      <c r="G16" s="13" t="s">
        <v>7</v>
      </c>
    </row>
    <row r="17" ht="15">
      <c r="B17" s="12"/>
    </row>
    <row r="18" spans="2:15" ht="15">
      <c r="B18" s="12"/>
      <c r="D18" s="15"/>
      <c r="E18" s="15"/>
      <c r="F18" s="241" t="s">
        <v>8</v>
      </c>
      <c r="G18" s="242"/>
      <c r="H18" s="243"/>
      <c r="J18" s="241" t="s">
        <v>9</v>
      </c>
      <c r="K18" s="242"/>
      <c r="L18" s="243"/>
      <c r="N18" s="241" t="s">
        <v>10</v>
      </c>
      <c r="O18" s="243"/>
    </row>
    <row r="19" spans="2:15" ht="15">
      <c r="B19" s="12"/>
      <c r="D19" s="245" t="s">
        <v>11</v>
      </c>
      <c r="E19" s="16"/>
      <c r="F19" s="17" t="s">
        <v>12</v>
      </c>
      <c r="G19" s="17" t="s">
        <v>13</v>
      </c>
      <c r="H19" s="18" t="s">
        <v>14</v>
      </c>
      <c r="J19" s="17" t="s">
        <v>12</v>
      </c>
      <c r="K19" s="19" t="s">
        <v>13</v>
      </c>
      <c r="L19" s="18" t="s">
        <v>14</v>
      </c>
      <c r="N19" s="247" t="s">
        <v>15</v>
      </c>
      <c r="O19" s="249" t="s">
        <v>16</v>
      </c>
    </row>
    <row r="20" spans="2:15" ht="15">
      <c r="B20" s="12"/>
      <c r="D20" s="246"/>
      <c r="E20" s="16"/>
      <c r="F20" s="20" t="s">
        <v>17</v>
      </c>
      <c r="G20" s="20"/>
      <c r="H20" s="21" t="s">
        <v>17</v>
      </c>
      <c r="J20" s="20" t="s">
        <v>17</v>
      </c>
      <c r="K20" s="21"/>
      <c r="L20" s="21" t="s">
        <v>17</v>
      </c>
      <c r="N20" s="248"/>
      <c r="O20" s="250"/>
    </row>
    <row r="21" spans="2:15" ht="22.5" customHeight="1">
      <c r="B21" s="22" t="s">
        <v>18</v>
      </c>
      <c r="C21" s="22"/>
      <c r="D21" s="23" t="s">
        <v>60</v>
      </c>
      <c r="E21" s="24"/>
      <c r="F21" s="175">
        <f>'[2]2013 Existing Rates'!$C$6</f>
        <v>10.09</v>
      </c>
      <c r="G21" s="26">
        <v>1</v>
      </c>
      <c r="H21" s="27">
        <f>G21*F21</f>
        <v>10.09</v>
      </c>
      <c r="I21" s="28"/>
      <c r="J21" s="174">
        <f>'[3]Rate Schedule '!$E$10</f>
        <v>16.58</v>
      </c>
      <c r="K21" s="30">
        <v>1</v>
      </c>
      <c r="L21" s="27">
        <f>K21*J21</f>
        <v>16.58</v>
      </c>
      <c r="M21" s="28"/>
      <c r="N21" s="31">
        <f>L21-H21</f>
        <v>6.489999999999998</v>
      </c>
      <c r="O21" s="32">
        <f>IF((H21)=0,"",(N21/H21))</f>
        <v>0.6432111000991079</v>
      </c>
    </row>
    <row r="22" spans="2:15" ht="36.75" customHeight="1">
      <c r="B22" s="65" t="s">
        <v>62</v>
      </c>
      <c r="C22" s="22"/>
      <c r="D22" s="56" t="s">
        <v>60</v>
      </c>
      <c r="E22" s="24"/>
      <c r="F22" s="174">
        <v>0.01</v>
      </c>
      <c r="G22" s="26">
        <v>1</v>
      </c>
      <c r="H22" s="27">
        <f aca="true" t="shared" si="0" ref="H22:H36">G22*F22</f>
        <v>0.01</v>
      </c>
      <c r="I22" s="28"/>
      <c r="J22" s="29"/>
      <c r="K22" s="30">
        <v>1</v>
      </c>
      <c r="L22" s="27">
        <f>K22*J22</f>
        <v>0</v>
      </c>
      <c r="M22" s="28"/>
      <c r="N22" s="31">
        <f>L22-H22</f>
        <v>-0.01</v>
      </c>
      <c r="O22" s="32">
        <f>IF((H22)=0,"",(N22/H22))</f>
        <v>-1</v>
      </c>
    </row>
    <row r="23" spans="2:15" ht="36.75" customHeight="1">
      <c r="B23" s="176" t="s">
        <v>63</v>
      </c>
      <c r="C23" s="22"/>
      <c r="D23" s="56" t="s">
        <v>60</v>
      </c>
      <c r="E23" s="57"/>
      <c r="F23" s="174">
        <v>2.22</v>
      </c>
      <c r="G23" s="26">
        <v>1</v>
      </c>
      <c r="H23" s="27">
        <f t="shared" si="0"/>
        <v>2.22</v>
      </c>
      <c r="I23" s="28"/>
      <c r="J23" s="29"/>
      <c r="K23" s="30">
        <v>1</v>
      </c>
      <c r="L23" s="27">
        <f aca="true" t="shared" si="1" ref="L23:L36">K23*J23</f>
        <v>0</v>
      </c>
      <c r="M23" s="28"/>
      <c r="N23" s="31">
        <f aca="true" t="shared" si="2" ref="N23:N37">L23-H23</f>
        <v>-2.22</v>
      </c>
      <c r="O23" s="32">
        <f aca="true" t="shared" si="3" ref="O23:O37">IF((H23)=0,"",(N23/H23))</f>
        <v>-1</v>
      </c>
    </row>
    <row r="24" spans="2:15" ht="15">
      <c r="B24" s="176" t="s">
        <v>64</v>
      </c>
      <c r="C24" s="22"/>
      <c r="D24" s="23" t="s">
        <v>60</v>
      </c>
      <c r="E24" s="24"/>
      <c r="F24" s="25"/>
      <c r="G24" s="26">
        <v>1</v>
      </c>
      <c r="H24" s="27">
        <f t="shared" si="0"/>
        <v>0</v>
      </c>
      <c r="I24" s="28"/>
      <c r="J24" s="174">
        <v>3.25</v>
      </c>
      <c r="K24" s="30">
        <v>1</v>
      </c>
      <c r="L24" s="27">
        <f t="shared" si="1"/>
        <v>3.25</v>
      </c>
      <c r="M24" s="28"/>
      <c r="N24" s="31">
        <f t="shared" si="2"/>
        <v>3.25</v>
      </c>
      <c r="O24" s="32">
        <f t="shared" si="3"/>
      </c>
    </row>
    <row r="25" spans="2:15" ht="15">
      <c r="B25" s="46" t="s">
        <v>65</v>
      </c>
      <c r="C25" s="22"/>
      <c r="D25" s="23" t="s">
        <v>61</v>
      </c>
      <c r="E25" s="24"/>
      <c r="F25" s="25">
        <v>-0.0001</v>
      </c>
      <c r="G25" s="26">
        <f>$F$16</f>
        <v>100</v>
      </c>
      <c r="H25" s="27">
        <f t="shared" si="0"/>
        <v>-0.01</v>
      </c>
      <c r="I25" s="28"/>
      <c r="J25" s="174"/>
      <c r="K25" s="26">
        <f>$F$16</f>
        <v>100</v>
      </c>
      <c r="L25" s="27">
        <f t="shared" si="1"/>
        <v>0</v>
      </c>
      <c r="M25" s="28"/>
      <c r="N25" s="31">
        <f t="shared" si="2"/>
        <v>0.01</v>
      </c>
      <c r="O25" s="32">
        <f t="shared" si="3"/>
        <v>-1</v>
      </c>
    </row>
    <row r="26" spans="2:15" ht="15">
      <c r="B26" s="46" t="s">
        <v>66</v>
      </c>
      <c r="C26" s="22"/>
      <c r="D26" s="23" t="s">
        <v>61</v>
      </c>
      <c r="E26" s="24"/>
      <c r="F26" s="25"/>
      <c r="G26" s="26">
        <f>$F$16</f>
        <v>100</v>
      </c>
      <c r="H26" s="27">
        <f t="shared" si="0"/>
        <v>0</v>
      </c>
      <c r="I26" s="28"/>
      <c r="J26" s="29">
        <f>'[4]6. Rate Rider Calculations'!$F$75</f>
        <v>-0.0023955525753637957</v>
      </c>
      <c r="K26" s="26">
        <f>$F$16</f>
        <v>100</v>
      </c>
      <c r="L26" s="27">
        <f t="shared" si="1"/>
        <v>-0.23955525753637957</v>
      </c>
      <c r="M26" s="28"/>
      <c r="N26" s="31">
        <f t="shared" si="2"/>
        <v>-0.23955525753637957</v>
      </c>
      <c r="O26" s="32">
        <f t="shared" si="3"/>
      </c>
    </row>
    <row r="27" spans="2:15" ht="15">
      <c r="B27" s="22" t="s">
        <v>19</v>
      </c>
      <c r="C27" s="22"/>
      <c r="D27" s="23" t="s">
        <v>61</v>
      </c>
      <c r="E27" s="24"/>
      <c r="F27" s="25">
        <f>'[2]2013 Existing Rates'!$E$6</f>
        <v>0.0163</v>
      </c>
      <c r="G27" s="26">
        <f>$F$16</f>
        <v>100</v>
      </c>
      <c r="H27" s="27">
        <f t="shared" si="0"/>
        <v>1.63</v>
      </c>
      <c r="I27" s="28"/>
      <c r="J27" s="29">
        <f>'[3]Rate Schedule '!$E$11</f>
        <v>0.0119</v>
      </c>
      <c r="K27" s="26">
        <f>$F$16</f>
        <v>100</v>
      </c>
      <c r="L27" s="27">
        <f t="shared" si="1"/>
        <v>1.1900000000000002</v>
      </c>
      <c r="M27" s="28"/>
      <c r="N27" s="31">
        <f t="shared" si="2"/>
        <v>-0.4399999999999997</v>
      </c>
      <c r="O27" s="32">
        <f t="shared" si="3"/>
        <v>-0.2699386503067483</v>
      </c>
    </row>
    <row r="28" spans="2:15" ht="15" hidden="1">
      <c r="B28" s="22" t="s">
        <v>20</v>
      </c>
      <c r="C28" s="22"/>
      <c r="D28" s="23"/>
      <c r="E28" s="24"/>
      <c r="F28" s="25"/>
      <c r="G28" s="26">
        <f>$F$16</f>
        <v>100</v>
      </c>
      <c r="H28" s="27">
        <f t="shared" si="0"/>
        <v>0</v>
      </c>
      <c r="I28" s="28"/>
      <c r="J28" s="29"/>
      <c r="K28" s="26">
        <f aca="true" t="shared" si="4" ref="K28:K36">$F$16</f>
        <v>100</v>
      </c>
      <c r="L28" s="27">
        <f t="shared" si="1"/>
        <v>0</v>
      </c>
      <c r="M28" s="28"/>
      <c r="N28" s="31">
        <f t="shared" si="2"/>
        <v>0</v>
      </c>
      <c r="O28" s="32">
        <f t="shared" si="3"/>
      </c>
    </row>
    <row r="29" spans="2:15" ht="15" hidden="1">
      <c r="B29" s="22" t="s">
        <v>21</v>
      </c>
      <c r="C29" s="22"/>
      <c r="D29" s="23"/>
      <c r="E29" s="24"/>
      <c r="F29" s="25"/>
      <c r="G29" s="26">
        <f>$F$16</f>
        <v>100</v>
      </c>
      <c r="H29" s="27">
        <f t="shared" si="0"/>
        <v>0</v>
      </c>
      <c r="I29" s="28"/>
      <c r="J29" s="29"/>
      <c r="K29" s="26">
        <f t="shared" si="4"/>
        <v>100</v>
      </c>
      <c r="L29" s="27">
        <f t="shared" si="1"/>
        <v>0</v>
      </c>
      <c r="M29" s="28"/>
      <c r="N29" s="31">
        <f t="shared" si="2"/>
        <v>0</v>
      </c>
      <c r="O29" s="32">
        <f t="shared" si="3"/>
      </c>
    </row>
    <row r="30" spans="2:15" ht="15" hidden="1">
      <c r="B30" s="33"/>
      <c r="C30" s="22"/>
      <c r="D30" s="23"/>
      <c r="E30" s="24"/>
      <c r="F30" s="25"/>
      <c r="G30" s="26">
        <f aca="true" t="shared" si="5" ref="G30:G36">$F$16</f>
        <v>100</v>
      </c>
      <c r="H30" s="27">
        <f t="shared" si="0"/>
        <v>0</v>
      </c>
      <c r="I30" s="28"/>
      <c r="J30" s="29"/>
      <c r="K30" s="26">
        <f t="shared" si="4"/>
        <v>100</v>
      </c>
      <c r="L30" s="27">
        <f t="shared" si="1"/>
        <v>0</v>
      </c>
      <c r="M30" s="28"/>
      <c r="N30" s="31">
        <f t="shared" si="2"/>
        <v>0</v>
      </c>
      <c r="O30" s="32">
        <f t="shared" si="3"/>
      </c>
    </row>
    <row r="31" spans="2:15" ht="15" hidden="1">
      <c r="B31" s="33"/>
      <c r="C31" s="22"/>
      <c r="D31" s="23"/>
      <c r="E31" s="24"/>
      <c r="F31" s="25"/>
      <c r="G31" s="26">
        <f t="shared" si="5"/>
        <v>100</v>
      </c>
      <c r="H31" s="27">
        <f t="shared" si="0"/>
        <v>0</v>
      </c>
      <c r="I31" s="28"/>
      <c r="J31" s="29"/>
      <c r="K31" s="26">
        <f t="shared" si="4"/>
        <v>100</v>
      </c>
      <c r="L31" s="27">
        <f t="shared" si="1"/>
        <v>0</v>
      </c>
      <c r="M31" s="28"/>
      <c r="N31" s="31">
        <f t="shared" si="2"/>
        <v>0</v>
      </c>
      <c r="O31" s="32">
        <f t="shared" si="3"/>
      </c>
    </row>
    <row r="32" spans="2:15" ht="15" hidden="1">
      <c r="B32" s="33"/>
      <c r="C32" s="22"/>
      <c r="D32" s="23"/>
      <c r="E32" s="24"/>
      <c r="F32" s="25"/>
      <c r="G32" s="26">
        <f t="shared" si="5"/>
        <v>100</v>
      </c>
      <c r="H32" s="27">
        <f t="shared" si="0"/>
        <v>0</v>
      </c>
      <c r="I32" s="28"/>
      <c r="J32" s="29"/>
      <c r="K32" s="26">
        <f t="shared" si="4"/>
        <v>100</v>
      </c>
      <c r="L32" s="27">
        <f t="shared" si="1"/>
        <v>0</v>
      </c>
      <c r="M32" s="28"/>
      <c r="N32" s="31">
        <f t="shared" si="2"/>
        <v>0</v>
      </c>
      <c r="O32" s="32">
        <f t="shared" si="3"/>
      </c>
    </row>
    <row r="33" spans="2:15" ht="15" hidden="1">
      <c r="B33" s="33"/>
      <c r="C33" s="22"/>
      <c r="D33" s="23"/>
      <c r="E33" s="24"/>
      <c r="F33" s="25"/>
      <c r="G33" s="26">
        <f t="shared" si="5"/>
        <v>100</v>
      </c>
      <c r="H33" s="27">
        <f t="shared" si="0"/>
        <v>0</v>
      </c>
      <c r="I33" s="28"/>
      <c r="J33" s="29"/>
      <c r="K33" s="26">
        <f t="shared" si="4"/>
        <v>100</v>
      </c>
      <c r="L33" s="27">
        <f t="shared" si="1"/>
        <v>0</v>
      </c>
      <c r="M33" s="28"/>
      <c r="N33" s="31">
        <f t="shared" si="2"/>
        <v>0</v>
      </c>
      <c r="O33" s="32">
        <f t="shared" si="3"/>
      </c>
    </row>
    <row r="34" spans="2:15" ht="15" hidden="1">
      <c r="B34" s="33"/>
      <c r="C34" s="22"/>
      <c r="D34" s="23"/>
      <c r="E34" s="24"/>
      <c r="F34" s="25"/>
      <c r="G34" s="26">
        <f t="shared" si="5"/>
        <v>100</v>
      </c>
      <c r="H34" s="27">
        <f t="shared" si="0"/>
        <v>0</v>
      </c>
      <c r="I34" s="28"/>
      <c r="J34" s="29"/>
      <c r="K34" s="26">
        <f t="shared" si="4"/>
        <v>100</v>
      </c>
      <c r="L34" s="27">
        <f t="shared" si="1"/>
        <v>0</v>
      </c>
      <c r="M34" s="28"/>
      <c r="N34" s="31">
        <f t="shared" si="2"/>
        <v>0</v>
      </c>
      <c r="O34" s="32">
        <f t="shared" si="3"/>
      </c>
    </row>
    <row r="35" spans="2:15" ht="15" hidden="1">
      <c r="B35" s="33"/>
      <c r="C35" s="22"/>
      <c r="D35" s="23"/>
      <c r="E35" s="24"/>
      <c r="F35" s="25"/>
      <c r="G35" s="26">
        <f t="shared" si="5"/>
        <v>100</v>
      </c>
      <c r="H35" s="27">
        <f t="shared" si="0"/>
        <v>0</v>
      </c>
      <c r="I35" s="28"/>
      <c r="J35" s="29"/>
      <c r="K35" s="26">
        <f t="shared" si="4"/>
        <v>100</v>
      </c>
      <c r="L35" s="27">
        <f t="shared" si="1"/>
        <v>0</v>
      </c>
      <c r="M35" s="28"/>
      <c r="N35" s="31">
        <f t="shared" si="2"/>
        <v>0</v>
      </c>
      <c r="O35" s="32">
        <f t="shared" si="3"/>
      </c>
    </row>
    <row r="36" spans="2:15" ht="15" hidden="1">
      <c r="B36" s="33"/>
      <c r="C36" s="22"/>
      <c r="D36" s="23"/>
      <c r="E36" s="24"/>
      <c r="F36" s="25"/>
      <c r="G36" s="26">
        <f t="shared" si="5"/>
        <v>100</v>
      </c>
      <c r="H36" s="27">
        <f t="shared" si="0"/>
        <v>0</v>
      </c>
      <c r="I36" s="28"/>
      <c r="J36" s="29"/>
      <c r="K36" s="26">
        <f t="shared" si="4"/>
        <v>100</v>
      </c>
      <c r="L36" s="27">
        <f t="shared" si="1"/>
        <v>0</v>
      </c>
      <c r="M36" s="28"/>
      <c r="N36" s="31">
        <f t="shared" si="2"/>
        <v>0</v>
      </c>
      <c r="O36" s="32">
        <f t="shared" si="3"/>
      </c>
    </row>
    <row r="37" spans="2:15" s="34" customFormat="1" ht="15">
      <c r="B37" s="35" t="s">
        <v>22</v>
      </c>
      <c r="C37" s="36"/>
      <c r="D37" s="37"/>
      <c r="E37" s="36"/>
      <c r="F37" s="38"/>
      <c r="G37" s="39"/>
      <c r="H37" s="40">
        <f>SUM(H21:H36)</f>
        <v>13.940000000000001</v>
      </c>
      <c r="I37" s="41"/>
      <c r="J37" s="42"/>
      <c r="K37" s="43"/>
      <c r="L37" s="40">
        <f>SUM(L21:L36)</f>
        <v>20.78044474246362</v>
      </c>
      <c r="M37" s="41"/>
      <c r="N37" s="44">
        <f t="shared" si="2"/>
        <v>6.8404447424636174</v>
      </c>
      <c r="O37" s="45">
        <f t="shared" si="3"/>
        <v>0.4907062225583656</v>
      </c>
    </row>
    <row r="38" spans="2:15" ht="15" hidden="1">
      <c r="B38" s="176"/>
      <c r="C38" s="22"/>
      <c r="D38" s="56" t="s">
        <v>60</v>
      </c>
      <c r="E38" s="24"/>
      <c r="F38" s="25"/>
      <c r="G38" s="26">
        <v>1</v>
      </c>
      <c r="H38" s="27">
        <f>G38*F38</f>
        <v>0</v>
      </c>
      <c r="I38" s="28"/>
      <c r="J38" s="174"/>
      <c r="K38" s="30">
        <v>1</v>
      </c>
      <c r="L38" s="27">
        <f>K38*J38</f>
        <v>0</v>
      </c>
      <c r="M38" s="28"/>
      <c r="N38" s="31">
        <f>L38-H38</f>
        <v>0</v>
      </c>
      <c r="O38" s="32">
        <f>IF((H38)=0,"",(N38/H38))</f>
      </c>
    </row>
    <row r="39" spans="2:15" ht="25.5">
      <c r="B39" s="46" t="s">
        <v>23</v>
      </c>
      <c r="C39" s="22"/>
      <c r="D39" s="56" t="s">
        <v>61</v>
      </c>
      <c r="E39" s="57"/>
      <c r="F39" s="29">
        <v>0.0003</v>
      </c>
      <c r="G39" s="26">
        <f>$F$16</f>
        <v>100</v>
      </c>
      <c r="H39" s="27">
        <f aca="true" t="shared" si="6" ref="H39:H45">G39*F39</f>
        <v>0.03</v>
      </c>
      <c r="I39" s="28"/>
      <c r="J39" s="29">
        <f>'[4]6. Rate Rider Calculations'!$F$20</f>
        <v>-0.0007408030378165835</v>
      </c>
      <c r="K39" s="26">
        <f>$F$16</f>
        <v>100</v>
      </c>
      <c r="L39" s="27">
        <f aca="true" t="shared" si="7" ref="L39:L45">K39*J39</f>
        <v>-0.07408030378165835</v>
      </c>
      <c r="M39" s="28"/>
      <c r="N39" s="31">
        <f aca="true" t="shared" si="8" ref="N39:N45">L39-H39</f>
        <v>-0.10408030378165835</v>
      </c>
      <c r="O39" s="32">
        <f aca="true" t="shared" si="9" ref="O39:O44">IF((H39)=0,"",(N39/H39))</f>
        <v>-3.469343459388612</v>
      </c>
    </row>
    <row r="40" spans="2:15" ht="15" hidden="1">
      <c r="B40" s="46"/>
      <c r="C40" s="22"/>
      <c r="D40" s="23" t="s">
        <v>61</v>
      </c>
      <c r="E40" s="24"/>
      <c r="F40" s="25"/>
      <c r="G40" s="26">
        <f>$F$16</f>
        <v>100</v>
      </c>
      <c r="H40" s="27">
        <f t="shared" si="6"/>
        <v>0</v>
      </c>
      <c r="I40" s="47"/>
      <c r="J40" s="29"/>
      <c r="K40" s="26">
        <f>$F$16</f>
        <v>100</v>
      </c>
      <c r="L40" s="27">
        <f t="shared" si="7"/>
        <v>0</v>
      </c>
      <c r="M40" s="48"/>
      <c r="N40" s="31">
        <f t="shared" si="8"/>
        <v>0</v>
      </c>
      <c r="O40" s="32">
        <f t="shared" si="9"/>
      </c>
    </row>
    <row r="41" spans="2:15" ht="15" hidden="1">
      <c r="B41" s="46"/>
      <c r="C41" s="22"/>
      <c r="D41" s="23" t="s">
        <v>61</v>
      </c>
      <c r="E41" s="24"/>
      <c r="F41" s="25"/>
      <c r="G41" s="26">
        <f>$F$16</f>
        <v>100</v>
      </c>
      <c r="H41" s="27">
        <f t="shared" si="6"/>
        <v>0</v>
      </c>
      <c r="I41" s="47"/>
      <c r="J41" s="29"/>
      <c r="K41" s="26">
        <f>$F$16</f>
        <v>100</v>
      </c>
      <c r="L41" s="27">
        <f t="shared" si="7"/>
        <v>0</v>
      </c>
      <c r="M41" s="48"/>
      <c r="N41" s="31">
        <f t="shared" si="8"/>
        <v>0</v>
      </c>
      <c r="O41" s="32">
        <f t="shared" si="9"/>
      </c>
    </row>
    <row r="42" spans="2:15" ht="15" hidden="1">
      <c r="B42" s="46"/>
      <c r="C42" s="22"/>
      <c r="D42" s="23"/>
      <c r="E42" s="24"/>
      <c r="F42" s="25"/>
      <c r="G42" s="26">
        <f>$F$16</f>
        <v>100</v>
      </c>
      <c r="H42" s="27">
        <f t="shared" si="6"/>
        <v>0</v>
      </c>
      <c r="I42" s="47"/>
      <c r="J42" s="29"/>
      <c r="K42" s="26">
        <f>$F$16</f>
        <v>100</v>
      </c>
      <c r="L42" s="27">
        <f t="shared" si="7"/>
        <v>0</v>
      </c>
      <c r="M42" s="48"/>
      <c r="N42" s="31">
        <f t="shared" si="8"/>
        <v>0</v>
      </c>
      <c r="O42" s="32">
        <f t="shared" si="9"/>
      </c>
    </row>
    <row r="43" spans="2:15" ht="15">
      <c r="B43" s="49" t="s">
        <v>24</v>
      </c>
      <c r="C43" s="22"/>
      <c r="D43" s="23" t="s">
        <v>61</v>
      </c>
      <c r="E43" s="24"/>
      <c r="F43" s="25">
        <f>0.0001</f>
        <v>0.0001</v>
      </c>
      <c r="G43" s="26">
        <f>$F$16</f>
        <v>100</v>
      </c>
      <c r="H43" s="27">
        <f t="shared" si="6"/>
        <v>0.01</v>
      </c>
      <c r="I43" s="28"/>
      <c r="J43" s="29">
        <f>'[3]Rate Schedule '!$E$12</f>
        <v>0.0001</v>
      </c>
      <c r="K43" s="26">
        <f>$F$16</f>
        <v>100</v>
      </c>
      <c r="L43" s="27">
        <f t="shared" si="7"/>
        <v>0.01</v>
      </c>
      <c r="M43" s="28"/>
      <c r="N43" s="31">
        <f t="shared" si="8"/>
        <v>0</v>
      </c>
      <c r="O43" s="32">
        <f t="shared" si="9"/>
        <v>0</v>
      </c>
    </row>
    <row r="44" spans="2:15" s="34" customFormat="1" ht="15">
      <c r="B44" s="182" t="s">
        <v>25</v>
      </c>
      <c r="C44" s="24"/>
      <c r="D44" s="183" t="s">
        <v>61</v>
      </c>
      <c r="E44" s="24"/>
      <c r="F44" s="184">
        <f>IF(ISBLANK(D14)=TRUE,0,IF(D14="TOU",0.64*$F$54+0.18*$F$55+0.18*$F$56,IF(AND(D14="non-TOU",G58&gt;0),F58,F57)))</f>
        <v>0.08892</v>
      </c>
      <c r="G44" s="26">
        <f>$F$16*(1+$F$73)-$F$16</f>
        <v>2.8599999999999994</v>
      </c>
      <c r="H44" s="185">
        <f t="shared" si="6"/>
        <v>0.25431119999999996</v>
      </c>
      <c r="I44" s="57"/>
      <c r="J44" s="186">
        <f>0.64*$F$54+0.18*$F$55+0.18*$F$56</f>
        <v>0.08892</v>
      </c>
      <c r="K44" s="26">
        <f>$F$16*(1+$J$73)-$F$16</f>
        <v>3.3500000000000085</v>
      </c>
      <c r="L44" s="185">
        <f t="shared" si="7"/>
        <v>0.29788200000000076</v>
      </c>
      <c r="M44" s="57"/>
      <c r="N44" s="187">
        <f t="shared" si="8"/>
        <v>0.0435708000000008</v>
      </c>
      <c r="O44" s="188">
        <f t="shared" si="9"/>
        <v>0.1713286713286745</v>
      </c>
    </row>
    <row r="45" spans="2:15" ht="15">
      <c r="B45" s="49" t="s">
        <v>26</v>
      </c>
      <c r="C45" s="22"/>
      <c r="D45" s="23" t="s">
        <v>60</v>
      </c>
      <c r="E45" s="24"/>
      <c r="F45" s="179">
        <v>0.79</v>
      </c>
      <c r="G45" s="26">
        <v>1</v>
      </c>
      <c r="H45" s="27">
        <f t="shared" si="6"/>
        <v>0.79</v>
      </c>
      <c r="I45" s="28"/>
      <c r="J45" s="179">
        <v>0.79</v>
      </c>
      <c r="K45" s="26">
        <v>1</v>
      </c>
      <c r="L45" s="27">
        <f t="shared" si="7"/>
        <v>0.79</v>
      </c>
      <c r="M45" s="28"/>
      <c r="N45" s="31">
        <f t="shared" si="8"/>
        <v>0</v>
      </c>
      <c r="O45" s="32"/>
    </row>
    <row r="46" spans="2:15" ht="25.5">
      <c r="B46" s="50" t="s">
        <v>27</v>
      </c>
      <c r="C46" s="51"/>
      <c r="D46" s="51"/>
      <c r="E46" s="51"/>
      <c r="F46" s="52"/>
      <c r="G46" s="53"/>
      <c r="H46" s="54">
        <f>SUM(H38:H45)+H37</f>
        <v>15.024311200000001</v>
      </c>
      <c r="I46" s="41"/>
      <c r="J46" s="53"/>
      <c r="K46" s="55"/>
      <c r="L46" s="54">
        <f>SUM(L38:L45)+L37</f>
        <v>21.80424643868196</v>
      </c>
      <c r="M46" s="41"/>
      <c r="N46" s="44">
        <f aca="true" t="shared" si="10" ref="N46:N64">L46-H46</f>
        <v>6.77993523868196</v>
      </c>
      <c r="O46" s="45">
        <f aca="true" t="shared" si="11" ref="O46:O64">IF((H46)=0,"",(N46/H46))</f>
        <v>0.45126429747288244</v>
      </c>
    </row>
    <row r="47" spans="2:15" ht="15">
      <c r="B47" s="28" t="s">
        <v>28</v>
      </c>
      <c r="C47" s="28"/>
      <c r="D47" s="56" t="s">
        <v>61</v>
      </c>
      <c r="E47" s="57"/>
      <c r="F47" s="29">
        <v>0.0062</v>
      </c>
      <c r="G47" s="58">
        <f>F16*(1+F73)</f>
        <v>102.86</v>
      </c>
      <c r="H47" s="27">
        <f>G47*F47</f>
        <v>0.637732</v>
      </c>
      <c r="I47" s="28"/>
      <c r="J47" s="29">
        <f>'[5]13. Final 2014 RTS Rates'!$F$26</f>
        <v>0.006672891733385364</v>
      </c>
      <c r="K47" s="59">
        <f>F16*(1+J73)</f>
        <v>103.35000000000001</v>
      </c>
      <c r="L47" s="27">
        <f>K47*J47</f>
        <v>0.6896433606453775</v>
      </c>
      <c r="M47" s="28"/>
      <c r="N47" s="31">
        <f t="shared" si="10"/>
        <v>0.05191136064537749</v>
      </c>
      <c r="O47" s="32">
        <f t="shared" si="11"/>
        <v>0.0813999621241799</v>
      </c>
    </row>
    <row r="48" spans="2:15" ht="30">
      <c r="B48" s="60" t="s">
        <v>29</v>
      </c>
      <c r="C48" s="28"/>
      <c r="D48" s="56" t="s">
        <v>61</v>
      </c>
      <c r="E48" s="57"/>
      <c r="F48" s="29">
        <v>0.0036</v>
      </c>
      <c r="G48" s="58">
        <f>G47</f>
        <v>102.86</v>
      </c>
      <c r="H48" s="27">
        <f>G48*F48</f>
        <v>0.370296</v>
      </c>
      <c r="I48" s="28"/>
      <c r="J48" s="29">
        <f>'[5]13. Final 2014 RTS Rates'!$H$26</f>
        <v>0.004150792266205902</v>
      </c>
      <c r="K48" s="59">
        <f>K47</f>
        <v>103.35000000000001</v>
      </c>
      <c r="L48" s="27">
        <f>K48*J48</f>
        <v>0.42898438071238004</v>
      </c>
      <c r="M48" s="28"/>
      <c r="N48" s="31">
        <f t="shared" si="10"/>
        <v>0.05868838071238003</v>
      </c>
      <c r="O48" s="32">
        <f t="shared" si="11"/>
        <v>0.15849045280634957</v>
      </c>
    </row>
    <row r="49" spans="2:15" ht="25.5">
      <c r="B49" s="50" t="s">
        <v>30</v>
      </c>
      <c r="C49" s="36"/>
      <c r="D49" s="36"/>
      <c r="E49" s="36"/>
      <c r="F49" s="61"/>
      <c r="G49" s="53"/>
      <c r="H49" s="54">
        <f>SUM(H46:H48)</f>
        <v>16.032339200000003</v>
      </c>
      <c r="I49" s="62"/>
      <c r="J49" s="63"/>
      <c r="K49" s="64"/>
      <c r="L49" s="54">
        <f>SUM(L46:L48)</f>
        <v>22.922874180039717</v>
      </c>
      <c r="M49" s="62"/>
      <c r="N49" s="44">
        <f t="shared" si="10"/>
        <v>6.890534980039714</v>
      </c>
      <c r="O49" s="45">
        <f t="shared" si="11"/>
        <v>0.4297897452194445</v>
      </c>
    </row>
    <row r="50" spans="2:15" ht="30">
      <c r="B50" s="65" t="s">
        <v>31</v>
      </c>
      <c r="C50" s="22"/>
      <c r="D50" s="23" t="s">
        <v>61</v>
      </c>
      <c r="E50" s="24"/>
      <c r="F50" s="66">
        <v>0.0044</v>
      </c>
      <c r="G50" s="58">
        <f>G48</f>
        <v>102.86</v>
      </c>
      <c r="H50" s="67">
        <f aca="true" t="shared" si="12" ref="H50:H56">G50*F50</f>
        <v>0.45258400000000004</v>
      </c>
      <c r="I50" s="28"/>
      <c r="J50" s="68">
        <v>0.0044</v>
      </c>
      <c r="K50" s="59">
        <f>K48</f>
        <v>103.35000000000001</v>
      </c>
      <c r="L50" s="67">
        <f aca="true" t="shared" si="13" ref="L50:L56">K50*J50</f>
        <v>0.4547400000000001</v>
      </c>
      <c r="M50" s="28"/>
      <c r="N50" s="31">
        <f t="shared" si="10"/>
        <v>0.0021560000000000468</v>
      </c>
      <c r="O50" s="69">
        <f t="shared" si="11"/>
        <v>0.0047637565623178165</v>
      </c>
    </row>
    <row r="51" spans="2:15" ht="30">
      <c r="B51" s="65" t="s">
        <v>32</v>
      </c>
      <c r="C51" s="22"/>
      <c r="D51" s="23" t="s">
        <v>61</v>
      </c>
      <c r="E51" s="24"/>
      <c r="F51" s="66">
        <v>0.0012</v>
      </c>
      <c r="G51" s="58">
        <f>G48</f>
        <v>102.86</v>
      </c>
      <c r="H51" s="67">
        <f t="shared" si="12"/>
        <v>0.12343199999999999</v>
      </c>
      <c r="I51" s="28"/>
      <c r="J51" s="68">
        <v>0.0012</v>
      </c>
      <c r="K51" s="59">
        <f>K48</f>
        <v>103.35000000000001</v>
      </c>
      <c r="L51" s="67">
        <f t="shared" si="13"/>
        <v>0.12402</v>
      </c>
      <c r="M51" s="28"/>
      <c r="N51" s="31">
        <f t="shared" si="10"/>
        <v>0.0005880000000000191</v>
      </c>
      <c r="O51" s="69">
        <f t="shared" si="11"/>
        <v>0.0047637565623178686</v>
      </c>
    </row>
    <row r="52" spans="2:15" ht="15">
      <c r="B52" s="22" t="s">
        <v>33</v>
      </c>
      <c r="C52" s="22"/>
      <c r="D52" s="23" t="s">
        <v>60</v>
      </c>
      <c r="E52" s="24"/>
      <c r="F52" s="177">
        <v>0.25</v>
      </c>
      <c r="G52" s="26">
        <v>1</v>
      </c>
      <c r="H52" s="67">
        <f t="shared" si="12"/>
        <v>0.25</v>
      </c>
      <c r="I52" s="28"/>
      <c r="J52" s="178">
        <v>0.25</v>
      </c>
      <c r="K52" s="30">
        <v>1</v>
      </c>
      <c r="L52" s="67">
        <f t="shared" si="13"/>
        <v>0.25</v>
      </c>
      <c r="M52" s="28"/>
      <c r="N52" s="31">
        <f t="shared" si="10"/>
        <v>0</v>
      </c>
      <c r="O52" s="69">
        <f t="shared" si="11"/>
        <v>0</v>
      </c>
    </row>
    <row r="53" spans="2:15" ht="15">
      <c r="B53" s="22" t="s">
        <v>34</v>
      </c>
      <c r="C53" s="22"/>
      <c r="D53" s="23" t="s">
        <v>61</v>
      </c>
      <c r="E53" s="24"/>
      <c r="F53" s="66">
        <v>0.007</v>
      </c>
      <c r="G53" s="70">
        <f>F16</f>
        <v>100</v>
      </c>
      <c r="H53" s="67">
        <f t="shared" si="12"/>
        <v>0.7000000000000001</v>
      </c>
      <c r="I53" s="28"/>
      <c r="J53" s="68">
        <f>0.007</f>
        <v>0.007</v>
      </c>
      <c r="K53" s="71">
        <f>F16</f>
        <v>100</v>
      </c>
      <c r="L53" s="67">
        <f t="shared" si="13"/>
        <v>0.7000000000000001</v>
      </c>
      <c r="M53" s="28"/>
      <c r="N53" s="31">
        <f t="shared" si="10"/>
        <v>0</v>
      </c>
      <c r="O53" s="69">
        <f t="shared" si="11"/>
        <v>0</v>
      </c>
    </row>
    <row r="54" spans="2:19" ht="15">
      <c r="B54" s="49" t="s">
        <v>35</v>
      </c>
      <c r="C54" s="22"/>
      <c r="D54" s="23" t="s">
        <v>61</v>
      </c>
      <c r="E54" s="24"/>
      <c r="F54" s="66">
        <v>0.072</v>
      </c>
      <c r="G54" s="70">
        <f>0.64*$F$16</f>
        <v>64</v>
      </c>
      <c r="H54" s="67">
        <f t="shared" si="12"/>
        <v>4.608</v>
      </c>
      <c r="I54" s="28"/>
      <c r="J54" s="66">
        <v>0.072</v>
      </c>
      <c r="K54" s="70">
        <f>G54</f>
        <v>64</v>
      </c>
      <c r="L54" s="67">
        <f t="shared" si="13"/>
        <v>4.608</v>
      </c>
      <c r="M54" s="28"/>
      <c r="N54" s="31">
        <f t="shared" si="10"/>
        <v>0</v>
      </c>
      <c r="O54" s="69">
        <f t="shared" si="11"/>
        <v>0</v>
      </c>
      <c r="S54" s="73"/>
    </row>
    <row r="55" spans="2:19" ht="15">
      <c r="B55" s="49" t="s">
        <v>36</v>
      </c>
      <c r="C55" s="22"/>
      <c r="D55" s="23" t="s">
        <v>61</v>
      </c>
      <c r="E55" s="24"/>
      <c r="F55" s="66">
        <v>0.109</v>
      </c>
      <c r="G55" s="70">
        <f>0.18*$F$16</f>
        <v>18</v>
      </c>
      <c r="H55" s="67">
        <f t="shared" si="12"/>
        <v>1.962</v>
      </c>
      <c r="I55" s="28"/>
      <c r="J55" s="66">
        <v>0.109</v>
      </c>
      <c r="K55" s="70">
        <f>G55</f>
        <v>18</v>
      </c>
      <c r="L55" s="67">
        <f t="shared" si="13"/>
        <v>1.962</v>
      </c>
      <c r="M55" s="28"/>
      <c r="N55" s="31">
        <f t="shared" si="10"/>
        <v>0</v>
      </c>
      <c r="O55" s="69">
        <f t="shared" si="11"/>
        <v>0</v>
      </c>
      <c r="S55" s="73"/>
    </row>
    <row r="56" spans="2:19" ht="15">
      <c r="B56" s="12" t="s">
        <v>37</v>
      </c>
      <c r="C56" s="22"/>
      <c r="D56" s="23" t="s">
        <v>61</v>
      </c>
      <c r="E56" s="24"/>
      <c r="F56" s="66">
        <v>0.129</v>
      </c>
      <c r="G56" s="70">
        <f>0.18*$F$16</f>
        <v>18</v>
      </c>
      <c r="H56" s="67">
        <f t="shared" si="12"/>
        <v>2.322</v>
      </c>
      <c r="I56" s="28"/>
      <c r="J56" s="66">
        <v>0.129</v>
      </c>
      <c r="K56" s="70">
        <f>G56</f>
        <v>18</v>
      </c>
      <c r="L56" s="67">
        <f t="shared" si="13"/>
        <v>2.322</v>
      </c>
      <c r="M56" s="28"/>
      <c r="N56" s="31">
        <f t="shared" si="10"/>
        <v>0</v>
      </c>
      <c r="O56" s="69">
        <f t="shared" si="11"/>
        <v>0</v>
      </c>
      <c r="S56" s="73"/>
    </row>
    <row r="57" spans="2:15" s="74" customFormat="1" ht="15">
      <c r="B57" s="75" t="s">
        <v>38</v>
      </c>
      <c r="C57" s="76"/>
      <c r="D57" s="77" t="s">
        <v>61</v>
      </c>
      <c r="E57" s="78"/>
      <c r="F57" s="66">
        <v>0.083</v>
      </c>
      <c r="G57" s="79">
        <f>IF(AND($T$1=1,F16&gt;=600),600,IF(AND($T$1=1,AND(F16&lt;600,F16&gt;=0)),F16,IF(AND($T$1=2,F16&gt;=1000),1000,IF(AND($T$1=2,AND(F16&lt;1000,F16&gt;=0)),F16))))</f>
        <v>100</v>
      </c>
      <c r="H57" s="67">
        <f>G57*F57</f>
        <v>8.3</v>
      </c>
      <c r="I57" s="80"/>
      <c r="J57" s="66">
        <v>0.083</v>
      </c>
      <c r="K57" s="79">
        <f>G57</f>
        <v>100</v>
      </c>
      <c r="L57" s="67">
        <f>K57*J57</f>
        <v>8.3</v>
      </c>
      <c r="M57" s="80"/>
      <c r="N57" s="81">
        <f t="shared" si="10"/>
        <v>0</v>
      </c>
      <c r="O57" s="69">
        <f t="shared" si="11"/>
        <v>0</v>
      </c>
    </row>
    <row r="58" spans="2:15" s="74" customFormat="1" ht="15.75" thickBot="1">
      <c r="B58" s="75" t="s">
        <v>39</v>
      </c>
      <c r="C58" s="76"/>
      <c r="D58" s="77" t="s">
        <v>61</v>
      </c>
      <c r="E58" s="78"/>
      <c r="F58" s="66">
        <v>0.097</v>
      </c>
      <c r="G58" s="79">
        <f>IF(AND($T$1=1,F16&gt;=600),F16-600,IF(AND($T$1=1,AND(F16&lt;600,F16&gt;=0)),0,IF(AND($T$1=2,F16&gt;=1000),F16-1000,IF(AND($T$1=2,AND(F16&lt;1000,F16&gt;=0)),0))))</f>
        <v>0</v>
      </c>
      <c r="H58" s="67">
        <f>G58*F58</f>
        <v>0</v>
      </c>
      <c r="I58" s="80"/>
      <c r="J58" s="66">
        <v>0.097</v>
      </c>
      <c r="K58" s="79">
        <f>G58</f>
        <v>0</v>
      </c>
      <c r="L58" s="67">
        <f>K58*J58</f>
        <v>0</v>
      </c>
      <c r="M58" s="80"/>
      <c r="N58" s="81">
        <f t="shared" si="10"/>
        <v>0</v>
      </c>
      <c r="O58" s="69">
        <f t="shared" si="11"/>
      </c>
    </row>
    <row r="59" spans="2:15" ht="8.25" customHeight="1" thickBot="1">
      <c r="B59" s="82"/>
      <c r="C59" s="83"/>
      <c r="D59" s="84"/>
      <c r="E59" s="83"/>
      <c r="F59" s="85"/>
      <c r="G59" s="86"/>
      <c r="H59" s="87"/>
      <c r="I59" s="88"/>
      <c r="J59" s="85"/>
      <c r="K59" s="89"/>
      <c r="L59" s="87"/>
      <c r="M59" s="88"/>
      <c r="N59" s="90"/>
      <c r="O59" s="91"/>
    </row>
    <row r="60" spans="2:19" ht="15">
      <c r="B60" s="92" t="s">
        <v>40</v>
      </c>
      <c r="C60" s="22"/>
      <c r="D60" s="22"/>
      <c r="E60" s="22"/>
      <c r="F60" s="93"/>
      <c r="G60" s="94"/>
      <c r="H60" s="95">
        <f>SUM(H50:H56,H49)</f>
        <v>26.450355200000004</v>
      </c>
      <c r="I60" s="96"/>
      <c r="J60" s="97"/>
      <c r="K60" s="97"/>
      <c r="L60" s="191">
        <f>SUM(L50:L56,L49)</f>
        <v>33.343634180039714</v>
      </c>
      <c r="M60" s="98"/>
      <c r="N60" s="99">
        <f>L60-H60</f>
        <v>6.89327898003971</v>
      </c>
      <c r="O60" s="100">
        <f>IF((H60)=0,"",(N60/H60))</f>
        <v>0.26061196259624175</v>
      </c>
      <c r="S60" s="73"/>
    </row>
    <row r="61" spans="2:19" ht="15">
      <c r="B61" s="101" t="s">
        <v>41</v>
      </c>
      <c r="C61" s="22"/>
      <c r="D61" s="22"/>
      <c r="E61" s="22"/>
      <c r="F61" s="102">
        <v>0.13</v>
      </c>
      <c r="G61" s="103"/>
      <c r="H61" s="104">
        <f>H60*F61</f>
        <v>3.4385461760000005</v>
      </c>
      <c r="I61" s="105"/>
      <c r="J61" s="106">
        <v>0.13</v>
      </c>
      <c r="K61" s="105"/>
      <c r="L61" s="107">
        <f>L60*J61</f>
        <v>4.334672443405163</v>
      </c>
      <c r="M61" s="108"/>
      <c r="N61" s="109">
        <f t="shared" si="10"/>
        <v>0.8961262674051622</v>
      </c>
      <c r="O61" s="110">
        <f t="shared" si="11"/>
        <v>0.26061196259624175</v>
      </c>
      <c r="S61" s="73"/>
    </row>
    <row r="62" spans="2:19" ht="15">
      <c r="B62" s="111" t="s">
        <v>42</v>
      </c>
      <c r="C62" s="22"/>
      <c r="D62" s="22"/>
      <c r="E62" s="22"/>
      <c r="F62" s="112"/>
      <c r="G62" s="103"/>
      <c r="H62" s="104">
        <f>H60+H61</f>
        <v>29.888901376000003</v>
      </c>
      <c r="I62" s="105"/>
      <c r="J62" s="105"/>
      <c r="K62" s="105"/>
      <c r="L62" s="107">
        <f>L60+L61</f>
        <v>37.678306623444875</v>
      </c>
      <c r="M62" s="108"/>
      <c r="N62" s="109">
        <f t="shared" si="10"/>
        <v>7.789405247444872</v>
      </c>
      <c r="O62" s="110">
        <f t="shared" si="11"/>
        <v>0.26061196259624175</v>
      </c>
      <c r="S62" s="73"/>
    </row>
    <row r="63" spans="2:15" ht="15.75" customHeight="1">
      <c r="B63" s="251" t="s">
        <v>43</v>
      </c>
      <c r="C63" s="251"/>
      <c r="D63" s="251"/>
      <c r="E63" s="22"/>
      <c r="F63" s="112"/>
      <c r="G63" s="103"/>
      <c r="H63" s="113">
        <f>ROUND(-H62*10%,2)</f>
        <v>-2.99</v>
      </c>
      <c r="I63" s="105"/>
      <c r="J63" s="105"/>
      <c r="K63" s="105"/>
      <c r="L63" s="114">
        <f>ROUND(-L62*10%,2)</f>
        <v>-3.77</v>
      </c>
      <c r="M63" s="108"/>
      <c r="N63" s="115">
        <f t="shared" si="10"/>
        <v>-0.7799999999999998</v>
      </c>
      <c r="O63" s="116">
        <f t="shared" si="11"/>
        <v>0.26086956521739124</v>
      </c>
    </row>
    <row r="64" spans="2:15" ht="15.75" thickBot="1">
      <c r="B64" s="233" t="s">
        <v>44</v>
      </c>
      <c r="C64" s="233"/>
      <c r="D64" s="233"/>
      <c r="E64" s="117"/>
      <c r="F64" s="118"/>
      <c r="G64" s="119"/>
      <c r="H64" s="120">
        <f>H62+H63</f>
        <v>26.898901376000005</v>
      </c>
      <c r="I64" s="121"/>
      <c r="J64" s="121"/>
      <c r="K64" s="121"/>
      <c r="L64" s="122">
        <f>L62+L63</f>
        <v>33.90830662344487</v>
      </c>
      <c r="M64" s="123"/>
      <c r="N64" s="124">
        <f t="shared" si="10"/>
        <v>7.009405247444867</v>
      </c>
      <c r="O64" s="125">
        <f t="shared" si="11"/>
        <v>0.26058332827298536</v>
      </c>
    </row>
    <row r="65" spans="2:15" s="74" customFormat="1" ht="8.25" customHeight="1" thickBot="1">
      <c r="B65" s="126"/>
      <c r="C65" s="127"/>
      <c r="D65" s="128"/>
      <c r="E65" s="127"/>
      <c r="F65" s="85"/>
      <c r="G65" s="129"/>
      <c r="H65" s="87"/>
      <c r="I65" s="130"/>
      <c r="J65" s="85"/>
      <c r="K65" s="131"/>
      <c r="L65" s="87"/>
      <c r="M65" s="130"/>
      <c r="N65" s="132"/>
      <c r="O65" s="91"/>
    </row>
    <row r="66" spans="2:15" s="74" customFormat="1" ht="12.75">
      <c r="B66" s="133" t="s">
        <v>45</v>
      </c>
      <c r="C66" s="76"/>
      <c r="D66" s="76"/>
      <c r="E66" s="76"/>
      <c r="F66" s="134"/>
      <c r="G66" s="135"/>
      <c r="H66" s="136">
        <f>SUM(H57:H58,H49,H50:H53)</f>
        <v>25.858355200000005</v>
      </c>
      <c r="I66" s="137"/>
      <c r="J66" s="138"/>
      <c r="K66" s="138"/>
      <c r="L66" s="190">
        <f>SUM(L57:L58,L49,L50:L53)</f>
        <v>32.75163418003972</v>
      </c>
      <c r="M66" s="139"/>
      <c r="N66" s="140">
        <f>L66-H66</f>
        <v>6.893278980039717</v>
      </c>
      <c r="O66" s="100">
        <f>IF((H66)=0,"",(N66/H66))</f>
        <v>0.26657840093555973</v>
      </c>
    </row>
    <row r="67" spans="2:15" s="74" customFormat="1" ht="12.75">
      <c r="B67" s="141" t="s">
        <v>41</v>
      </c>
      <c r="C67" s="76"/>
      <c r="D67" s="76"/>
      <c r="E67" s="76"/>
      <c r="F67" s="142">
        <v>0.13</v>
      </c>
      <c r="G67" s="135"/>
      <c r="H67" s="143">
        <f>H66*F67</f>
        <v>3.3615861760000008</v>
      </c>
      <c r="I67" s="144"/>
      <c r="J67" s="145">
        <v>0.13</v>
      </c>
      <c r="K67" s="146"/>
      <c r="L67" s="147">
        <f>L66*J67</f>
        <v>4.257712443405164</v>
      </c>
      <c r="M67" s="148"/>
      <c r="N67" s="149">
        <f>L67-H67</f>
        <v>0.8961262674051631</v>
      </c>
      <c r="O67" s="110">
        <f>IF((H67)=0,"",(N67/H67))</f>
        <v>0.2665784009355597</v>
      </c>
    </row>
    <row r="68" spans="2:15" s="74" customFormat="1" ht="12.75">
      <c r="B68" s="150" t="s">
        <v>42</v>
      </c>
      <c r="C68" s="76"/>
      <c r="D68" s="76"/>
      <c r="E68" s="76"/>
      <c r="F68" s="151"/>
      <c r="G68" s="152"/>
      <c r="H68" s="143">
        <f>H66+H67</f>
        <v>29.219941376000005</v>
      </c>
      <c r="I68" s="144"/>
      <c r="J68" s="144"/>
      <c r="K68" s="144"/>
      <c r="L68" s="147">
        <f>L66+L67</f>
        <v>37.009346623444884</v>
      </c>
      <c r="M68" s="148"/>
      <c r="N68" s="149">
        <f>L68-H68</f>
        <v>7.789405247444879</v>
      </c>
      <c r="O68" s="110">
        <f>IF((H68)=0,"",(N68/H68))</f>
        <v>0.2665784009355597</v>
      </c>
    </row>
    <row r="69" spans="2:15" s="74" customFormat="1" ht="15.75" customHeight="1">
      <c r="B69" s="239" t="s">
        <v>43</v>
      </c>
      <c r="C69" s="239"/>
      <c r="D69" s="239"/>
      <c r="E69" s="76"/>
      <c r="F69" s="151"/>
      <c r="G69" s="152"/>
      <c r="H69" s="153">
        <f>ROUND(-H68*10%,2)</f>
        <v>-2.92</v>
      </c>
      <c r="I69" s="144"/>
      <c r="J69" s="144"/>
      <c r="K69" s="144"/>
      <c r="L69" s="154">
        <f>ROUND(-L68*10%,2)</f>
        <v>-3.7</v>
      </c>
      <c r="M69" s="148"/>
      <c r="N69" s="155">
        <f>L69-H69</f>
        <v>-0.7800000000000002</v>
      </c>
      <c r="O69" s="116">
        <f>IF((H69)=0,"",(N69/H69))</f>
        <v>0.26712328767123295</v>
      </c>
    </row>
    <row r="70" spans="2:15" s="74" customFormat="1" ht="13.5" thickBot="1">
      <c r="B70" s="244" t="s">
        <v>46</v>
      </c>
      <c r="C70" s="244"/>
      <c r="D70" s="244"/>
      <c r="E70" s="156"/>
      <c r="F70" s="157"/>
      <c r="G70" s="158"/>
      <c r="H70" s="159">
        <f>SUM(H68:H69)</f>
        <v>26.299941376000007</v>
      </c>
      <c r="I70" s="160"/>
      <c r="J70" s="160"/>
      <c r="K70" s="160"/>
      <c r="L70" s="161">
        <f>SUM(L68:L69)</f>
        <v>33.30934662344488</v>
      </c>
      <c r="M70" s="162"/>
      <c r="N70" s="163">
        <f>L70-H70</f>
        <v>7.0094052474448745</v>
      </c>
      <c r="O70" s="164">
        <f>IF((H70)=0,"",(N70/H70))</f>
        <v>0.26651790387036006</v>
      </c>
    </row>
    <row r="71" spans="2:15" s="74" customFormat="1" ht="8.25" customHeight="1" thickBot="1">
      <c r="B71" s="126"/>
      <c r="C71" s="127"/>
      <c r="D71" s="128"/>
      <c r="E71" s="127"/>
      <c r="F71" s="165"/>
      <c r="G71" s="166"/>
      <c r="H71" s="167"/>
      <c r="I71" s="168"/>
      <c r="J71" s="165"/>
      <c r="K71" s="129"/>
      <c r="L71" s="169"/>
      <c r="M71" s="130"/>
      <c r="N71" s="170"/>
      <c r="O71" s="91"/>
    </row>
    <row r="72" ht="10.5" customHeight="1">
      <c r="L72" s="73"/>
    </row>
    <row r="73" spans="2:10" ht="15">
      <c r="B73" s="13" t="s">
        <v>47</v>
      </c>
      <c r="F73" s="171">
        <v>0.0286</v>
      </c>
      <c r="J73" s="171">
        <v>0.0335</v>
      </c>
    </row>
    <row r="74" ht="10.5" customHeight="1"/>
    <row r="75" ht="15">
      <c r="A75" s="172" t="s">
        <v>48</v>
      </c>
    </row>
    <row r="76" ht="10.5" customHeight="1"/>
    <row r="77" ht="15">
      <c r="A77" s="7" t="s">
        <v>49</v>
      </c>
    </row>
    <row r="78" ht="15">
      <c r="A78" s="7" t="s">
        <v>50</v>
      </c>
    </row>
    <row r="80" ht="15">
      <c r="A80" s="12" t="s">
        <v>51</v>
      </c>
    </row>
    <row r="81" ht="15">
      <c r="A81" s="12" t="s">
        <v>52</v>
      </c>
    </row>
    <row r="83" ht="15">
      <c r="A83" s="7" t="s">
        <v>53</v>
      </c>
    </row>
    <row r="84" ht="15">
      <c r="A84" s="7" t="s">
        <v>54</v>
      </c>
    </row>
    <row r="85" ht="15">
      <c r="A85" s="7" t="s">
        <v>55</v>
      </c>
    </row>
    <row r="86" ht="15">
      <c r="A86" s="7" t="s">
        <v>56</v>
      </c>
    </row>
    <row r="87" ht="15">
      <c r="A87" s="7" t="s">
        <v>57</v>
      </c>
    </row>
    <row r="89" spans="1:2" ht="15">
      <c r="A89" s="173"/>
      <c r="B89" s="7" t="s">
        <v>58</v>
      </c>
    </row>
  </sheetData>
  <sheetProtection/>
  <mergeCells count="17">
    <mergeCell ref="B69:D69"/>
    <mergeCell ref="D12:O12"/>
    <mergeCell ref="F18:H18"/>
    <mergeCell ref="J18:L18"/>
    <mergeCell ref="N18:O18"/>
    <mergeCell ref="B70:D70"/>
    <mergeCell ref="D19:D20"/>
    <mergeCell ref="N19:N20"/>
    <mergeCell ref="O19:O20"/>
    <mergeCell ref="B63:D63"/>
    <mergeCell ref="B64:D64"/>
    <mergeCell ref="N1:O1"/>
    <mergeCell ref="N2:O2"/>
    <mergeCell ref="N3:O3"/>
    <mergeCell ref="N5:O5"/>
    <mergeCell ref="B8:O8"/>
    <mergeCell ref="B9:O9"/>
  </mergeCells>
  <dataValidations count="4">
    <dataValidation type="list" allowBlank="1" showInputMessage="1" showErrorMessage="1" sqref="D14">
      <formula1>"TOU, non-TOU"</formula1>
    </dataValidation>
    <dataValidation type="list" allowBlank="1" showInputMessage="1" showErrorMessage="1" sqref="E71 E65 E57:E58">
      <formula1>'Res (100kWh)'!#REF!</formula1>
    </dataValidation>
    <dataValidation type="list" allowBlank="1" showInputMessage="1" showErrorMessage="1" prompt="Select Charge Unit - monthly, per kWh, per kW" sqref="D47:D48 D65 D71 D50:D59 D38:D45 D21:D36">
      <formula1>"Monthly, per kWh, per kW"</formula1>
    </dataValidation>
    <dataValidation type="list" allowBlank="1" showInputMessage="1" showErrorMessage="1" sqref="E47:E48 E50:E56 E59 E38:E45 E21:E36">
      <formula1>'Res (100kWh)'!#REF!</formula1>
    </dataValidation>
  </dataValidations>
  <printOptions/>
  <pageMargins left="0.7" right="0.7" top="0.75" bottom="0.75" header="0.3" footer="0.3"/>
  <pageSetup fitToHeight="0" fitToWidth="1" horizontalDpi="600" verticalDpi="600" orientation="portrait" scale="5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9"/>
  <sheetViews>
    <sheetView showGridLines="0" zoomScalePageLayoutView="0" workbookViewId="0" topLeftCell="A1">
      <selection activeCell="I3" sqref="I3"/>
    </sheetView>
  </sheetViews>
  <sheetFormatPr defaultColWidth="9.140625" defaultRowHeight="15"/>
  <cols>
    <col min="1" max="1" width="2.140625" style="7" customWidth="1"/>
    <col min="2" max="2" width="44.57421875" style="7" customWidth="1"/>
    <col min="3" max="3" width="1.28515625" style="7" customWidth="1"/>
    <col min="4" max="4" width="11.28125" style="7" customWidth="1"/>
    <col min="5" max="5" width="1.28515625" style="7" customWidth="1"/>
    <col min="6" max="6" width="12.28125" style="7" customWidth="1"/>
    <col min="7" max="7" width="8.57421875" style="7" customWidth="1"/>
    <col min="8" max="8" width="9.7109375" style="7" customWidth="1"/>
    <col min="9" max="9" width="2.8515625" style="7" customWidth="1"/>
    <col min="10" max="10" width="12.140625" style="7" customWidth="1"/>
    <col min="11" max="11" width="8.57421875" style="7" customWidth="1"/>
    <col min="12" max="12" width="9.7109375" style="7" customWidth="1"/>
    <col min="13" max="13" width="2.8515625" style="7" customWidth="1"/>
    <col min="14" max="14" width="12.7109375" style="7" bestFit="1" customWidth="1"/>
    <col min="15" max="15" width="10.8515625" style="7" bestFit="1" customWidth="1"/>
    <col min="16" max="16" width="10.57421875" style="7" customWidth="1"/>
    <col min="17" max="20" width="9.140625" style="7" customWidth="1"/>
    <col min="21" max="16384" width="9.140625" style="7" customWidth="1"/>
  </cols>
  <sheetData>
    <row r="1" spans="1:20" s="2" customFormat="1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234" t="str">
        <f>EBNUMBER</f>
        <v>EB-2013-0116</v>
      </c>
      <c r="O1" s="234"/>
      <c r="P1" s="195"/>
      <c r="T1" s="2">
        <v>1</v>
      </c>
    </row>
    <row r="2" spans="1:16" s="2" customFormat="1" ht="1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110</v>
      </c>
      <c r="N2" s="235" t="s">
        <v>111</v>
      </c>
      <c r="O2" s="235"/>
      <c r="P2" s="196"/>
    </row>
    <row r="3" spans="3:16" s="2" customFormat="1" ht="15" customHeight="1">
      <c r="C3" s="6"/>
      <c r="D3" s="6"/>
      <c r="E3" s="6"/>
      <c r="L3" s="3" t="s">
        <v>78</v>
      </c>
      <c r="N3" s="236" t="s">
        <v>88</v>
      </c>
      <c r="O3" s="236"/>
      <c r="P3" s="195"/>
    </row>
    <row r="4" spans="12:16" s="2" customFormat="1" ht="9" customHeight="1">
      <c r="L4" s="3"/>
      <c r="N4" s="252"/>
      <c r="O4" s="252"/>
      <c r="P4" s="197"/>
    </row>
    <row r="5" spans="12:16" s="2" customFormat="1" ht="15">
      <c r="L5" s="3" t="s">
        <v>100</v>
      </c>
      <c r="N5" s="237">
        <v>41695</v>
      </c>
      <c r="O5" s="237"/>
      <c r="P5" s="198"/>
    </row>
    <row r="6" spans="14:16" s="2" customFormat="1" ht="15" customHeight="1">
      <c r="N6" s="7"/>
      <c r="O6"/>
      <c r="P6"/>
    </row>
    <row r="7" spans="12:16" ht="7.5" customHeight="1">
      <c r="L7"/>
      <c r="M7"/>
      <c r="N7"/>
      <c r="O7"/>
      <c r="P7"/>
    </row>
    <row r="8" spans="2:16" ht="18.75" customHeight="1">
      <c r="B8" s="238" t="s">
        <v>1</v>
      </c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/>
    </row>
    <row r="9" spans="2:16" ht="18.75" customHeight="1">
      <c r="B9" s="238" t="s">
        <v>2</v>
      </c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/>
    </row>
    <row r="10" spans="12:16" ht="7.5" customHeight="1">
      <c r="L10"/>
      <c r="M10"/>
      <c r="N10"/>
      <c r="O10"/>
      <c r="P10"/>
    </row>
    <row r="11" spans="12:16" ht="7.5" customHeight="1">
      <c r="L11"/>
      <c r="M11"/>
      <c r="N11"/>
      <c r="O11"/>
      <c r="P11"/>
    </row>
    <row r="12" spans="2:15" ht="15.75">
      <c r="B12" s="8" t="s">
        <v>3</v>
      </c>
      <c r="D12" s="240" t="s">
        <v>67</v>
      </c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</row>
    <row r="13" spans="2:15" ht="7.5" customHeight="1">
      <c r="B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2:15" ht="15.75">
      <c r="B14" s="8" t="s">
        <v>4</v>
      </c>
      <c r="D14" s="11" t="s">
        <v>5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2:15" ht="15.75">
      <c r="B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2:7" ht="15">
      <c r="B16" s="12"/>
      <c r="D16" s="13" t="s">
        <v>6</v>
      </c>
      <c r="E16" s="13"/>
      <c r="F16" s="14">
        <v>5000</v>
      </c>
      <c r="G16" s="13" t="s">
        <v>7</v>
      </c>
    </row>
    <row r="17" ht="15">
      <c r="B17" s="12"/>
    </row>
    <row r="18" spans="2:15" ht="15">
      <c r="B18" s="12"/>
      <c r="D18" s="15"/>
      <c r="E18" s="15"/>
      <c r="F18" s="241" t="s">
        <v>8</v>
      </c>
      <c r="G18" s="242"/>
      <c r="H18" s="243"/>
      <c r="J18" s="241" t="s">
        <v>9</v>
      </c>
      <c r="K18" s="242"/>
      <c r="L18" s="243"/>
      <c r="N18" s="241" t="s">
        <v>10</v>
      </c>
      <c r="O18" s="243"/>
    </row>
    <row r="19" spans="2:15" ht="15">
      <c r="B19" s="12"/>
      <c r="D19" s="245" t="s">
        <v>11</v>
      </c>
      <c r="E19" s="16"/>
      <c r="F19" s="17" t="s">
        <v>12</v>
      </c>
      <c r="G19" s="17" t="s">
        <v>13</v>
      </c>
      <c r="H19" s="18" t="s">
        <v>14</v>
      </c>
      <c r="J19" s="17" t="s">
        <v>12</v>
      </c>
      <c r="K19" s="19" t="s">
        <v>13</v>
      </c>
      <c r="L19" s="18" t="s">
        <v>14</v>
      </c>
      <c r="N19" s="247" t="s">
        <v>15</v>
      </c>
      <c r="O19" s="249" t="s">
        <v>16</v>
      </c>
    </row>
    <row r="20" spans="2:15" ht="15">
      <c r="B20" s="12"/>
      <c r="D20" s="246"/>
      <c r="E20" s="16"/>
      <c r="F20" s="20" t="s">
        <v>17</v>
      </c>
      <c r="G20" s="20"/>
      <c r="H20" s="21" t="s">
        <v>17</v>
      </c>
      <c r="J20" s="20" t="s">
        <v>17</v>
      </c>
      <c r="K20" s="21"/>
      <c r="L20" s="21" t="s">
        <v>17</v>
      </c>
      <c r="N20" s="248"/>
      <c r="O20" s="250"/>
    </row>
    <row r="21" spans="2:15" ht="22.5" customHeight="1">
      <c r="B21" s="22" t="s">
        <v>18</v>
      </c>
      <c r="C21" s="22"/>
      <c r="D21" s="23" t="s">
        <v>60</v>
      </c>
      <c r="E21" s="24"/>
      <c r="F21" s="175">
        <f>'[2]2013 Existing Rates'!$C$7</f>
        <v>11.92</v>
      </c>
      <c r="G21" s="26">
        <v>1</v>
      </c>
      <c r="H21" s="27">
        <f>G21*F21</f>
        <v>11.92</v>
      </c>
      <c r="I21" s="28"/>
      <c r="J21" s="174">
        <f>'[3]Rate Schedule '!$E$16</f>
        <v>25.58</v>
      </c>
      <c r="K21" s="30">
        <v>1</v>
      </c>
      <c r="L21" s="27">
        <f>K21*J21</f>
        <v>25.58</v>
      </c>
      <c r="M21" s="28"/>
      <c r="N21" s="31">
        <f>L21-H21</f>
        <v>13.659999999999998</v>
      </c>
      <c r="O21" s="32">
        <f>IF((H21)=0,"",(N21/H21))</f>
        <v>1.1459731543624159</v>
      </c>
    </row>
    <row r="22" spans="2:15" ht="36.75" customHeight="1">
      <c r="B22" s="65" t="s">
        <v>62</v>
      </c>
      <c r="C22" s="22"/>
      <c r="D22" s="56" t="s">
        <v>60</v>
      </c>
      <c r="E22" s="24"/>
      <c r="F22" s="174">
        <v>4.89</v>
      </c>
      <c r="G22" s="26">
        <v>1</v>
      </c>
      <c r="H22" s="27">
        <f aca="true" t="shared" si="0" ref="H22:H36">G22*F22</f>
        <v>4.89</v>
      </c>
      <c r="I22" s="28"/>
      <c r="J22" s="29"/>
      <c r="K22" s="30">
        <v>1</v>
      </c>
      <c r="L22" s="27">
        <f>K22*J22</f>
        <v>0</v>
      </c>
      <c r="M22" s="28"/>
      <c r="N22" s="31">
        <f>L22-H22</f>
        <v>-4.89</v>
      </c>
      <c r="O22" s="32">
        <f>IF((H22)=0,"",(N22/H22))</f>
        <v>-1</v>
      </c>
    </row>
    <row r="23" spans="2:15" ht="36.75" customHeight="1">
      <c r="B23" s="176" t="s">
        <v>63</v>
      </c>
      <c r="C23" s="22"/>
      <c r="D23" s="56" t="s">
        <v>60</v>
      </c>
      <c r="E23" s="57"/>
      <c r="F23" s="174">
        <v>6.2</v>
      </c>
      <c r="G23" s="26">
        <v>1</v>
      </c>
      <c r="H23" s="27">
        <f t="shared" si="0"/>
        <v>6.2</v>
      </c>
      <c r="I23" s="28"/>
      <c r="J23" s="29"/>
      <c r="K23" s="30">
        <v>1</v>
      </c>
      <c r="L23" s="27">
        <f aca="true" t="shared" si="1" ref="L23:L36">K23*J23</f>
        <v>0</v>
      </c>
      <c r="M23" s="28"/>
      <c r="N23" s="31">
        <f aca="true" t="shared" si="2" ref="N23:N64">L23-H23</f>
        <v>-6.2</v>
      </c>
      <c r="O23" s="32">
        <f aca="true" t="shared" si="3" ref="O23:O44">IF((H23)=0,"",(N23/H23))</f>
        <v>-1</v>
      </c>
    </row>
    <row r="24" spans="2:15" ht="15">
      <c r="B24" s="176" t="s">
        <v>64</v>
      </c>
      <c r="C24" s="22"/>
      <c r="D24" s="23" t="s">
        <v>60</v>
      </c>
      <c r="E24" s="24"/>
      <c r="F24" s="25"/>
      <c r="G24" s="26">
        <v>1</v>
      </c>
      <c r="H24" s="27">
        <f t="shared" si="0"/>
        <v>0</v>
      </c>
      <c r="I24" s="28"/>
      <c r="J24" s="174">
        <v>10.02</v>
      </c>
      <c r="K24" s="30">
        <v>1</v>
      </c>
      <c r="L24" s="27">
        <f t="shared" si="1"/>
        <v>10.02</v>
      </c>
      <c r="M24" s="28"/>
      <c r="N24" s="31">
        <f t="shared" si="2"/>
        <v>10.02</v>
      </c>
      <c r="O24" s="32">
        <f t="shared" si="3"/>
      </c>
    </row>
    <row r="25" spans="2:15" ht="15">
      <c r="B25" s="46" t="s">
        <v>65</v>
      </c>
      <c r="C25" s="22"/>
      <c r="D25" s="23" t="s">
        <v>61</v>
      </c>
      <c r="E25" s="24"/>
      <c r="F25" s="25">
        <v>-0.0001</v>
      </c>
      <c r="G25" s="26">
        <f>$F$16</f>
        <v>5000</v>
      </c>
      <c r="H25" s="27">
        <f t="shared" si="0"/>
        <v>-0.5</v>
      </c>
      <c r="I25" s="28"/>
      <c r="J25" s="174"/>
      <c r="K25" s="26">
        <f>$F$16</f>
        <v>5000</v>
      </c>
      <c r="L25" s="27">
        <f t="shared" si="1"/>
        <v>0</v>
      </c>
      <c r="M25" s="28"/>
      <c r="N25" s="31">
        <f t="shared" si="2"/>
        <v>0.5</v>
      </c>
      <c r="O25" s="32">
        <f t="shared" si="3"/>
        <v>-1</v>
      </c>
    </row>
    <row r="26" spans="2:15" ht="15">
      <c r="B26" s="46" t="s">
        <v>66</v>
      </c>
      <c r="C26" s="22"/>
      <c r="D26" s="23" t="s">
        <v>61</v>
      </c>
      <c r="E26" s="24"/>
      <c r="F26" s="25"/>
      <c r="G26" s="26">
        <f>$F$16</f>
        <v>5000</v>
      </c>
      <c r="H26" s="27">
        <f t="shared" si="0"/>
        <v>0</v>
      </c>
      <c r="I26" s="28"/>
      <c r="J26" s="29">
        <f>'[4]6. Rate Rider Calculations'!$F$76</f>
        <v>-0.0023955525753637957</v>
      </c>
      <c r="K26" s="26">
        <f>$F$16</f>
        <v>5000</v>
      </c>
      <c r="L26" s="27">
        <f t="shared" si="1"/>
        <v>-11.977762876818979</v>
      </c>
      <c r="M26" s="28"/>
      <c r="N26" s="31">
        <f t="shared" si="2"/>
        <v>-11.977762876818979</v>
      </c>
      <c r="O26" s="32">
        <f t="shared" si="3"/>
      </c>
    </row>
    <row r="27" spans="2:15" ht="15">
      <c r="B27" s="22" t="s">
        <v>19</v>
      </c>
      <c r="C27" s="22"/>
      <c r="D27" s="23" t="s">
        <v>61</v>
      </c>
      <c r="E27" s="24"/>
      <c r="F27" s="25">
        <f>'[2]2013 Existing Rates'!$E$7</f>
        <v>0.0127</v>
      </c>
      <c r="G27" s="26">
        <f>$F$16</f>
        <v>5000</v>
      </c>
      <c r="H27" s="27">
        <f t="shared" si="0"/>
        <v>63.5</v>
      </c>
      <c r="I27" s="28"/>
      <c r="J27" s="29">
        <f>'[3]Rate Schedule '!$E$17</f>
        <v>0.0104</v>
      </c>
      <c r="K27" s="26">
        <f>$F$16</f>
        <v>5000</v>
      </c>
      <c r="L27" s="27">
        <f t="shared" si="1"/>
        <v>52</v>
      </c>
      <c r="M27" s="28"/>
      <c r="N27" s="31">
        <f t="shared" si="2"/>
        <v>-11.5</v>
      </c>
      <c r="O27" s="32">
        <f t="shared" si="3"/>
        <v>-0.18110236220472442</v>
      </c>
    </row>
    <row r="28" spans="2:15" ht="15" hidden="1">
      <c r="B28" s="22" t="s">
        <v>20</v>
      </c>
      <c r="C28" s="22"/>
      <c r="D28" s="23"/>
      <c r="E28" s="24"/>
      <c r="F28" s="25"/>
      <c r="G28" s="26">
        <f>$F$16</f>
        <v>5000</v>
      </c>
      <c r="H28" s="27">
        <f t="shared" si="0"/>
        <v>0</v>
      </c>
      <c r="I28" s="28"/>
      <c r="J28" s="29"/>
      <c r="K28" s="26">
        <f aca="true" t="shared" si="4" ref="K28:K36">$F$16</f>
        <v>5000</v>
      </c>
      <c r="L28" s="27">
        <f t="shared" si="1"/>
        <v>0</v>
      </c>
      <c r="M28" s="28"/>
      <c r="N28" s="31">
        <f t="shared" si="2"/>
        <v>0</v>
      </c>
      <c r="O28" s="32">
        <f t="shared" si="3"/>
      </c>
    </row>
    <row r="29" spans="2:15" ht="15" hidden="1">
      <c r="B29" s="22" t="s">
        <v>21</v>
      </c>
      <c r="C29" s="22"/>
      <c r="D29" s="23"/>
      <c r="E29" s="24"/>
      <c r="F29" s="25"/>
      <c r="G29" s="26">
        <f>$F$16</f>
        <v>5000</v>
      </c>
      <c r="H29" s="27">
        <f t="shared" si="0"/>
        <v>0</v>
      </c>
      <c r="I29" s="28"/>
      <c r="J29" s="29"/>
      <c r="K29" s="26">
        <f t="shared" si="4"/>
        <v>5000</v>
      </c>
      <c r="L29" s="27">
        <f t="shared" si="1"/>
        <v>0</v>
      </c>
      <c r="M29" s="28"/>
      <c r="N29" s="31">
        <f t="shared" si="2"/>
        <v>0</v>
      </c>
      <c r="O29" s="32">
        <f t="shared" si="3"/>
      </c>
    </row>
    <row r="30" spans="2:15" ht="15" hidden="1">
      <c r="B30" s="33"/>
      <c r="C30" s="22"/>
      <c r="D30" s="23"/>
      <c r="E30" s="24"/>
      <c r="F30" s="25"/>
      <c r="G30" s="26">
        <f aca="true" t="shared" si="5" ref="G30:G36">$F$16</f>
        <v>5000</v>
      </c>
      <c r="H30" s="27">
        <f t="shared" si="0"/>
        <v>0</v>
      </c>
      <c r="I30" s="28"/>
      <c r="J30" s="29"/>
      <c r="K30" s="26">
        <f t="shared" si="4"/>
        <v>5000</v>
      </c>
      <c r="L30" s="27">
        <f t="shared" si="1"/>
        <v>0</v>
      </c>
      <c r="M30" s="28"/>
      <c r="N30" s="31">
        <f t="shared" si="2"/>
        <v>0</v>
      </c>
      <c r="O30" s="32">
        <f t="shared" si="3"/>
      </c>
    </row>
    <row r="31" spans="2:15" ht="15" hidden="1">
      <c r="B31" s="33"/>
      <c r="C31" s="22"/>
      <c r="D31" s="23"/>
      <c r="E31" s="24"/>
      <c r="F31" s="25"/>
      <c r="G31" s="26">
        <f t="shared" si="5"/>
        <v>5000</v>
      </c>
      <c r="H31" s="27">
        <f t="shared" si="0"/>
        <v>0</v>
      </c>
      <c r="I31" s="28"/>
      <c r="J31" s="29"/>
      <c r="K31" s="26">
        <f t="shared" si="4"/>
        <v>5000</v>
      </c>
      <c r="L31" s="27">
        <f t="shared" si="1"/>
        <v>0</v>
      </c>
      <c r="M31" s="28"/>
      <c r="N31" s="31">
        <f t="shared" si="2"/>
        <v>0</v>
      </c>
      <c r="O31" s="32">
        <f t="shared" si="3"/>
      </c>
    </row>
    <row r="32" spans="2:15" ht="15" hidden="1">
      <c r="B32" s="33"/>
      <c r="C32" s="22"/>
      <c r="D32" s="23"/>
      <c r="E32" s="24"/>
      <c r="F32" s="25"/>
      <c r="G32" s="26">
        <f t="shared" si="5"/>
        <v>5000</v>
      </c>
      <c r="H32" s="27">
        <f t="shared" si="0"/>
        <v>0</v>
      </c>
      <c r="I32" s="28"/>
      <c r="J32" s="29"/>
      <c r="K32" s="26">
        <f t="shared" si="4"/>
        <v>5000</v>
      </c>
      <c r="L32" s="27">
        <f t="shared" si="1"/>
        <v>0</v>
      </c>
      <c r="M32" s="28"/>
      <c r="N32" s="31">
        <f t="shared" si="2"/>
        <v>0</v>
      </c>
      <c r="O32" s="32">
        <f t="shared" si="3"/>
      </c>
    </row>
    <row r="33" spans="2:15" ht="15" hidden="1">
      <c r="B33" s="33"/>
      <c r="C33" s="22"/>
      <c r="D33" s="23"/>
      <c r="E33" s="24"/>
      <c r="F33" s="25"/>
      <c r="G33" s="26">
        <f t="shared" si="5"/>
        <v>5000</v>
      </c>
      <c r="H33" s="27">
        <f t="shared" si="0"/>
        <v>0</v>
      </c>
      <c r="I33" s="28"/>
      <c r="J33" s="29"/>
      <c r="K33" s="26">
        <f t="shared" si="4"/>
        <v>5000</v>
      </c>
      <c r="L33" s="27">
        <f t="shared" si="1"/>
        <v>0</v>
      </c>
      <c r="M33" s="28"/>
      <c r="N33" s="31">
        <f t="shared" si="2"/>
        <v>0</v>
      </c>
      <c r="O33" s="32">
        <f t="shared" si="3"/>
      </c>
    </row>
    <row r="34" spans="2:15" ht="15" hidden="1">
      <c r="B34" s="33"/>
      <c r="C34" s="22"/>
      <c r="D34" s="23"/>
      <c r="E34" s="24"/>
      <c r="F34" s="25"/>
      <c r="G34" s="26">
        <f t="shared" si="5"/>
        <v>5000</v>
      </c>
      <c r="H34" s="27">
        <f t="shared" si="0"/>
        <v>0</v>
      </c>
      <c r="I34" s="28"/>
      <c r="J34" s="29"/>
      <c r="K34" s="26">
        <f t="shared" si="4"/>
        <v>5000</v>
      </c>
      <c r="L34" s="27">
        <f t="shared" si="1"/>
        <v>0</v>
      </c>
      <c r="M34" s="28"/>
      <c r="N34" s="31">
        <f t="shared" si="2"/>
        <v>0</v>
      </c>
      <c r="O34" s="32">
        <f t="shared" si="3"/>
      </c>
    </row>
    <row r="35" spans="2:15" ht="15" hidden="1">
      <c r="B35" s="33"/>
      <c r="C35" s="22"/>
      <c r="D35" s="23"/>
      <c r="E35" s="24"/>
      <c r="F35" s="25"/>
      <c r="G35" s="26">
        <f t="shared" si="5"/>
        <v>5000</v>
      </c>
      <c r="H35" s="27">
        <f t="shared" si="0"/>
        <v>0</v>
      </c>
      <c r="I35" s="28"/>
      <c r="J35" s="29"/>
      <c r="K35" s="26">
        <f t="shared" si="4"/>
        <v>5000</v>
      </c>
      <c r="L35" s="27">
        <f t="shared" si="1"/>
        <v>0</v>
      </c>
      <c r="M35" s="28"/>
      <c r="N35" s="31">
        <f t="shared" si="2"/>
        <v>0</v>
      </c>
      <c r="O35" s="32">
        <f t="shared" si="3"/>
      </c>
    </row>
    <row r="36" spans="2:15" ht="15" hidden="1">
      <c r="B36" s="33"/>
      <c r="C36" s="22"/>
      <c r="D36" s="23"/>
      <c r="E36" s="24"/>
      <c r="F36" s="25"/>
      <c r="G36" s="26">
        <f t="shared" si="5"/>
        <v>5000</v>
      </c>
      <c r="H36" s="27">
        <f t="shared" si="0"/>
        <v>0</v>
      </c>
      <c r="I36" s="28"/>
      <c r="J36" s="29"/>
      <c r="K36" s="26">
        <f t="shared" si="4"/>
        <v>5000</v>
      </c>
      <c r="L36" s="27">
        <f t="shared" si="1"/>
        <v>0</v>
      </c>
      <c r="M36" s="28"/>
      <c r="N36" s="31">
        <f t="shared" si="2"/>
        <v>0</v>
      </c>
      <c r="O36" s="32">
        <f t="shared" si="3"/>
      </c>
    </row>
    <row r="37" spans="2:15" s="34" customFormat="1" ht="15">
      <c r="B37" s="35" t="s">
        <v>22</v>
      </c>
      <c r="C37" s="36"/>
      <c r="D37" s="37"/>
      <c r="E37" s="36"/>
      <c r="F37" s="38"/>
      <c r="G37" s="39"/>
      <c r="H37" s="40">
        <f>SUM(H21:H36)</f>
        <v>86.00999999999999</v>
      </c>
      <c r="I37" s="41"/>
      <c r="J37" s="42"/>
      <c r="K37" s="43"/>
      <c r="L37" s="40">
        <f>SUM(L21:L36)</f>
        <v>75.62223712318101</v>
      </c>
      <c r="M37" s="41"/>
      <c r="N37" s="44">
        <f t="shared" si="2"/>
        <v>-10.387762876818982</v>
      </c>
      <c r="O37" s="45">
        <f t="shared" si="3"/>
        <v>-0.12077389695173797</v>
      </c>
    </row>
    <row r="38" spans="2:15" ht="15" hidden="1">
      <c r="B38" s="176"/>
      <c r="C38" s="22"/>
      <c r="D38" s="56" t="s">
        <v>60</v>
      </c>
      <c r="E38" s="24"/>
      <c r="F38" s="25"/>
      <c r="G38" s="26">
        <v>1</v>
      </c>
      <c r="H38" s="27">
        <f>G38*F38</f>
        <v>0</v>
      </c>
      <c r="I38" s="28"/>
      <c r="J38" s="174"/>
      <c r="K38" s="30">
        <v>1</v>
      </c>
      <c r="L38" s="27">
        <f>K38*J38</f>
        <v>0</v>
      </c>
      <c r="M38" s="28"/>
      <c r="N38" s="31">
        <f>L38-H38</f>
        <v>0</v>
      </c>
      <c r="O38" s="32">
        <f>IF((H38)=0,"",(N38/H38))</f>
      </c>
    </row>
    <row r="39" spans="2:15" ht="25.5">
      <c r="B39" s="46" t="s">
        <v>23</v>
      </c>
      <c r="C39" s="22"/>
      <c r="D39" s="56" t="s">
        <v>61</v>
      </c>
      <c r="E39" s="57"/>
      <c r="F39" s="29">
        <v>0.0003</v>
      </c>
      <c r="G39" s="26">
        <f>$F$16</f>
        <v>5000</v>
      </c>
      <c r="H39" s="27">
        <f aca="true" t="shared" si="6" ref="H39:H45">G39*F39</f>
        <v>1.4999999999999998</v>
      </c>
      <c r="I39" s="28"/>
      <c r="J39" s="29">
        <f>'[4]6. Rate Rider Calculations'!$F$21</f>
        <v>-0.001125755911208088</v>
      </c>
      <c r="K39" s="26">
        <f>$F$16</f>
        <v>5000</v>
      </c>
      <c r="L39" s="27">
        <f aca="true" t="shared" si="7" ref="L39:L45">K39*J39</f>
        <v>-5.628779556040439</v>
      </c>
      <c r="M39" s="28"/>
      <c r="N39" s="31">
        <f t="shared" si="2"/>
        <v>-7.128779556040439</v>
      </c>
      <c r="O39" s="32">
        <f t="shared" si="3"/>
        <v>-4.75251970402696</v>
      </c>
    </row>
    <row r="40" spans="2:15" ht="15" hidden="1">
      <c r="B40" s="46"/>
      <c r="C40" s="22"/>
      <c r="D40" s="23" t="s">
        <v>61</v>
      </c>
      <c r="E40" s="24"/>
      <c r="F40" s="25"/>
      <c r="G40" s="26">
        <f>$F$16</f>
        <v>5000</v>
      </c>
      <c r="H40" s="27">
        <f t="shared" si="6"/>
        <v>0</v>
      </c>
      <c r="I40" s="47"/>
      <c r="J40" s="29"/>
      <c r="K40" s="26">
        <f>$F$16</f>
        <v>5000</v>
      </c>
      <c r="L40" s="27">
        <f t="shared" si="7"/>
        <v>0</v>
      </c>
      <c r="M40" s="48"/>
      <c r="N40" s="31">
        <f t="shared" si="2"/>
        <v>0</v>
      </c>
      <c r="O40" s="32">
        <f t="shared" si="3"/>
      </c>
    </row>
    <row r="41" spans="2:15" ht="15" hidden="1">
      <c r="B41" s="46"/>
      <c r="C41" s="22"/>
      <c r="D41" s="23" t="s">
        <v>61</v>
      </c>
      <c r="E41" s="24"/>
      <c r="F41" s="25"/>
      <c r="G41" s="26">
        <f>$F$16</f>
        <v>5000</v>
      </c>
      <c r="H41" s="27">
        <f t="shared" si="6"/>
        <v>0</v>
      </c>
      <c r="I41" s="47"/>
      <c r="J41" s="29"/>
      <c r="K41" s="26">
        <f>$F$16</f>
        <v>5000</v>
      </c>
      <c r="L41" s="27">
        <f t="shared" si="7"/>
        <v>0</v>
      </c>
      <c r="M41" s="48"/>
      <c r="N41" s="31">
        <f t="shared" si="2"/>
        <v>0</v>
      </c>
      <c r="O41" s="32">
        <f t="shared" si="3"/>
      </c>
    </row>
    <row r="42" spans="2:15" ht="15" hidden="1">
      <c r="B42" s="46"/>
      <c r="C42" s="22"/>
      <c r="D42" s="23"/>
      <c r="E42" s="24"/>
      <c r="F42" s="25"/>
      <c r="G42" s="26">
        <f>$F$16</f>
        <v>5000</v>
      </c>
      <c r="H42" s="27">
        <f t="shared" si="6"/>
        <v>0</v>
      </c>
      <c r="I42" s="47"/>
      <c r="J42" s="29"/>
      <c r="K42" s="26">
        <f>$F$16</f>
        <v>5000</v>
      </c>
      <c r="L42" s="27">
        <f t="shared" si="7"/>
        <v>0</v>
      </c>
      <c r="M42" s="48"/>
      <c r="N42" s="31">
        <f t="shared" si="2"/>
        <v>0</v>
      </c>
      <c r="O42" s="32">
        <f t="shared" si="3"/>
      </c>
    </row>
    <row r="43" spans="2:15" ht="15">
      <c r="B43" s="49" t="s">
        <v>24</v>
      </c>
      <c r="C43" s="22"/>
      <c r="D43" s="23" t="s">
        <v>61</v>
      </c>
      <c r="E43" s="24"/>
      <c r="F43" s="25">
        <v>0</v>
      </c>
      <c r="G43" s="26">
        <f>$F$16</f>
        <v>5000</v>
      </c>
      <c r="H43" s="27">
        <f t="shared" si="6"/>
        <v>0</v>
      </c>
      <c r="I43" s="28"/>
      <c r="J43" s="29">
        <f>'[3]Rate Schedule '!$E$18</f>
        <v>0.0001</v>
      </c>
      <c r="K43" s="26">
        <f>$F$16</f>
        <v>5000</v>
      </c>
      <c r="L43" s="27">
        <f t="shared" si="7"/>
        <v>0.5</v>
      </c>
      <c r="M43" s="28"/>
      <c r="N43" s="31">
        <f t="shared" si="2"/>
        <v>0.5</v>
      </c>
      <c r="O43" s="32">
        <f t="shared" si="3"/>
      </c>
    </row>
    <row r="44" spans="2:15" s="34" customFormat="1" ht="15">
      <c r="B44" s="182" t="s">
        <v>25</v>
      </c>
      <c r="C44" s="24"/>
      <c r="D44" s="183" t="s">
        <v>61</v>
      </c>
      <c r="E44" s="24"/>
      <c r="F44" s="184">
        <f>IF(ISBLANK(D14)=TRUE,0,IF(D14="TOU",0.64*$F$54+0.18*$F$55+0.18*$F$56,IF(AND(D14="non-TOU",G58&gt;0),F58,F57)))</f>
        <v>0.08892</v>
      </c>
      <c r="G44" s="26">
        <f>$F$16*(1+$F$73)-$F$16</f>
        <v>143</v>
      </c>
      <c r="H44" s="185">
        <f t="shared" si="6"/>
        <v>12.71556</v>
      </c>
      <c r="I44" s="57"/>
      <c r="J44" s="186">
        <f>0.64*$F$54+0.18*$F$55+0.18*$F$56</f>
        <v>0.08892</v>
      </c>
      <c r="K44" s="26">
        <f>$F$16*(1+$J$73)-$F$16</f>
        <v>167.5</v>
      </c>
      <c r="L44" s="185">
        <f t="shared" si="7"/>
        <v>14.8941</v>
      </c>
      <c r="M44" s="57"/>
      <c r="N44" s="187">
        <f t="shared" si="2"/>
        <v>2.17854</v>
      </c>
      <c r="O44" s="188">
        <f t="shared" si="3"/>
        <v>0.17132867132867133</v>
      </c>
    </row>
    <row r="45" spans="2:15" ht="15">
      <c r="B45" s="49" t="s">
        <v>26</v>
      </c>
      <c r="C45" s="22"/>
      <c r="D45" s="23" t="s">
        <v>60</v>
      </c>
      <c r="E45" s="24"/>
      <c r="F45" s="179">
        <v>0.79</v>
      </c>
      <c r="G45" s="26">
        <v>1</v>
      </c>
      <c r="H45" s="27">
        <f t="shared" si="6"/>
        <v>0.79</v>
      </c>
      <c r="I45" s="28"/>
      <c r="J45" s="179">
        <v>0.79</v>
      </c>
      <c r="K45" s="26">
        <v>1</v>
      </c>
      <c r="L45" s="27">
        <f t="shared" si="7"/>
        <v>0.79</v>
      </c>
      <c r="M45" s="28"/>
      <c r="N45" s="31">
        <f t="shared" si="2"/>
        <v>0</v>
      </c>
      <c r="O45" s="32"/>
    </row>
    <row r="46" spans="2:15" ht="25.5">
      <c r="B46" s="50" t="s">
        <v>27</v>
      </c>
      <c r="C46" s="51"/>
      <c r="D46" s="51"/>
      <c r="E46" s="51"/>
      <c r="F46" s="52"/>
      <c r="G46" s="53"/>
      <c r="H46" s="54">
        <f>SUM(H38:H45)+H37</f>
        <v>101.01556</v>
      </c>
      <c r="I46" s="41"/>
      <c r="J46" s="53"/>
      <c r="K46" s="55"/>
      <c r="L46" s="54">
        <f>SUM(L38:L45)+L37</f>
        <v>86.17755756714057</v>
      </c>
      <c r="M46" s="41"/>
      <c r="N46" s="44">
        <f t="shared" si="2"/>
        <v>-14.838002432859426</v>
      </c>
      <c r="O46" s="45">
        <f aca="true" t="shared" si="8" ref="O46:O64">IF((H46)=0,"",(N46/H46))</f>
        <v>-0.1468882856547984</v>
      </c>
    </row>
    <row r="47" spans="2:15" ht="15">
      <c r="B47" s="28" t="s">
        <v>28</v>
      </c>
      <c r="C47" s="28"/>
      <c r="D47" s="56" t="s">
        <v>61</v>
      </c>
      <c r="E47" s="57"/>
      <c r="F47" s="29">
        <v>0.0062</v>
      </c>
      <c r="G47" s="58">
        <f>F16*(1+F73)</f>
        <v>5143</v>
      </c>
      <c r="H47" s="27">
        <f>G47*F47</f>
        <v>31.886599999999998</v>
      </c>
      <c r="I47" s="28"/>
      <c r="J47" s="29">
        <f>'[5]13. Final 2014 RTS Rates'!$F$27</f>
        <v>0.005811873445206607</v>
      </c>
      <c r="K47" s="59">
        <f>F16*(1+J73)</f>
        <v>5167.5</v>
      </c>
      <c r="L47" s="27">
        <f>K47*J47</f>
        <v>30.032856028105144</v>
      </c>
      <c r="M47" s="28"/>
      <c r="N47" s="31">
        <f t="shared" si="2"/>
        <v>-1.853743971894854</v>
      </c>
      <c r="O47" s="32">
        <f t="shared" si="8"/>
        <v>-0.05813551685958535</v>
      </c>
    </row>
    <row r="48" spans="2:15" ht="30">
      <c r="B48" s="60" t="s">
        <v>29</v>
      </c>
      <c r="C48" s="28"/>
      <c r="D48" s="56" t="s">
        <v>61</v>
      </c>
      <c r="E48" s="57"/>
      <c r="F48" s="29">
        <v>0.0036</v>
      </c>
      <c r="G48" s="58">
        <f>G47</f>
        <v>5143</v>
      </c>
      <c r="H48" s="27">
        <f>G48*F48</f>
        <v>18.5148</v>
      </c>
      <c r="I48" s="28"/>
      <c r="J48" s="29">
        <f>'[5]13. Final 2014 RTS Rates'!$H$27</f>
        <v>0.003920192695861129</v>
      </c>
      <c r="K48" s="59">
        <f>K47</f>
        <v>5167.5</v>
      </c>
      <c r="L48" s="27">
        <f>K48*J48</f>
        <v>20.257595755862386</v>
      </c>
      <c r="M48" s="28"/>
      <c r="N48" s="31">
        <f t="shared" si="2"/>
        <v>1.7427957558623852</v>
      </c>
      <c r="O48" s="32">
        <f t="shared" si="8"/>
        <v>0.09412987209488545</v>
      </c>
    </row>
    <row r="49" spans="2:15" ht="25.5">
      <c r="B49" s="50" t="s">
        <v>30</v>
      </c>
      <c r="C49" s="36"/>
      <c r="D49" s="36"/>
      <c r="E49" s="36"/>
      <c r="F49" s="61"/>
      <c r="G49" s="53"/>
      <c r="H49" s="54">
        <f>SUM(H46:H48)</f>
        <v>151.41696</v>
      </c>
      <c r="I49" s="62"/>
      <c r="J49" s="63"/>
      <c r="K49" s="64"/>
      <c r="L49" s="54">
        <f>SUM(L46:L48)</f>
        <v>136.4680093511081</v>
      </c>
      <c r="M49" s="62"/>
      <c r="N49" s="44">
        <f t="shared" si="2"/>
        <v>-14.948950648891895</v>
      </c>
      <c r="O49" s="45">
        <f t="shared" si="8"/>
        <v>-0.09872705573333328</v>
      </c>
    </row>
    <row r="50" spans="2:15" ht="30">
      <c r="B50" s="65" t="s">
        <v>31</v>
      </c>
      <c r="C50" s="22"/>
      <c r="D50" s="23" t="s">
        <v>61</v>
      </c>
      <c r="E50" s="24"/>
      <c r="F50" s="66">
        <v>0.0044</v>
      </c>
      <c r="G50" s="58">
        <f>G48</f>
        <v>5143</v>
      </c>
      <c r="H50" s="67">
        <f aca="true" t="shared" si="9" ref="H50:H56">G50*F50</f>
        <v>22.6292</v>
      </c>
      <c r="I50" s="28"/>
      <c r="J50" s="68">
        <v>0.0044</v>
      </c>
      <c r="K50" s="59">
        <f>K48</f>
        <v>5167.5</v>
      </c>
      <c r="L50" s="67">
        <f aca="true" t="shared" si="10" ref="L50:L56">K50*J50</f>
        <v>22.737000000000002</v>
      </c>
      <c r="M50" s="28"/>
      <c r="N50" s="31">
        <f t="shared" si="2"/>
        <v>0.107800000000001</v>
      </c>
      <c r="O50" s="69">
        <f t="shared" si="8"/>
        <v>0.0047637565623177575</v>
      </c>
    </row>
    <row r="51" spans="2:15" ht="15">
      <c r="B51" s="65" t="s">
        <v>32</v>
      </c>
      <c r="C51" s="22"/>
      <c r="D51" s="23" t="s">
        <v>61</v>
      </c>
      <c r="E51" s="24"/>
      <c r="F51" s="66">
        <v>0.0012</v>
      </c>
      <c r="G51" s="58">
        <f>G48</f>
        <v>5143</v>
      </c>
      <c r="H51" s="67">
        <f t="shared" si="9"/>
        <v>6.1716</v>
      </c>
      <c r="I51" s="28"/>
      <c r="J51" s="68">
        <v>0.0012</v>
      </c>
      <c r="K51" s="59">
        <f>K48</f>
        <v>5167.5</v>
      </c>
      <c r="L51" s="67">
        <f t="shared" si="10"/>
        <v>6.201</v>
      </c>
      <c r="M51" s="28"/>
      <c r="N51" s="31">
        <f t="shared" si="2"/>
        <v>0.02939999999999987</v>
      </c>
      <c r="O51" s="69">
        <f t="shared" si="8"/>
        <v>0.0047637565623176925</v>
      </c>
    </row>
    <row r="52" spans="2:15" ht="15">
      <c r="B52" s="22" t="s">
        <v>33</v>
      </c>
      <c r="C52" s="22"/>
      <c r="D52" s="23" t="s">
        <v>60</v>
      </c>
      <c r="E52" s="24"/>
      <c r="F52" s="177">
        <v>0.25</v>
      </c>
      <c r="G52" s="26">
        <v>1</v>
      </c>
      <c r="H52" s="67">
        <f t="shared" si="9"/>
        <v>0.25</v>
      </c>
      <c r="I52" s="28"/>
      <c r="J52" s="178">
        <v>0.25</v>
      </c>
      <c r="K52" s="30">
        <v>1</v>
      </c>
      <c r="L52" s="67">
        <f t="shared" si="10"/>
        <v>0.25</v>
      </c>
      <c r="M52" s="28"/>
      <c r="N52" s="31">
        <f t="shared" si="2"/>
        <v>0</v>
      </c>
      <c r="O52" s="69">
        <f t="shared" si="8"/>
        <v>0</v>
      </c>
    </row>
    <row r="53" spans="2:15" ht="15">
      <c r="B53" s="22" t="s">
        <v>34</v>
      </c>
      <c r="C53" s="22"/>
      <c r="D53" s="23" t="s">
        <v>61</v>
      </c>
      <c r="E53" s="24"/>
      <c r="F53" s="66">
        <v>0.007</v>
      </c>
      <c r="G53" s="70">
        <f>F16</f>
        <v>5000</v>
      </c>
      <c r="H53" s="67">
        <f t="shared" si="9"/>
        <v>35</v>
      </c>
      <c r="I53" s="28"/>
      <c r="J53" s="68">
        <f>0.007</f>
        <v>0.007</v>
      </c>
      <c r="K53" s="71">
        <f>F16</f>
        <v>5000</v>
      </c>
      <c r="L53" s="67">
        <f t="shared" si="10"/>
        <v>35</v>
      </c>
      <c r="M53" s="28"/>
      <c r="N53" s="31">
        <f t="shared" si="2"/>
        <v>0</v>
      </c>
      <c r="O53" s="69">
        <f t="shared" si="8"/>
        <v>0</v>
      </c>
    </row>
    <row r="54" spans="2:19" ht="15">
      <c r="B54" s="49" t="s">
        <v>35</v>
      </c>
      <c r="C54" s="22"/>
      <c r="D54" s="23" t="s">
        <v>61</v>
      </c>
      <c r="E54" s="24"/>
      <c r="F54" s="72">
        <v>0.072</v>
      </c>
      <c r="G54" s="70">
        <f>0.64*$F$16</f>
        <v>3200</v>
      </c>
      <c r="H54" s="67">
        <f t="shared" si="9"/>
        <v>230.39999999999998</v>
      </c>
      <c r="I54" s="28"/>
      <c r="J54" s="66">
        <v>0.072</v>
      </c>
      <c r="K54" s="70">
        <f>G54</f>
        <v>3200</v>
      </c>
      <c r="L54" s="67">
        <f t="shared" si="10"/>
        <v>230.39999999999998</v>
      </c>
      <c r="M54" s="28"/>
      <c r="N54" s="31">
        <f t="shared" si="2"/>
        <v>0</v>
      </c>
      <c r="O54" s="69">
        <f t="shared" si="8"/>
        <v>0</v>
      </c>
      <c r="S54" s="73"/>
    </row>
    <row r="55" spans="2:19" ht="15">
      <c r="B55" s="49" t="s">
        <v>36</v>
      </c>
      <c r="C55" s="22"/>
      <c r="D55" s="23" t="s">
        <v>61</v>
      </c>
      <c r="E55" s="24"/>
      <c r="F55" s="72">
        <v>0.109</v>
      </c>
      <c r="G55" s="70">
        <f>0.18*$F$16</f>
        <v>900</v>
      </c>
      <c r="H55" s="67">
        <f t="shared" si="9"/>
        <v>98.1</v>
      </c>
      <c r="I55" s="28"/>
      <c r="J55" s="66">
        <v>0.109</v>
      </c>
      <c r="K55" s="70">
        <f>G55</f>
        <v>900</v>
      </c>
      <c r="L55" s="67">
        <f t="shared" si="10"/>
        <v>98.1</v>
      </c>
      <c r="M55" s="28"/>
      <c r="N55" s="31">
        <f t="shared" si="2"/>
        <v>0</v>
      </c>
      <c r="O55" s="69">
        <f t="shared" si="8"/>
        <v>0</v>
      </c>
      <c r="S55" s="73"/>
    </row>
    <row r="56" spans="2:19" ht="15">
      <c r="B56" s="12" t="s">
        <v>37</v>
      </c>
      <c r="C56" s="22"/>
      <c r="D56" s="23" t="s">
        <v>61</v>
      </c>
      <c r="E56" s="24"/>
      <c r="F56" s="72">
        <v>0.129</v>
      </c>
      <c r="G56" s="70">
        <f>0.18*$F$16</f>
        <v>900</v>
      </c>
      <c r="H56" s="67">
        <f t="shared" si="9"/>
        <v>116.10000000000001</v>
      </c>
      <c r="I56" s="28"/>
      <c r="J56" s="66">
        <v>0.129</v>
      </c>
      <c r="K56" s="70">
        <f>G56</f>
        <v>900</v>
      </c>
      <c r="L56" s="67">
        <f t="shared" si="10"/>
        <v>116.10000000000001</v>
      </c>
      <c r="M56" s="28"/>
      <c r="N56" s="31">
        <f t="shared" si="2"/>
        <v>0</v>
      </c>
      <c r="O56" s="69">
        <f t="shared" si="8"/>
        <v>0</v>
      </c>
      <c r="S56" s="73"/>
    </row>
    <row r="57" spans="2:15" s="74" customFormat="1" ht="15">
      <c r="B57" s="75" t="s">
        <v>38</v>
      </c>
      <c r="C57" s="76"/>
      <c r="D57" s="77" t="s">
        <v>61</v>
      </c>
      <c r="E57" s="78"/>
      <c r="F57" s="72">
        <v>0.083</v>
      </c>
      <c r="G57" s="79">
        <f>IF(AND($T$1=1,F16&gt;=600),600,IF(AND($T$1=1,AND(F16&lt;600,F16&gt;=0)),F16,IF(AND($T$1=2,F16&gt;=1000),1000,IF(AND($T$1=2,AND(F16&lt;1000,F16&gt;=0)),F16))))</f>
        <v>600</v>
      </c>
      <c r="H57" s="67">
        <f>G57*F57</f>
        <v>49.800000000000004</v>
      </c>
      <c r="I57" s="80"/>
      <c r="J57" s="66">
        <v>0.083</v>
      </c>
      <c r="K57" s="79">
        <f>G57</f>
        <v>600</v>
      </c>
      <c r="L57" s="67">
        <f>K57*J57</f>
        <v>49.800000000000004</v>
      </c>
      <c r="M57" s="80"/>
      <c r="N57" s="81">
        <f t="shared" si="2"/>
        <v>0</v>
      </c>
      <c r="O57" s="69">
        <f t="shared" si="8"/>
        <v>0</v>
      </c>
    </row>
    <row r="58" spans="2:15" s="74" customFormat="1" ht="15.75" thickBot="1">
      <c r="B58" s="75" t="s">
        <v>39</v>
      </c>
      <c r="C58" s="76"/>
      <c r="D58" s="77" t="s">
        <v>61</v>
      </c>
      <c r="E58" s="78"/>
      <c r="F58" s="72">
        <v>0.097</v>
      </c>
      <c r="G58" s="79">
        <f>IF(AND($T$1=1,F16&gt;=600),F16-600,IF(AND($T$1=1,AND(F16&lt;600,F16&gt;=0)),0,IF(AND($T$1=2,F16&gt;=1000),F16-1000,IF(AND($T$1=2,AND(F16&lt;1000,F16&gt;=0)),0))))</f>
        <v>4400</v>
      </c>
      <c r="H58" s="67">
        <f>G58*F58</f>
        <v>426.8</v>
      </c>
      <c r="I58" s="80"/>
      <c r="J58" s="66">
        <v>0.097</v>
      </c>
      <c r="K58" s="79">
        <f>G58</f>
        <v>4400</v>
      </c>
      <c r="L58" s="67">
        <f>K58*J58</f>
        <v>426.8</v>
      </c>
      <c r="M58" s="80"/>
      <c r="N58" s="81">
        <f t="shared" si="2"/>
        <v>0</v>
      </c>
      <c r="O58" s="69">
        <f t="shared" si="8"/>
        <v>0</v>
      </c>
    </row>
    <row r="59" spans="2:15" ht="8.25" customHeight="1" thickBot="1">
      <c r="B59" s="82"/>
      <c r="C59" s="83"/>
      <c r="D59" s="84"/>
      <c r="E59" s="83"/>
      <c r="F59" s="85"/>
      <c r="G59" s="86"/>
      <c r="H59" s="87"/>
      <c r="I59" s="88"/>
      <c r="J59" s="85"/>
      <c r="K59" s="89"/>
      <c r="L59" s="87"/>
      <c r="M59" s="88"/>
      <c r="N59" s="90"/>
      <c r="O59" s="91"/>
    </row>
    <row r="60" spans="2:19" ht="15">
      <c r="B60" s="92" t="s">
        <v>40</v>
      </c>
      <c r="C60" s="22"/>
      <c r="D60" s="22"/>
      <c r="E60" s="22"/>
      <c r="F60" s="93"/>
      <c r="G60" s="94"/>
      <c r="H60" s="95">
        <f>SUM(H50:H56,H49)</f>
        <v>660.06776</v>
      </c>
      <c r="I60" s="96"/>
      <c r="J60" s="97"/>
      <c r="K60" s="97"/>
      <c r="L60" s="191">
        <f>SUM(L50:L56,L49)</f>
        <v>645.2560093511081</v>
      </c>
      <c r="M60" s="98"/>
      <c r="N60" s="99">
        <f>L60-H60</f>
        <v>-14.811750648891916</v>
      </c>
      <c r="O60" s="100">
        <f>IF((H60)=0,"",(N60/H60))</f>
        <v>-0.022439742624138944</v>
      </c>
      <c r="S60" s="73"/>
    </row>
    <row r="61" spans="2:19" ht="15">
      <c r="B61" s="101" t="s">
        <v>41</v>
      </c>
      <c r="C61" s="22"/>
      <c r="D61" s="22"/>
      <c r="E61" s="22"/>
      <c r="F61" s="102">
        <v>0.13</v>
      </c>
      <c r="G61" s="103"/>
      <c r="H61" s="104">
        <f>H60*F61</f>
        <v>85.80880880000001</v>
      </c>
      <c r="I61" s="105"/>
      <c r="J61" s="106">
        <v>0.13</v>
      </c>
      <c r="K61" s="105"/>
      <c r="L61" s="107">
        <f>L60*J61</f>
        <v>83.88328121564406</v>
      </c>
      <c r="M61" s="108"/>
      <c r="N61" s="109">
        <f t="shared" si="2"/>
        <v>-1.9255275843559474</v>
      </c>
      <c r="O61" s="110">
        <f t="shared" si="8"/>
        <v>-0.022439742624138923</v>
      </c>
      <c r="S61" s="73"/>
    </row>
    <row r="62" spans="2:19" ht="15">
      <c r="B62" s="111" t="s">
        <v>42</v>
      </c>
      <c r="C62" s="22"/>
      <c r="D62" s="22"/>
      <c r="E62" s="22"/>
      <c r="F62" s="112"/>
      <c r="G62" s="103"/>
      <c r="H62" s="104">
        <f>H60+H61</f>
        <v>745.8765688000001</v>
      </c>
      <c r="I62" s="105"/>
      <c r="J62" s="105"/>
      <c r="K62" s="105"/>
      <c r="L62" s="107">
        <f>L60+L61</f>
        <v>729.1392905667522</v>
      </c>
      <c r="M62" s="108"/>
      <c r="N62" s="109">
        <f t="shared" si="2"/>
        <v>-16.737278233247935</v>
      </c>
      <c r="O62" s="110">
        <f t="shared" si="8"/>
        <v>-0.022439742624139038</v>
      </c>
      <c r="S62" s="73"/>
    </row>
    <row r="63" spans="2:15" ht="15.75" customHeight="1">
      <c r="B63" s="251" t="s">
        <v>43</v>
      </c>
      <c r="C63" s="251"/>
      <c r="D63" s="251"/>
      <c r="E63" s="22"/>
      <c r="F63" s="112"/>
      <c r="G63" s="103"/>
      <c r="H63" s="113">
        <f>ROUND(-H62*10%,2)</f>
        <v>-74.59</v>
      </c>
      <c r="I63" s="105"/>
      <c r="J63" s="105"/>
      <c r="K63" s="105"/>
      <c r="L63" s="114">
        <f>ROUND(-L62*10%,2)</f>
        <v>-72.91</v>
      </c>
      <c r="M63" s="108"/>
      <c r="N63" s="115">
        <f t="shared" si="2"/>
        <v>1.6800000000000068</v>
      </c>
      <c r="O63" s="116">
        <f t="shared" si="8"/>
        <v>-0.02252312642445377</v>
      </c>
    </row>
    <row r="64" spans="2:15" ht="15.75" thickBot="1">
      <c r="B64" s="233" t="s">
        <v>44</v>
      </c>
      <c r="C64" s="233"/>
      <c r="D64" s="233"/>
      <c r="E64" s="117"/>
      <c r="F64" s="118"/>
      <c r="G64" s="119"/>
      <c r="H64" s="120">
        <f>H62+H63</f>
        <v>671.2865688</v>
      </c>
      <c r="I64" s="121"/>
      <c r="J64" s="121"/>
      <c r="K64" s="121"/>
      <c r="L64" s="122">
        <f>L62+L63</f>
        <v>656.2292905667522</v>
      </c>
      <c r="M64" s="123"/>
      <c r="N64" s="124">
        <f t="shared" si="2"/>
        <v>-15.057278233247871</v>
      </c>
      <c r="O64" s="125">
        <f t="shared" si="8"/>
        <v>-0.02243047743404794</v>
      </c>
    </row>
    <row r="65" spans="2:15" s="74" customFormat="1" ht="8.25" customHeight="1" thickBot="1">
      <c r="B65" s="126"/>
      <c r="C65" s="127"/>
      <c r="D65" s="128"/>
      <c r="E65" s="127"/>
      <c r="F65" s="85"/>
      <c r="G65" s="129"/>
      <c r="H65" s="87"/>
      <c r="I65" s="130"/>
      <c r="J65" s="85"/>
      <c r="K65" s="131"/>
      <c r="L65" s="87"/>
      <c r="M65" s="130"/>
      <c r="N65" s="132"/>
      <c r="O65" s="91"/>
    </row>
    <row r="66" spans="2:15" s="74" customFormat="1" ht="12.75">
      <c r="B66" s="133" t="s">
        <v>45</v>
      </c>
      <c r="C66" s="76"/>
      <c r="D66" s="76"/>
      <c r="E66" s="76"/>
      <c r="F66" s="134"/>
      <c r="G66" s="135"/>
      <c r="H66" s="136">
        <f>SUM(H57:H58,H49,H50:H53)</f>
        <v>692.06776</v>
      </c>
      <c r="I66" s="137"/>
      <c r="J66" s="138"/>
      <c r="K66" s="138"/>
      <c r="L66" s="190">
        <f>SUM(L57:L58,L49,L50:L53)</f>
        <v>677.2560093511081</v>
      </c>
      <c r="M66" s="139"/>
      <c r="N66" s="140">
        <f>L66-H66</f>
        <v>-14.811750648891916</v>
      </c>
      <c r="O66" s="100">
        <f>IF((H66)=0,"",(N66/H66))</f>
        <v>-0.021402168262963032</v>
      </c>
    </row>
    <row r="67" spans="2:15" s="74" customFormat="1" ht="12.75">
      <c r="B67" s="141" t="s">
        <v>41</v>
      </c>
      <c r="C67" s="76"/>
      <c r="D67" s="76"/>
      <c r="E67" s="76"/>
      <c r="F67" s="142">
        <v>0.13</v>
      </c>
      <c r="G67" s="135"/>
      <c r="H67" s="143">
        <f>H66*F67</f>
        <v>89.9688088</v>
      </c>
      <c r="I67" s="144"/>
      <c r="J67" s="145">
        <v>0.13</v>
      </c>
      <c r="K67" s="146"/>
      <c r="L67" s="147">
        <f>L66*J67</f>
        <v>88.04328121564406</v>
      </c>
      <c r="M67" s="148"/>
      <c r="N67" s="149">
        <f>L67-H67</f>
        <v>-1.9255275843559474</v>
      </c>
      <c r="O67" s="110">
        <f>IF((H67)=0,"",(N67/H67))</f>
        <v>-0.02140216826296301</v>
      </c>
    </row>
    <row r="68" spans="2:15" s="74" customFormat="1" ht="12.75">
      <c r="B68" s="150" t="s">
        <v>42</v>
      </c>
      <c r="C68" s="76"/>
      <c r="D68" s="76"/>
      <c r="E68" s="76"/>
      <c r="F68" s="151"/>
      <c r="G68" s="152"/>
      <c r="H68" s="143">
        <f>H66+H67</f>
        <v>782.0365688</v>
      </c>
      <c r="I68" s="144"/>
      <c r="J68" s="144"/>
      <c r="K68" s="144"/>
      <c r="L68" s="147">
        <f>L66+L67</f>
        <v>765.2992905667521</v>
      </c>
      <c r="M68" s="148"/>
      <c r="N68" s="149">
        <f>L68-H68</f>
        <v>-16.737278233247935</v>
      </c>
      <c r="O68" s="110">
        <f>IF((H68)=0,"",(N68/H68))</f>
        <v>-0.02140216826296312</v>
      </c>
    </row>
    <row r="69" spans="2:15" s="74" customFormat="1" ht="15.75" customHeight="1">
      <c r="B69" s="239" t="s">
        <v>43</v>
      </c>
      <c r="C69" s="239"/>
      <c r="D69" s="239"/>
      <c r="E69" s="76"/>
      <c r="F69" s="151"/>
      <c r="G69" s="152"/>
      <c r="H69" s="153">
        <f>ROUND(-H68*10%,2)</f>
        <v>-78.2</v>
      </c>
      <c r="I69" s="144"/>
      <c r="J69" s="144"/>
      <c r="K69" s="144"/>
      <c r="L69" s="154">
        <f>ROUND(-L68*10%,2)</f>
        <v>-76.53</v>
      </c>
      <c r="M69" s="148"/>
      <c r="N69" s="155">
        <f>L69-H69</f>
        <v>1.6700000000000017</v>
      </c>
      <c r="O69" s="116">
        <f>IF((H69)=0,"",(N69/H69))</f>
        <v>-0.021355498721227644</v>
      </c>
    </row>
    <row r="70" spans="2:15" s="74" customFormat="1" ht="13.5" thickBot="1">
      <c r="B70" s="244" t="s">
        <v>46</v>
      </c>
      <c r="C70" s="244"/>
      <c r="D70" s="244"/>
      <c r="E70" s="156"/>
      <c r="F70" s="157"/>
      <c r="G70" s="158"/>
      <c r="H70" s="159">
        <f>SUM(H68:H69)</f>
        <v>703.8365688</v>
      </c>
      <c r="I70" s="160"/>
      <c r="J70" s="160"/>
      <c r="K70" s="160"/>
      <c r="L70" s="161">
        <f>SUM(L68:L69)</f>
        <v>688.7692905667521</v>
      </c>
      <c r="M70" s="162"/>
      <c r="N70" s="163">
        <f>L70-H70</f>
        <v>-15.067278233247862</v>
      </c>
      <c r="O70" s="164">
        <f>IF((H70)=0,"",(N70/H70))</f>
        <v>-0.021407353498180248</v>
      </c>
    </row>
    <row r="71" spans="2:15" s="74" customFormat="1" ht="8.25" customHeight="1" thickBot="1">
      <c r="B71" s="126"/>
      <c r="C71" s="127"/>
      <c r="D71" s="128"/>
      <c r="E71" s="127"/>
      <c r="F71" s="165"/>
      <c r="G71" s="166"/>
      <c r="H71" s="167"/>
      <c r="I71" s="168"/>
      <c r="J71" s="165"/>
      <c r="K71" s="129"/>
      <c r="L71" s="169"/>
      <c r="M71" s="130"/>
      <c r="N71" s="170"/>
      <c r="O71" s="91"/>
    </row>
    <row r="72" ht="10.5" customHeight="1">
      <c r="L72" s="73"/>
    </row>
    <row r="73" spans="2:10" ht="15">
      <c r="B73" s="13" t="s">
        <v>47</v>
      </c>
      <c r="F73" s="171">
        <v>0.0286</v>
      </c>
      <c r="J73" s="171">
        <v>0.0335</v>
      </c>
    </row>
    <row r="74" ht="10.5" customHeight="1"/>
    <row r="75" ht="15">
      <c r="A75" s="172" t="s">
        <v>48</v>
      </c>
    </row>
    <row r="76" ht="10.5" customHeight="1"/>
    <row r="77" ht="15">
      <c r="A77" s="7" t="s">
        <v>49</v>
      </c>
    </row>
    <row r="78" ht="15">
      <c r="A78" s="7" t="s">
        <v>50</v>
      </c>
    </row>
    <row r="80" ht="15">
      <c r="A80" s="12" t="s">
        <v>51</v>
      </c>
    </row>
    <row r="81" ht="15">
      <c r="A81" s="12" t="s">
        <v>52</v>
      </c>
    </row>
    <row r="83" ht="15">
      <c r="A83" s="7" t="s">
        <v>53</v>
      </c>
    </row>
    <row r="84" ht="15">
      <c r="A84" s="7" t="s">
        <v>54</v>
      </c>
    </row>
    <row r="85" ht="15">
      <c r="A85" s="7" t="s">
        <v>55</v>
      </c>
    </row>
    <row r="86" ht="15">
      <c r="A86" s="7" t="s">
        <v>56</v>
      </c>
    </row>
    <row r="87" ht="15">
      <c r="A87" s="7" t="s">
        <v>57</v>
      </c>
    </row>
    <row r="89" spans="1:2" ht="15">
      <c r="A89" s="173"/>
      <c r="B89" s="7" t="s">
        <v>58</v>
      </c>
    </row>
  </sheetData>
  <sheetProtection/>
  <mergeCells count="18">
    <mergeCell ref="D12:O12"/>
    <mergeCell ref="F18:H18"/>
    <mergeCell ref="J18:L18"/>
    <mergeCell ref="N18:O18"/>
    <mergeCell ref="B70:D70"/>
    <mergeCell ref="D19:D20"/>
    <mergeCell ref="N19:N20"/>
    <mergeCell ref="O19:O20"/>
    <mergeCell ref="B63:D63"/>
    <mergeCell ref="B64:D64"/>
    <mergeCell ref="B69:D69"/>
    <mergeCell ref="N1:O1"/>
    <mergeCell ref="N2:O2"/>
    <mergeCell ref="N4:O4"/>
    <mergeCell ref="N5:O5"/>
    <mergeCell ref="B8:O8"/>
    <mergeCell ref="B9:O9"/>
    <mergeCell ref="N3:O3"/>
  </mergeCells>
  <dataValidations count="4">
    <dataValidation type="list" allowBlank="1" showInputMessage="1" showErrorMessage="1" sqref="E47:E48 E50:E56 E59 E38:E45 E21:E36">
      <formula1>'GS&lt;50 (5,000kWh)'!#REF!</formula1>
    </dataValidation>
    <dataValidation type="list" allowBlank="1" showInputMessage="1" showErrorMessage="1" prompt="Select Charge Unit - monthly, per kWh, per kW" sqref="D47:D48 D65 D71 D50:D59 D38:D45 D21:D36">
      <formula1>"Monthly, per kWh, per kW"</formula1>
    </dataValidation>
    <dataValidation type="list" allowBlank="1" showInputMessage="1" showErrorMessage="1" sqref="E71 E65 E57:E58">
      <formula1>'GS&lt;50 (5,000kWh)'!#REF!</formula1>
    </dataValidation>
    <dataValidation type="list" allowBlank="1" showInputMessage="1" showErrorMessage="1" sqref="D14">
      <formula1>"TOU, non-TOU"</formula1>
    </dataValidation>
  </dataValidations>
  <printOptions/>
  <pageMargins left="0.7" right="0.7" top="0.75" bottom="0.75" header="0.3" footer="0.3"/>
  <pageSetup fitToHeight="0" fitToWidth="1" horizontalDpi="600" verticalDpi="600" orientation="portrait" scale="5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9"/>
  <sheetViews>
    <sheetView showGridLines="0" zoomScalePageLayoutView="0" workbookViewId="0" topLeftCell="A1">
      <selection activeCell="J4" sqref="J4"/>
    </sheetView>
  </sheetViews>
  <sheetFormatPr defaultColWidth="9.140625" defaultRowHeight="15"/>
  <cols>
    <col min="1" max="1" width="2.140625" style="7" customWidth="1"/>
    <col min="2" max="2" width="44.57421875" style="7" customWidth="1"/>
    <col min="3" max="3" width="1.28515625" style="7" customWidth="1"/>
    <col min="4" max="4" width="11.28125" style="7" customWidth="1"/>
    <col min="5" max="5" width="1.28515625" style="7" customWidth="1"/>
    <col min="6" max="6" width="12.28125" style="7" customWidth="1"/>
    <col min="7" max="7" width="8.57421875" style="7" customWidth="1"/>
    <col min="8" max="8" width="10.28125" style="7" bestFit="1" customWidth="1"/>
    <col min="9" max="9" width="2.8515625" style="7" customWidth="1"/>
    <col min="10" max="10" width="12.140625" style="7" customWidth="1"/>
    <col min="11" max="11" width="8.57421875" style="7" customWidth="1"/>
    <col min="12" max="12" width="10.28125" style="7" bestFit="1" customWidth="1"/>
    <col min="13" max="13" width="2.8515625" style="7" customWidth="1"/>
    <col min="14" max="14" width="12.7109375" style="7" bestFit="1" customWidth="1"/>
    <col min="15" max="15" width="10.8515625" style="7" bestFit="1" customWidth="1"/>
    <col min="16" max="16" width="11.421875" style="7" customWidth="1"/>
    <col min="17" max="20" width="9.140625" style="7" customWidth="1"/>
    <col min="21" max="16384" width="9.140625" style="7" customWidth="1"/>
  </cols>
  <sheetData>
    <row r="1" spans="1:20" s="2" customFormat="1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234" t="str">
        <f>EBNUMBER</f>
        <v>EB-2013-0116</v>
      </c>
      <c r="O1" s="234"/>
      <c r="P1" s="195"/>
      <c r="T1" s="2">
        <v>1</v>
      </c>
    </row>
    <row r="2" spans="1:16" s="2" customFormat="1" ht="1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110</v>
      </c>
      <c r="N2" s="235" t="s">
        <v>111</v>
      </c>
      <c r="O2" s="235"/>
      <c r="P2" s="196"/>
    </row>
    <row r="3" spans="3:16" s="2" customFormat="1" ht="15" customHeight="1">
      <c r="C3" s="6"/>
      <c r="D3" s="6"/>
      <c r="E3" s="6"/>
      <c r="L3" s="3" t="s">
        <v>78</v>
      </c>
      <c r="N3" s="236" t="s">
        <v>89</v>
      </c>
      <c r="O3" s="236"/>
      <c r="P3" s="195"/>
    </row>
    <row r="4" spans="12:16" s="2" customFormat="1" ht="9" customHeight="1">
      <c r="L4" s="3"/>
      <c r="N4" s="252"/>
      <c r="O4" s="252"/>
      <c r="P4" s="197"/>
    </row>
    <row r="5" spans="12:16" s="2" customFormat="1" ht="15">
      <c r="L5" s="3" t="s">
        <v>100</v>
      </c>
      <c r="N5" s="237">
        <v>41695</v>
      </c>
      <c r="O5" s="237"/>
      <c r="P5" s="198"/>
    </row>
    <row r="6" spans="14:16" s="2" customFormat="1" ht="15" customHeight="1">
      <c r="N6" s="7"/>
      <c r="O6"/>
      <c r="P6"/>
    </row>
    <row r="7" spans="12:16" ht="7.5" customHeight="1">
      <c r="L7"/>
      <c r="M7"/>
      <c r="N7"/>
      <c r="O7"/>
      <c r="P7"/>
    </row>
    <row r="8" spans="2:16" ht="18.75" customHeight="1">
      <c r="B8" s="238" t="s">
        <v>1</v>
      </c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/>
    </row>
    <row r="9" spans="2:16" ht="18.75" customHeight="1">
      <c r="B9" s="238" t="s">
        <v>2</v>
      </c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/>
    </row>
    <row r="10" spans="12:16" ht="7.5" customHeight="1">
      <c r="L10"/>
      <c r="M10"/>
      <c r="N10"/>
      <c r="O10"/>
      <c r="P10"/>
    </row>
    <row r="11" spans="12:16" ht="7.5" customHeight="1">
      <c r="L11"/>
      <c r="M11"/>
      <c r="N11"/>
      <c r="O11"/>
      <c r="P11"/>
    </row>
    <row r="12" spans="2:15" ht="15.75">
      <c r="B12" s="8" t="s">
        <v>3</v>
      </c>
      <c r="D12" s="240" t="s">
        <v>67</v>
      </c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</row>
    <row r="13" spans="2:15" ht="7.5" customHeight="1">
      <c r="B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2:15" ht="15.75">
      <c r="B14" s="8" t="s">
        <v>4</v>
      </c>
      <c r="D14" s="11" t="s">
        <v>5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2:15" ht="15.75">
      <c r="B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2:7" ht="15">
      <c r="B16" s="12"/>
      <c r="D16" s="13" t="s">
        <v>6</v>
      </c>
      <c r="E16" s="13"/>
      <c r="F16" s="14">
        <v>10000</v>
      </c>
      <c r="G16" s="13" t="s">
        <v>7</v>
      </c>
    </row>
    <row r="17" ht="15">
      <c r="B17" s="12"/>
    </row>
    <row r="18" spans="2:15" ht="15">
      <c r="B18" s="12"/>
      <c r="D18" s="15"/>
      <c r="E18" s="15"/>
      <c r="F18" s="241" t="s">
        <v>8</v>
      </c>
      <c r="G18" s="242"/>
      <c r="H18" s="243"/>
      <c r="J18" s="241" t="s">
        <v>9</v>
      </c>
      <c r="K18" s="242"/>
      <c r="L18" s="243"/>
      <c r="N18" s="241" t="s">
        <v>10</v>
      </c>
      <c r="O18" s="243"/>
    </row>
    <row r="19" spans="2:15" ht="15">
      <c r="B19" s="12"/>
      <c r="D19" s="245" t="s">
        <v>11</v>
      </c>
      <c r="E19" s="16"/>
      <c r="F19" s="17" t="s">
        <v>12</v>
      </c>
      <c r="G19" s="17" t="s">
        <v>13</v>
      </c>
      <c r="H19" s="18" t="s">
        <v>14</v>
      </c>
      <c r="J19" s="17" t="s">
        <v>12</v>
      </c>
      <c r="K19" s="19" t="s">
        <v>13</v>
      </c>
      <c r="L19" s="18" t="s">
        <v>14</v>
      </c>
      <c r="N19" s="247" t="s">
        <v>15</v>
      </c>
      <c r="O19" s="249" t="s">
        <v>16</v>
      </c>
    </row>
    <row r="20" spans="2:15" ht="15">
      <c r="B20" s="12"/>
      <c r="D20" s="246"/>
      <c r="E20" s="16"/>
      <c r="F20" s="20" t="s">
        <v>17</v>
      </c>
      <c r="G20" s="20"/>
      <c r="H20" s="21" t="s">
        <v>17</v>
      </c>
      <c r="J20" s="20" t="s">
        <v>17</v>
      </c>
      <c r="K20" s="21"/>
      <c r="L20" s="21" t="s">
        <v>17</v>
      </c>
      <c r="N20" s="248"/>
      <c r="O20" s="250"/>
    </row>
    <row r="21" spans="2:15" ht="22.5" customHeight="1">
      <c r="B21" s="22" t="s">
        <v>18</v>
      </c>
      <c r="C21" s="22"/>
      <c r="D21" s="23" t="s">
        <v>60</v>
      </c>
      <c r="E21" s="24"/>
      <c r="F21" s="175">
        <f>'[2]2013 Existing Rates'!$C$7</f>
        <v>11.92</v>
      </c>
      <c r="G21" s="26">
        <v>1</v>
      </c>
      <c r="H21" s="27">
        <f>G21*F21</f>
        <v>11.92</v>
      </c>
      <c r="I21" s="28"/>
      <c r="J21" s="174">
        <f>'[3]Rate Schedule '!$E$16</f>
        <v>25.58</v>
      </c>
      <c r="K21" s="30">
        <v>1</v>
      </c>
      <c r="L21" s="27">
        <f>K21*J21</f>
        <v>25.58</v>
      </c>
      <c r="M21" s="28"/>
      <c r="N21" s="31">
        <f>L21-H21</f>
        <v>13.659999999999998</v>
      </c>
      <c r="O21" s="32">
        <f>IF((H21)=0,"",(N21/H21))</f>
        <v>1.1459731543624159</v>
      </c>
    </row>
    <row r="22" spans="2:15" ht="36.75" customHeight="1">
      <c r="B22" s="65" t="s">
        <v>62</v>
      </c>
      <c r="C22" s="22"/>
      <c r="D22" s="56" t="s">
        <v>60</v>
      </c>
      <c r="E22" s="24"/>
      <c r="F22" s="174">
        <v>4.89</v>
      </c>
      <c r="G22" s="26">
        <v>1</v>
      </c>
      <c r="H22" s="27">
        <f aca="true" t="shared" si="0" ref="H22:H36">G22*F22</f>
        <v>4.89</v>
      </c>
      <c r="I22" s="28"/>
      <c r="J22" s="29"/>
      <c r="K22" s="30">
        <v>1</v>
      </c>
      <c r="L22" s="27">
        <f>K22*J22</f>
        <v>0</v>
      </c>
      <c r="M22" s="28"/>
      <c r="N22" s="31">
        <f>L22-H22</f>
        <v>-4.89</v>
      </c>
      <c r="O22" s="32">
        <f>IF((H22)=0,"",(N22/H22))</f>
        <v>-1</v>
      </c>
    </row>
    <row r="23" spans="2:15" ht="36.75" customHeight="1">
      <c r="B23" s="176" t="s">
        <v>63</v>
      </c>
      <c r="C23" s="22"/>
      <c r="D23" s="56" t="s">
        <v>60</v>
      </c>
      <c r="E23" s="57"/>
      <c r="F23" s="174">
        <v>6.2</v>
      </c>
      <c r="G23" s="26">
        <v>1</v>
      </c>
      <c r="H23" s="27">
        <f t="shared" si="0"/>
        <v>6.2</v>
      </c>
      <c r="I23" s="28"/>
      <c r="J23" s="29"/>
      <c r="K23" s="30">
        <v>1</v>
      </c>
      <c r="L23" s="27">
        <f aca="true" t="shared" si="1" ref="L23:L36">K23*J23</f>
        <v>0</v>
      </c>
      <c r="M23" s="28"/>
      <c r="N23" s="31">
        <f aca="true" t="shared" si="2" ref="N23:N64">L23-H23</f>
        <v>-6.2</v>
      </c>
      <c r="O23" s="32">
        <f aca="true" t="shared" si="3" ref="O23:O44">IF((H23)=0,"",(N23/H23))</f>
        <v>-1</v>
      </c>
    </row>
    <row r="24" spans="2:15" ht="15">
      <c r="B24" s="176" t="s">
        <v>64</v>
      </c>
      <c r="C24" s="22"/>
      <c r="D24" s="23" t="s">
        <v>60</v>
      </c>
      <c r="E24" s="24"/>
      <c r="F24" s="25"/>
      <c r="G24" s="26">
        <v>1</v>
      </c>
      <c r="H24" s="27">
        <f t="shared" si="0"/>
        <v>0</v>
      </c>
      <c r="I24" s="28"/>
      <c r="J24" s="174">
        <v>10.02</v>
      </c>
      <c r="K24" s="30">
        <v>1</v>
      </c>
      <c r="L24" s="27">
        <f t="shared" si="1"/>
        <v>10.02</v>
      </c>
      <c r="M24" s="28"/>
      <c r="N24" s="31">
        <f t="shared" si="2"/>
        <v>10.02</v>
      </c>
      <c r="O24" s="32">
        <f t="shared" si="3"/>
      </c>
    </row>
    <row r="25" spans="2:15" ht="15">
      <c r="B25" s="46" t="s">
        <v>65</v>
      </c>
      <c r="C25" s="22"/>
      <c r="D25" s="23" t="s">
        <v>61</v>
      </c>
      <c r="E25" s="24"/>
      <c r="F25" s="25">
        <v>-0.0001</v>
      </c>
      <c r="G25" s="26">
        <f>$F$16</f>
        <v>10000</v>
      </c>
      <c r="H25" s="27">
        <f t="shared" si="0"/>
        <v>-1</v>
      </c>
      <c r="I25" s="28"/>
      <c r="J25" s="174"/>
      <c r="K25" s="26">
        <f>$F$16</f>
        <v>10000</v>
      </c>
      <c r="L25" s="27">
        <f t="shared" si="1"/>
        <v>0</v>
      </c>
      <c r="M25" s="28"/>
      <c r="N25" s="31">
        <f t="shared" si="2"/>
        <v>1</v>
      </c>
      <c r="O25" s="32">
        <f t="shared" si="3"/>
        <v>-1</v>
      </c>
    </row>
    <row r="26" spans="2:15" ht="15">
      <c r="B26" s="46" t="s">
        <v>66</v>
      </c>
      <c r="C26" s="22"/>
      <c r="D26" s="23" t="s">
        <v>61</v>
      </c>
      <c r="E26" s="24"/>
      <c r="F26" s="25"/>
      <c r="G26" s="26">
        <f>$F$16</f>
        <v>10000</v>
      </c>
      <c r="H26" s="27">
        <f t="shared" si="0"/>
        <v>0</v>
      </c>
      <c r="I26" s="28"/>
      <c r="J26" s="29">
        <f>'[4]6. Rate Rider Calculations'!$F$76</f>
        <v>-0.0023955525753637957</v>
      </c>
      <c r="K26" s="26">
        <f>$F$16</f>
        <v>10000</v>
      </c>
      <c r="L26" s="27">
        <f t="shared" si="1"/>
        <v>-23.955525753637957</v>
      </c>
      <c r="M26" s="28"/>
      <c r="N26" s="31">
        <f t="shared" si="2"/>
        <v>-23.955525753637957</v>
      </c>
      <c r="O26" s="32">
        <f t="shared" si="3"/>
      </c>
    </row>
    <row r="27" spans="2:15" ht="15">
      <c r="B27" s="22" t="s">
        <v>19</v>
      </c>
      <c r="C27" s="22"/>
      <c r="D27" s="23" t="s">
        <v>61</v>
      </c>
      <c r="E27" s="24"/>
      <c r="F27" s="25">
        <f>'[2]2013 Existing Rates'!$E$7</f>
        <v>0.0127</v>
      </c>
      <c r="G27" s="26">
        <f>$F$16</f>
        <v>10000</v>
      </c>
      <c r="H27" s="27">
        <f t="shared" si="0"/>
        <v>127</v>
      </c>
      <c r="I27" s="28"/>
      <c r="J27" s="29">
        <f>'[3]Rate Schedule '!$E$17</f>
        <v>0.0104</v>
      </c>
      <c r="K27" s="26">
        <f>$F$16</f>
        <v>10000</v>
      </c>
      <c r="L27" s="27">
        <f t="shared" si="1"/>
        <v>104</v>
      </c>
      <c r="M27" s="28"/>
      <c r="N27" s="31">
        <f t="shared" si="2"/>
        <v>-23</v>
      </c>
      <c r="O27" s="32">
        <f t="shared" si="3"/>
        <v>-0.18110236220472442</v>
      </c>
    </row>
    <row r="28" spans="2:15" ht="15" hidden="1">
      <c r="B28" s="22" t="s">
        <v>20</v>
      </c>
      <c r="C28" s="22"/>
      <c r="D28" s="23"/>
      <c r="E28" s="24"/>
      <c r="F28" s="25"/>
      <c r="G28" s="26">
        <f>$F$16</f>
        <v>10000</v>
      </c>
      <c r="H28" s="27">
        <f t="shared" si="0"/>
        <v>0</v>
      </c>
      <c r="I28" s="28"/>
      <c r="J28" s="29"/>
      <c r="K28" s="26">
        <f aca="true" t="shared" si="4" ref="K28:K36">$F$16</f>
        <v>10000</v>
      </c>
      <c r="L28" s="27">
        <f t="shared" si="1"/>
        <v>0</v>
      </c>
      <c r="M28" s="28"/>
      <c r="N28" s="31">
        <f t="shared" si="2"/>
        <v>0</v>
      </c>
      <c r="O28" s="32">
        <f t="shared" si="3"/>
      </c>
    </row>
    <row r="29" spans="2:15" ht="15" hidden="1">
      <c r="B29" s="22" t="s">
        <v>21</v>
      </c>
      <c r="C29" s="22"/>
      <c r="D29" s="23"/>
      <c r="E29" s="24"/>
      <c r="F29" s="25"/>
      <c r="G29" s="26">
        <f>$F$16</f>
        <v>10000</v>
      </c>
      <c r="H29" s="27">
        <f t="shared" si="0"/>
        <v>0</v>
      </c>
      <c r="I29" s="28"/>
      <c r="J29" s="29"/>
      <c r="K29" s="26">
        <f t="shared" si="4"/>
        <v>10000</v>
      </c>
      <c r="L29" s="27">
        <f t="shared" si="1"/>
        <v>0</v>
      </c>
      <c r="M29" s="28"/>
      <c r="N29" s="31">
        <f t="shared" si="2"/>
        <v>0</v>
      </c>
      <c r="O29" s="32">
        <f t="shared" si="3"/>
      </c>
    </row>
    <row r="30" spans="2:15" ht="15" hidden="1">
      <c r="B30" s="33"/>
      <c r="C30" s="22"/>
      <c r="D30" s="23"/>
      <c r="E30" s="24"/>
      <c r="F30" s="25"/>
      <c r="G30" s="26">
        <f aca="true" t="shared" si="5" ref="G30:G36">$F$16</f>
        <v>10000</v>
      </c>
      <c r="H30" s="27">
        <f t="shared" si="0"/>
        <v>0</v>
      </c>
      <c r="I30" s="28"/>
      <c r="J30" s="29"/>
      <c r="K30" s="26">
        <f t="shared" si="4"/>
        <v>10000</v>
      </c>
      <c r="L30" s="27">
        <f t="shared" si="1"/>
        <v>0</v>
      </c>
      <c r="M30" s="28"/>
      <c r="N30" s="31">
        <f t="shared" si="2"/>
        <v>0</v>
      </c>
      <c r="O30" s="32">
        <f t="shared" si="3"/>
      </c>
    </row>
    <row r="31" spans="2:15" ht="15" hidden="1">
      <c r="B31" s="33"/>
      <c r="C31" s="22"/>
      <c r="D31" s="23"/>
      <c r="E31" s="24"/>
      <c r="F31" s="25"/>
      <c r="G31" s="26">
        <f t="shared" si="5"/>
        <v>10000</v>
      </c>
      <c r="H31" s="27">
        <f t="shared" si="0"/>
        <v>0</v>
      </c>
      <c r="I31" s="28"/>
      <c r="J31" s="29"/>
      <c r="K31" s="26">
        <f t="shared" si="4"/>
        <v>10000</v>
      </c>
      <c r="L31" s="27">
        <f t="shared" si="1"/>
        <v>0</v>
      </c>
      <c r="M31" s="28"/>
      <c r="N31" s="31">
        <f t="shared" si="2"/>
        <v>0</v>
      </c>
      <c r="O31" s="32">
        <f t="shared" si="3"/>
      </c>
    </row>
    <row r="32" spans="2:15" ht="15" hidden="1">
      <c r="B32" s="33"/>
      <c r="C32" s="22"/>
      <c r="D32" s="23"/>
      <c r="E32" s="24"/>
      <c r="F32" s="25"/>
      <c r="G32" s="26">
        <f t="shared" si="5"/>
        <v>10000</v>
      </c>
      <c r="H32" s="27">
        <f t="shared" si="0"/>
        <v>0</v>
      </c>
      <c r="I32" s="28"/>
      <c r="J32" s="29"/>
      <c r="K32" s="26">
        <f t="shared" si="4"/>
        <v>10000</v>
      </c>
      <c r="L32" s="27">
        <f t="shared" si="1"/>
        <v>0</v>
      </c>
      <c r="M32" s="28"/>
      <c r="N32" s="31">
        <f t="shared" si="2"/>
        <v>0</v>
      </c>
      <c r="O32" s="32">
        <f t="shared" si="3"/>
      </c>
    </row>
    <row r="33" spans="2:15" ht="15" hidden="1">
      <c r="B33" s="33"/>
      <c r="C33" s="22"/>
      <c r="D33" s="23"/>
      <c r="E33" s="24"/>
      <c r="F33" s="25"/>
      <c r="G33" s="26">
        <f t="shared" si="5"/>
        <v>10000</v>
      </c>
      <c r="H33" s="27">
        <f t="shared" si="0"/>
        <v>0</v>
      </c>
      <c r="I33" s="28"/>
      <c r="J33" s="29"/>
      <c r="K33" s="26">
        <f t="shared" si="4"/>
        <v>10000</v>
      </c>
      <c r="L33" s="27">
        <f t="shared" si="1"/>
        <v>0</v>
      </c>
      <c r="M33" s="28"/>
      <c r="N33" s="31">
        <f t="shared" si="2"/>
        <v>0</v>
      </c>
      <c r="O33" s="32">
        <f t="shared" si="3"/>
      </c>
    </row>
    <row r="34" spans="2:15" ht="15" hidden="1">
      <c r="B34" s="33"/>
      <c r="C34" s="22"/>
      <c r="D34" s="23"/>
      <c r="E34" s="24"/>
      <c r="F34" s="25"/>
      <c r="G34" s="26">
        <f t="shared" si="5"/>
        <v>10000</v>
      </c>
      <c r="H34" s="27">
        <f t="shared" si="0"/>
        <v>0</v>
      </c>
      <c r="I34" s="28"/>
      <c r="J34" s="29"/>
      <c r="K34" s="26">
        <f t="shared" si="4"/>
        <v>10000</v>
      </c>
      <c r="L34" s="27">
        <f t="shared" si="1"/>
        <v>0</v>
      </c>
      <c r="M34" s="28"/>
      <c r="N34" s="31">
        <f t="shared" si="2"/>
        <v>0</v>
      </c>
      <c r="O34" s="32">
        <f t="shared" si="3"/>
      </c>
    </row>
    <row r="35" spans="2:15" ht="15" hidden="1">
      <c r="B35" s="33"/>
      <c r="C35" s="22"/>
      <c r="D35" s="23"/>
      <c r="E35" s="24"/>
      <c r="F35" s="25"/>
      <c r="G35" s="26">
        <f t="shared" si="5"/>
        <v>10000</v>
      </c>
      <c r="H35" s="27">
        <f t="shared" si="0"/>
        <v>0</v>
      </c>
      <c r="I35" s="28"/>
      <c r="J35" s="29"/>
      <c r="K35" s="26">
        <f t="shared" si="4"/>
        <v>10000</v>
      </c>
      <c r="L35" s="27">
        <f t="shared" si="1"/>
        <v>0</v>
      </c>
      <c r="M35" s="28"/>
      <c r="N35" s="31">
        <f t="shared" si="2"/>
        <v>0</v>
      </c>
      <c r="O35" s="32">
        <f t="shared" si="3"/>
      </c>
    </row>
    <row r="36" spans="2:15" ht="15" hidden="1">
      <c r="B36" s="33"/>
      <c r="C36" s="22"/>
      <c r="D36" s="23"/>
      <c r="E36" s="24"/>
      <c r="F36" s="25"/>
      <c r="G36" s="26">
        <f t="shared" si="5"/>
        <v>10000</v>
      </c>
      <c r="H36" s="27">
        <f t="shared" si="0"/>
        <v>0</v>
      </c>
      <c r="I36" s="28"/>
      <c r="J36" s="29"/>
      <c r="K36" s="26">
        <f t="shared" si="4"/>
        <v>10000</v>
      </c>
      <c r="L36" s="27">
        <f t="shared" si="1"/>
        <v>0</v>
      </c>
      <c r="M36" s="28"/>
      <c r="N36" s="31">
        <f t="shared" si="2"/>
        <v>0</v>
      </c>
      <c r="O36" s="32">
        <f t="shared" si="3"/>
      </c>
    </row>
    <row r="37" spans="2:15" s="34" customFormat="1" ht="15">
      <c r="B37" s="35" t="s">
        <v>22</v>
      </c>
      <c r="C37" s="36"/>
      <c r="D37" s="37"/>
      <c r="E37" s="36"/>
      <c r="F37" s="38"/>
      <c r="G37" s="39"/>
      <c r="H37" s="40">
        <f>SUM(H21:H36)</f>
        <v>149.01</v>
      </c>
      <c r="I37" s="41"/>
      <c r="J37" s="42"/>
      <c r="K37" s="43"/>
      <c r="L37" s="40">
        <f>SUM(L21:L36)</f>
        <v>115.64447424636204</v>
      </c>
      <c r="M37" s="41"/>
      <c r="N37" s="44">
        <f t="shared" si="2"/>
        <v>-33.365525753637954</v>
      </c>
      <c r="O37" s="45">
        <f t="shared" si="3"/>
        <v>-0.22391467521399877</v>
      </c>
    </row>
    <row r="38" spans="2:15" ht="15" hidden="1">
      <c r="B38" s="176"/>
      <c r="C38" s="22"/>
      <c r="D38" s="56" t="s">
        <v>60</v>
      </c>
      <c r="E38" s="24"/>
      <c r="F38" s="25"/>
      <c r="G38" s="26">
        <v>1</v>
      </c>
      <c r="H38" s="27">
        <f>G38*F38</f>
        <v>0</v>
      </c>
      <c r="I38" s="28"/>
      <c r="J38" s="174"/>
      <c r="K38" s="30">
        <v>1</v>
      </c>
      <c r="L38" s="27">
        <f>K38*J38</f>
        <v>0</v>
      </c>
      <c r="M38" s="28"/>
      <c r="N38" s="31">
        <f>L38-H38</f>
        <v>0</v>
      </c>
      <c r="O38" s="32">
        <f>IF((H38)=0,"",(N38/H38))</f>
      </c>
    </row>
    <row r="39" spans="2:15" ht="25.5">
      <c r="B39" s="46" t="s">
        <v>23</v>
      </c>
      <c r="C39" s="22"/>
      <c r="D39" s="56" t="s">
        <v>61</v>
      </c>
      <c r="E39" s="57"/>
      <c r="F39" s="29">
        <v>0.0003</v>
      </c>
      <c r="G39" s="26">
        <f>$F$16</f>
        <v>10000</v>
      </c>
      <c r="H39" s="27">
        <f aca="true" t="shared" si="6" ref="H39:H45">G39*F39</f>
        <v>2.9999999999999996</v>
      </c>
      <c r="I39" s="28"/>
      <c r="J39" s="29">
        <f>'[4]6. Rate Rider Calculations'!$F$21</f>
        <v>-0.001125755911208088</v>
      </c>
      <c r="K39" s="26">
        <f>$F$16</f>
        <v>10000</v>
      </c>
      <c r="L39" s="27">
        <f aca="true" t="shared" si="7" ref="L39:L45">K39*J39</f>
        <v>-11.257559112080878</v>
      </c>
      <c r="M39" s="28"/>
      <c r="N39" s="31">
        <f t="shared" si="2"/>
        <v>-14.257559112080878</v>
      </c>
      <c r="O39" s="32">
        <f t="shared" si="3"/>
        <v>-4.75251970402696</v>
      </c>
    </row>
    <row r="40" spans="2:15" ht="15" hidden="1">
      <c r="B40" s="46"/>
      <c r="C40" s="22"/>
      <c r="D40" s="23" t="s">
        <v>61</v>
      </c>
      <c r="E40" s="24"/>
      <c r="F40" s="25"/>
      <c r="G40" s="26">
        <f>$F$16</f>
        <v>10000</v>
      </c>
      <c r="H40" s="27">
        <f t="shared" si="6"/>
        <v>0</v>
      </c>
      <c r="I40" s="47"/>
      <c r="J40" s="29"/>
      <c r="K40" s="26">
        <f>$F$16</f>
        <v>10000</v>
      </c>
      <c r="L40" s="27">
        <f t="shared" si="7"/>
        <v>0</v>
      </c>
      <c r="M40" s="48"/>
      <c r="N40" s="31">
        <f t="shared" si="2"/>
        <v>0</v>
      </c>
      <c r="O40" s="32">
        <f t="shared" si="3"/>
      </c>
    </row>
    <row r="41" spans="2:15" ht="15" hidden="1">
      <c r="B41" s="46"/>
      <c r="C41" s="22"/>
      <c r="D41" s="23" t="s">
        <v>61</v>
      </c>
      <c r="E41" s="24"/>
      <c r="F41" s="25"/>
      <c r="G41" s="26">
        <f>$F$16</f>
        <v>10000</v>
      </c>
      <c r="H41" s="27">
        <f t="shared" si="6"/>
        <v>0</v>
      </c>
      <c r="I41" s="47"/>
      <c r="J41" s="29"/>
      <c r="K41" s="26">
        <f>$F$16</f>
        <v>10000</v>
      </c>
      <c r="L41" s="27">
        <f t="shared" si="7"/>
        <v>0</v>
      </c>
      <c r="M41" s="48"/>
      <c r="N41" s="31">
        <f t="shared" si="2"/>
        <v>0</v>
      </c>
      <c r="O41" s="32">
        <f t="shared" si="3"/>
      </c>
    </row>
    <row r="42" spans="2:15" ht="15" hidden="1">
      <c r="B42" s="46"/>
      <c r="C42" s="22"/>
      <c r="D42" s="23"/>
      <c r="E42" s="24"/>
      <c r="F42" s="25"/>
      <c r="G42" s="26">
        <f>$F$16</f>
        <v>10000</v>
      </c>
      <c r="H42" s="27">
        <f t="shared" si="6"/>
        <v>0</v>
      </c>
      <c r="I42" s="47"/>
      <c r="J42" s="29"/>
      <c r="K42" s="26">
        <f>$F$16</f>
        <v>10000</v>
      </c>
      <c r="L42" s="27">
        <f t="shared" si="7"/>
        <v>0</v>
      </c>
      <c r="M42" s="48"/>
      <c r="N42" s="31">
        <f t="shared" si="2"/>
        <v>0</v>
      </c>
      <c r="O42" s="32">
        <f t="shared" si="3"/>
      </c>
    </row>
    <row r="43" spans="2:15" ht="15">
      <c r="B43" s="49" t="s">
        <v>24</v>
      </c>
      <c r="C43" s="22"/>
      <c r="D43" s="23" t="s">
        <v>61</v>
      </c>
      <c r="E43" s="24"/>
      <c r="F43" s="25">
        <v>0</v>
      </c>
      <c r="G43" s="26">
        <f>$F$16</f>
        <v>10000</v>
      </c>
      <c r="H43" s="27">
        <f t="shared" si="6"/>
        <v>0</v>
      </c>
      <c r="I43" s="28"/>
      <c r="J43" s="29">
        <f>'[3]Rate Schedule '!$E$18</f>
        <v>0.0001</v>
      </c>
      <c r="K43" s="26">
        <f>$F$16</f>
        <v>10000</v>
      </c>
      <c r="L43" s="27">
        <f t="shared" si="7"/>
        <v>1</v>
      </c>
      <c r="M43" s="28"/>
      <c r="N43" s="31">
        <f t="shared" si="2"/>
        <v>1</v>
      </c>
      <c r="O43" s="32">
        <f t="shared" si="3"/>
      </c>
    </row>
    <row r="44" spans="2:15" s="34" customFormat="1" ht="15">
      <c r="B44" s="182" t="s">
        <v>25</v>
      </c>
      <c r="C44" s="24"/>
      <c r="D44" s="183" t="s">
        <v>61</v>
      </c>
      <c r="E44" s="24"/>
      <c r="F44" s="184">
        <f>IF(ISBLANK(D14)=TRUE,0,IF(D14="TOU",0.64*$F$54+0.18*$F$55+0.18*$F$56,IF(AND(D14="non-TOU",G58&gt;0),F58,F57)))</f>
        <v>0.08892</v>
      </c>
      <c r="G44" s="26">
        <f>$F$16*(1+$F$73)-$F$16</f>
        <v>286</v>
      </c>
      <c r="H44" s="185">
        <f t="shared" si="6"/>
        <v>25.43112</v>
      </c>
      <c r="I44" s="57"/>
      <c r="J44" s="186">
        <f>0.64*$F$54+0.18*$F$55+0.18*$F$56</f>
        <v>0.08892</v>
      </c>
      <c r="K44" s="26">
        <f>$F$16*(1+$J$73)-$F$16</f>
        <v>335</v>
      </c>
      <c r="L44" s="185">
        <f t="shared" si="7"/>
        <v>29.7882</v>
      </c>
      <c r="M44" s="57"/>
      <c r="N44" s="187">
        <f t="shared" si="2"/>
        <v>4.35708</v>
      </c>
      <c r="O44" s="188">
        <f t="shared" si="3"/>
        <v>0.17132867132867133</v>
      </c>
    </row>
    <row r="45" spans="2:15" ht="15">
      <c r="B45" s="49" t="s">
        <v>26</v>
      </c>
      <c r="C45" s="22"/>
      <c r="D45" s="23" t="s">
        <v>60</v>
      </c>
      <c r="E45" s="24"/>
      <c r="F45" s="179">
        <v>0.79</v>
      </c>
      <c r="G45" s="26">
        <v>1</v>
      </c>
      <c r="H45" s="27">
        <f t="shared" si="6"/>
        <v>0.79</v>
      </c>
      <c r="I45" s="28"/>
      <c r="J45" s="179">
        <v>0.79</v>
      </c>
      <c r="K45" s="26">
        <v>1</v>
      </c>
      <c r="L45" s="27">
        <f t="shared" si="7"/>
        <v>0.79</v>
      </c>
      <c r="M45" s="28"/>
      <c r="N45" s="31">
        <f t="shared" si="2"/>
        <v>0</v>
      </c>
      <c r="O45" s="32"/>
    </row>
    <row r="46" spans="2:15" ht="25.5">
      <c r="B46" s="50" t="s">
        <v>27</v>
      </c>
      <c r="C46" s="51"/>
      <c r="D46" s="51"/>
      <c r="E46" s="51"/>
      <c r="F46" s="52"/>
      <c r="G46" s="53"/>
      <c r="H46" s="54">
        <f>SUM(H38:H45)+H37</f>
        <v>178.23111999999998</v>
      </c>
      <c r="I46" s="41"/>
      <c r="J46" s="53"/>
      <c r="K46" s="55"/>
      <c r="L46" s="54">
        <f>SUM(L38:L45)+L37</f>
        <v>135.96511513428115</v>
      </c>
      <c r="M46" s="41"/>
      <c r="N46" s="44">
        <f t="shared" si="2"/>
        <v>-42.26600486571883</v>
      </c>
      <c r="O46" s="45">
        <f aca="true" t="shared" si="8" ref="O46:O64">IF((H46)=0,"",(N46/H46))</f>
        <v>-0.23714155454849206</v>
      </c>
    </row>
    <row r="47" spans="2:15" ht="15">
      <c r="B47" s="28" t="s">
        <v>28</v>
      </c>
      <c r="C47" s="28"/>
      <c r="D47" s="56" t="s">
        <v>61</v>
      </c>
      <c r="E47" s="57"/>
      <c r="F47" s="29">
        <v>0.0062</v>
      </c>
      <c r="G47" s="58">
        <f>F16*(1+F73)</f>
        <v>10286</v>
      </c>
      <c r="H47" s="27">
        <f>G47*F47</f>
        <v>63.773199999999996</v>
      </c>
      <c r="I47" s="28"/>
      <c r="J47" s="29">
        <f>'[5]13. Final 2014 RTS Rates'!$F$27</f>
        <v>0.005811873445206607</v>
      </c>
      <c r="K47" s="59">
        <f>F16*(1+J73)</f>
        <v>10335</v>
      </c>
      <c r="L47" s="27">
        <f>K47*J47</f>
        <v>60.06571205621029</v>
      </c>
      <c r="M47" s="28"/>
      <c r="N47" s="31">
        <f t="shared" si="2"/>
        <v>-3.707487943789708</v>
      </c>
      <c r="O47" s="32">
        <f t="shared" si="8"/>
        <v>-0.05813551685958535</v>
      </c>
    </row>
    <row r="48" spans="2:15" ht="30">
      <c r="B48" s="60" t="s">
        <v>29</v>
      </c>
      <c r="C48" s="28"/>
      <c r="D48" s="56" t="s">
        <v>61</v>
      </c>
      <c r="E48" s="57"/>
      <c r="F48" s="29">
        <v>0.0036</v>
      </c>
      <c r="G48" s="58">
        <f>G47</f>
        <v>10286</v>
      </c>
      <c r="H48" s="27">
        <f>G48*F48</f>
        <v>37.0296</v>
      </c>
      <c r="I48" s="28"/>
      <c r="J48" s="29">
        <f>'[5]13. Final 2014 RTS Rates'!$H$27</f>
        <v>0.003920192695861129</v>
      </c>
      <c r="K48" s="59">
        <f>K47</f>
        <v>10335</v>
      </c>
      <c r="L48" s="27">
        <f>K48*J48</f>
        <v>40.51519151172477</v>
      </c>
      <c r="M48" s="28"/>
      <c r="N48" s="31">
        <f t="shared" si="2"/>
        <v>3.4855915117247704</v>
      </c>
      <c r="O48" s="32">
        <f t="shared" si="8"/>
        <v>0.09412987209488545</v>
      </c>
    </row>
    <row r="49" spans="2:15" ht="25.5">
      <c r="B49" s="50" t="s">
        <v>30</v>
      </c>
      <c r="C49" s="36"/>
      <c r="D49" s="36"/>
      <c r="E49" s="36"/>
      <c r="F49" s="61"/>
      <c r="G49" s="53"/>
      <c r="H49" s="54">
        <f>SUM(H46:H48)</f>
        <v>279.03391999999997</v>
      </c>
      <c r="I49" s="62"/>
      <c r="J49" s="63"/>
      <c r="K49" s="64"/>
      <c r="L49" s="54">
        <f>SUM(L46:L48)</f>
        <v>236.5460187022162</v>
      </c>
      <c r="M49" s="62"/>
      <c r="N49" s="44">
        <f t="shared" si="2"/>
        <v>-42.487901297783765</v>
      </c>
      <c r="O49" s="45">
        <f t="shared" si="8"/>
        <v>-0.1522678722994816</v>
      </c>
    </row>
    <row r="50" spans="2:15" ht="30">
      <c r="B50" s="65" t="s">
        <v>31</v>
      </c>
      <c r="C50" s="22"/>
      <c r="D50" s="23" t="s">
        <v>61</v>
      </c>
      <c r="E50" s="24"/>
      <c r="F50" s="66">
        <v>0.0044</v>
      </c>
      <c r="G50" s="58">
        <f>G48</f>
        <v>10286</v>
      </c>
      <c r="H50" s="67">
        <f aca="true" t="shared" si="9" ref="H50:H56">G50*F50</f>
        <v>45.2584</v>
      </c>
      <c r="I50" s="28"/>
      <c r="J50" s="68">
        <v>0.0044</v>
      </c>
      <c r="K50" s="59">
        <f>K48</f>
        <v>10335</v>
      </c>
      <c r="L50" s="67">
        <f aca="true" t="shared" si="10" ref="L50:L56">K50*J50</f>
        <v>45.474000000000004</v>
      </c>
      <c r="M50" s="28"/>
      <c r="N50" s="31">
        <f t="shared" si="2"/>
        <v>0.215600000000002</v>
      </c>
      <c r="O50" s="69">
        <f t="shared" si="8"/>
        <v>0.0047637565623177575</v>
      </c>
    </row>
    <row r="51" spans="2:15" ht="15">
      <c r="B51" s="65" t="s">
        <v>32</v>
      </c>
      <c r="C51" s="22"/>
      <c r="D51" s="23" t="s">
        <v>61</v>
      </c>
      <c r="E51" s="24"/>
      <c r="F51" s="66">
        <v>0.0012</v>
      </c>
      <c r="G51" s="58">
        <f>G48</f>
        <v>10286</v>
      </c>
      <c r="H51" s="67">
        <f t="shared" si="9"/>
        <v>12.3432</v>
      </c>
      <c r="I51" s="28"/>
      <c r="J51" s="68">
        <v>0.0012</v>
      </c>
      <c r="K51" s="59">
        <f>K48</f>
        <v>10335</v>
      </c>
      <c r="L51" s="67">
        <f t="shared" si="10"/>
        <v>12.402</v>
      </c>
      <c r="M51" s="28"/>
      <c r="N51" s="31">
        <f t="shared" si="2"/>
        <v>0.05879999999999974</v>
      </c>
      <c r="O51" s="69">
        <f t="shared" si="8"/>
        <v>0.0047637565623176925</v>
      </c>
    </row>
    <row r="52" spans="2:15" ht="15">
      <c r="B52" s="22" t="s">
        <v>33</v>
      </c>
      <c r="C52" s="22"/>
      <c r="D52" s="23" t="s">
        <v>60</v>
      </c>
      <c r="E52" s="24"/>
      <c r="F52" s="177">
        <v>0.25</v>
      </c>
      <c r="G52" s="26">
        <v>1</v>
      </c>
      <c r="H52" s="67">
        <f t="shared" si="9"/>
        <v>0.25</v>
      </c>
      <c r="I52" s="28"/>
      <c r="J52" s="178">
        <v>0.25</v>
      </c>
      <c r="K52" s="30">
        <v>1</v>
      </c>
      <c r="L52" s="67">
        <f t="shared" si="10"/>
        <v>0.25</v>
      </c>
      <c r="M52" s="28"/>
      <c r="N52" s="31">
        <f t="shared" si="2"/>
        <v>0</v>
      </c>
      <c r="O52" s="69">
        <f t="shared" si="8"/>
        <v>0</v>
      </c>
    </row>
    <row r="53" spans="2:15" ht="15">
      <c r="B53" s="22" t="s">
        <v>34</v>
      </c>
      <c r="C53" s="22"/>
      <c r="D53" s="23" t="s">
        <v>61</v>
      </c>
      <c r="E53" s="24"/>
      <c r="F53" s="66">
        <v>0.007</v>
      </c>
      <c r="G53" s="70">
        <f>F16</f>
        <v>10000</v>
      </c>
      <c r="H53" s="67">
        <f t="shared" si="9"/>
        <v>70</v>
      </c>
      <c r="I53" s="28"/>
      <c r="J53" s="68">
        <f>0.007</f>
        <v>0.007</v>
      </c>
      <c r="K53" s="71">
        <f>F16</f>
        <v>10000</v>
      </c>
      <c r="L53" s="67">
        <f t="shared" si="10"/>
        <v>70</v>
      </c>
      <c r="M53" s="28"/>
      <c r="N53" s="31">
        <f t="shared" si="2"/>
        <v>0</v>
      </c>
      <c r="O53" s="69">
        <f t="shared" si="8"/>
        <v>0</v>
      </c>
    </row>
    <row r="54" spans="2:19" ht="15">
      <c r="B54" s="49" t="s">
        <v>35</v>
      </c>
      <c r="C54" s="22"/>
      <c r="D54" s="23" t="s">
        <v>61</v>
      </c>
      <c r="E54" s="24"/>
      <c r="F54" s="72">
        <v>0.072</v>
      </c>
      <c r="G54" s="70">
        <f>0.64*$F$16</f>
        <v>6400</v>
      </c>
      <c r="H54" s="67">
        <f t="shared" si="9"/>
        <v>460.79999999999995</v>
      </c>
      <c r="I54" s="28"/>
      <c r="J54" s="66">
        <v>0.072</v>
      </c>
      <c r="K54" s="70">
        <f>G54</f>
        <v>6400</v>
      </c>
      <c r="L54" s="67">
        <f t="shared" si="10"/>
        <v>460.79999999999995</v>
      </c>
      <c r="M54" s="28"/>
      <c r="N54" s="31">
        <f t="shared" si="2"/>
        <v>0</v>
      </c>
      <c r="O54" s="69">
        <f t="shared" si="8"/>
        <v>0</v>
      </c>
      <c r="S54" s="73"/>
    </row>
    <row r="55" spans="2:19" ht="15">
      <c r="B55" s="49" t="s">
        <v>36</v>
      </c>
      <c r="C55" s="22"/>
      <c r="D55" s="23" t="s">
        <v>61</v>
      </c>
      <c r="E55" s="24"/>
      <c r="F55" s="72">
        <v>0.109</v>
      </c>
      <c r="G55" s="70">
        <f>0.18*$F$16</f>
        <v>1800</v>
      </c>
      <c r="H55" s="67">
        <f t="shared" si="9"/>
        <v>196.2</v>
      </c>
      <c r="I55" s="28"/>
      <c r="J55" s="66">
        <v>0.109</v>
      </c>
      <c r="K55" s="70">
        <f>G55</f>
        <v>1800</v>
      </c>
      <c r="L55" s="67">
        <f t="shared" si="10"/>
        <v>196.2</v>
      </c>
      <c r="M55" s="28"/>
      <c r="N55" s="31">
        <f t="shared" si="2"/>
        <v>0</v>
      </c>
      <c r="O55" s="69">
        <f t="shared" si="8"/>
        <v>0</v>
      </c>
      <c r="S55" s="73"/>
    </row>
    <row r="56" spans="2:19" ht="15">
      <c r="B56" s="12" t="s">
        <v>37</v>
      </c>
      <c r="C56" s="22"/>
      <c r="D56" s="23" t="s">
        <v>61</v>
      </c>
      <c r="E56" s="24"/>
      <c r="F56" s="72">
        <v>0.129</v>
      </c>
      <c r="G56" s="70">
        <f>0.18*$F$16</f>
        <v>1800</v>
      </c>
      <c r="H56" s="67">
        <f t="shared" si="9"/>
        <v>232.20000000000002</v>
      </c>
      <c r="I56" s="28"/>
      <c r="J56" s="66">
        <v>0.129</v>
      </c>
      <c r="K56" s="70">
        <f>G56</f>
        <v>1800</v>
      </c>
      <c r="L56" s="67">
        <f t="shared" si="10"/>
        <v>232.20000000000002</v>
      </c>
      <c r="M56" s="28"/>
      <c r="N56" s="31">
        <f t="shared" si="2"/>
        <v>0</v>
      </c>
      <c r="O56" s="69">
        <f t="shared" si="8"/>
        <v>0</v>
      </c>
      <c r="S56" s="73"/>
    </row>
    <row r="57" spans="2:15" s="74" customFormat="1" ht="15">
      <c r="B57" s="75" t="s">
        <v>38</v>
      </c>
      <c r="C57" s="76"/>
      <c r="D57" s="77" t="s">
        <v>61</v>
      </c>
      <c r="E57" s="78"/>
      <c r="F57" s="72">
        <v>0.083</v>
      </c>
      <c r="G57" s="79">
        <f>IF(AND($T$1=1,F16&gt;=600),600,IF(AND($T$1=1,AND(F16&lt;600,F16&gt;=0)),F16,IF(AND($T$1=2,F16&gt;=1000),1000,IF(AND($T$1=2,AND(F16&lt;1000,F16&gt;=0)),F16))))</f>
        <v>600</v>
      </c>
      <c r="H57" s="67">
        <f>G57*F57</f>
        <v>49.800000000000004</v>
      </c>
      <c r="I57" s="80"/>
      <c r="J57" s="66">
        <v>0.083</v>
      </c>
      <c r="K57" s="79">
        <f>G57</f>
        <v>600</v>
      </c>
      <c r="L57" s="67">
        <f>K57*J57</f>
        <v>49.800000000000004</v>
      </c>
      <c r="M57" s="80"/>
      <c r="N57" s="81">
        <f t="shared" si="2"/>
        <v>0</v>
      </c>
      <c r="O57" s="69">
        <f t="shared" si="8"/>
        <v>0</v>
      </c>
    </row>
    <row r="58" spans="2:15" s="74" customFormat="1" ht="15.75" thickBot="1">
      <c r="B58" s="75" t="s">
        <v>39</v>
      </c>
      <c r="C58" s="76"/>
      <c r="D58" s="77" t="s">
        <v>61</v>
      </c>
      <c r="E58" s="78"/>
      <c r="F58" s="72">
        <v>0.097</v>
      </c>
      <c r="G58" s="79">
        <f>IF(AND($T$1=1,F16&gt;=600),F16-600,IF(AND($T$1=1,AND(F16&lt;600,F16&gt;=0)),0,IF(AND($T$1=2,F16&gt;=1000),F16-1000,IF(AND($T$1=2,AND(F16&lt;1000,F16&gt;=0)),0))))</f>
        <v>9400</v>
      </c>
      <c r="H58" s="67">
        <f>G58*F58</f>
        <v>911.8000000000001</v>
      </c>
      <c r="I58" s="80"/>
      <c r="J58" s="66">
        <v>0.097</v>
      </c>
      <c r="K58" s="79">
        <f>G58</f>
        <v>9400</v>
      </c>
      <c r="L58" s="67">
        <f>K58*J58</f>
        <v>911.8000000000001</v>
      </c>
      <c r="M58" s="80"/>
      <c r="N58" s="81">
        <f t="shared" si="2"/>
        <v>0</v>
      </c>
      <c r="O58" s="69">
        <f t="shared" si="8"/>
        <v>0</v>
      </c>
    </row>
    <row r="59" spans="2:15" ht="8.25" customHeight="1" thickBot="1">
      <c r="B59" s="82"/>
      <c r="C59" s="83"/>
      <c r="D59" s="84"/>
      <c r="E59" s="83"/>
      <c r="F59" s="85"/>
      <c r="G59" s="86"/>
      <c r="H59" s="87"/>
      <c r="I59" s="88"/>
      <c r="J59" s="85"/>
      <c r="K59" s="89"/>
      <c r="L59" s="87"/>
      <c r="M59" s="88"/>
      <c r="N59" s="90"/>
      <c r="O59" s="91"/>
    </row>
    <row r="60" spans="2:19" ht="15">
      <c r="B60" s="92" t="s">
        <v>40</v>
      </c>
      <c r="C60" s="22"/>
      <c r="D60" s="22"/>
      <c r="E60" s="22"/>
      <c r="F60" s="93"/>
      <c r="G60" s="94"/>
      <c r="H60" s="95">
        <f>SUM(H50:H56,H49)</f>
        <v>1296.08552</v>
      </c>
      <c r="I60" s="96"/>
      <c r="J60" s="97"/>
      <c r="K60" s="97"/>
      <c r="L60" s="191">
        <f>SUM(L50:L56,L49)</f>
        <v>1253.8720187022163</v>
      </c>
      <c r="M60" s="98"/>
      <c r="N60" s="99">
        <f>L60-H60</f>
        <v>-42.21350129778375</v>
      </c>
      <c r="O60" s="100">
        <f>IF((H60)=0,"",(N60/H60))</f>
        <v>-0.032569996845411675</v>
      </c>
      <c r="S60" s="73"/>
    </row>
    <row r="61" spans="2:19" ht="15">
      <c r="B61" s="101" t="s">
        <v>41</v>
      </c>
      <c r="C61" s="22"/>
      <c r="D61" s="22"/>
      <c r="E61" s="22"/>
      <c r="F61" s="102">
        <v>0.13</v>
      </c>
      <c r="G61" s="103"/>
      <c r="H61" s="104">
        <f>H60*F61</f>
        <v>168.49111760000002</v>
      </c>
      <c r="I61" s="105"/>
      <c r="J61" s="106">
        <v>0.13</v>
      </c>
      <c r="K61" s="105"/>
      <c r="L61" s="107">
        <f>L60*J61</f>
        <v>163.00336243128814</v>
      </c>
      <c r="M61" s="108"/>
      <c r="N61" s="109">
        <f t="shared" si="2"/>
        <v>-5.487755168711885</v>
      </c>
      <c r="O61" s="110">
        <f t="shared" si="8"/>
        <v>-0.032569996845411654</v>
      </c>
      <c r="S61" s="73"/>
    </row>
    <row r="62" spans="2:19" ht="15">
      <c r="B62" s="111" t="s">
        <v>42</v>
      </c>
      <c r="C62" s="22"/>
      <c r="D62" s="22"/>
      <c r="E62" s="22"/>
      <c r="F62" s="112"/>
      <c r="G62" s="103"/>
      <c r="H62" s="104">
        <f>H60+H61</f>
        <v>1464.5766376000001</v>
      </c>
      <c r="I62" s="105"/>
      <c r="J62" s="105"/>
      <c r="K62" s="105"/>
      <c r="L62" s="107">
        <f>L60+L61</f>
        <v>1416.8753811335046</v>
      </c>
      <c r="M62" s="108"/>
      <c r="N62" s="109">
        <f t="shared" si="2"/>
        <v>-47.70125646649558</v>
      </c>
      <c r="O62" s="110">
        <f t="shared" si="8"/>
        <v>-0.03256999684541163</v>
      </c>
      <c r="S62" s="73"/>
    </row>
    <row r="63" spans="2:15" ht="15.75" customHeight="1">
      <c r="B63" s="251" t="s">
        <v>43</v>
      </c>
      <c r="C63" s="251"/>
      <c r="D63" s="251"/>
      <c r="E63" s="22"/>
      <c r="F63" s="112"/>
      <c r="G63" s="103"/>
      <c r="H63" s="113">
        <f>ROUND(-H62*10%,2)</f>
        <v>-146.46</v>
      </c>
      <c r="I63" s="105"/>
      <c r="J63" s="105"/>
      <c r="K63" s="105"/>
      <c r="L63" s="114">
        <f>ROUND(-L62*10%,2)</f>
        <v>-141.69</v>
      </c>
      <c r="M63" s="108"/>
      <c r="N63" s="115">
        <f t="shared" si="2"/>
        <v>4.77000000000001</v>
      </c>
      <c r="O63" s="116">
        <f t="shared" si="8"/>
        <v>-0.03256861941827127</v>
      </c>
    </row>
    <row r="64" spans="2:15" ht="15.75" thickBot="1">
      <c r="B64" s="233" t="s">
        <v>44</v>
      </c>
      <c r="C64" s="233"/>
      <c r="D64" s="233"/>
      <c r="E64" s="117"/>
      <c r="F64" s="118"/>
      <c r="G64" s="119"/>
      <c r="H64" s="120">
        <f>H62+H63</f>
        <v>1318.1166376</v>
      </c>
      <c r="I64" s="121"/>
      <c r="J64" s="121"/>
      <c r="K64" s="121"/>
      <c r="L64" s="122">
        <f>L62+L63</f>
        <v>1275.1853811335045</v>
      </c>
      <c r="M64" s="123"/>
      <c r="N64" s="124">
        <f t="shared" si="2"/>
        <v>-42.9312564664956</v>
      </c>
      <c r="O64" s="125">
        <f t="shared" si="8"/>
        <v>-0.03257014989558432</v>
      </c>
    </row>
    <row r="65" spans="2:15" s="74" customFormat="1" ht="8.25" customHeight="1" thickBot="1">
      <c r="B65" s="126"/>
      <c r="C65" s="127"/>
      <c r="D65" s="128"/>
      <c r="E65" s="127"/>
      <c r="F65" s="85"/>
      <c r="G65" s="129"/>
      <c r="H65" s="87"/>
      <c r="I65" s="130"/>
      <c r="J65" s="85"/>
      <c r="K65" s="131"/>
      <c r="L65" s="87"/>
      <c r="M65" s="130"/>
      <c r="N65" s="132"/>
      <c r="O65" s="91"/>
    </row>
    <row r="66" spans="2:15" s="74" customFormat="1" ht="12.75">
      <c r="B66" s="133" t="s">
        <v>45</v>
      </c>
      <c r="C66" s="76"/>
      <c r="D66" s="76"/>
      <c r="E66" s="76"/>
      <c r="F66" s="134"/>
      <c r="G66" s="135"/>
      <c r="H66" s="136">
        <f>SUM(H57:H58,H49,H50:H53)</f>
        <v>1368.48552</v>
      </c>
      <c r="I66" s="137"/>
      <c r="J66" s="138"/>
      <c r="K66" s="138"/>
      <c r="L66" s="190">
        <f>SUM(L57:L58,L49,L50:L53)</f>
        <v>1326.2720187022162</v>
      </c>
      <c r="M66" s="139"/>
      <c r="N66" s="140">
        <f>L66-H66</f>
        <v>-42.21350129778375</v>
      </c>
      <c r="O66" s="100">
        <f>IF((H66)=0,"",(N66/H66))</f>
        <v>-0.03084687465146416</v>
      </c>
    </row>
    <row r="67" spans="2:15" s="74" customFormat="1" ht="12.75">
      <c r="B67" s="141" t="s">
        <v>41</v>
      </c>
      <c r="C67" s="76"/>
      <c r="D67" s="76"/>
      <c r="E67" s="76"/>
      <c r="F67" s="142">
        <v>0.13</v>
      </c>
      <c r="G67" s="135"/>
      <c r="H67" s="143">
        <f>H66*F67</f>
        <v>177.9031176</v>
      </c>
      <c r="I67" s="144"/>
      <c r="J67" s="145">
        <v>0.13</v>
      </c>
      <c r="K67" s="146"/>
      <c r="L67" s="147">
        <f>L66*J67</f>
        <v>172.41536243128812</v>
      </c>
      <c r="M67" s="148"/>
      <c r="N67" s="149">
        <f>L67-H67</f>
        <v>-5.487755168711885</v>
      </c>
      <c r="O67" s="110">
        <f>IF((H67)=0,"",(N67/H67))</f>
        <v>-0.030846874651464146</v>
      </c>
    </row>
    <row r="68" spans="2:15" s="74" customFormat="1" ht="12.75">
      <c r="B68" s="150" t="s">
        <v>42</v>
      </c>
      <c r="C68" s="76"/>
      <c r="D68" s="76"/>
      <c r="E68" s="76"/>
      <c r="F68" s="151"/>
      <c r="G68" s="152"/>
      <c r="H68" s="143">
        <f>H66+H67</f>
        <v>1546.3886376</v>
      </c>
      <c r="I68" s="144"/>
      <c r="J68" s="144"/>
      <c r="K68" s="144"/>
      <c r="L68" s="147">
        <f>L66+L67</f>
        <v>1498.6873811335042</v>
      </c>
      <c r="M68" s="148"/>
      <c r="N68" s="149">
        <f>L68-H68</f>
        <v>-47.701256466495806</v>
      </c>
      <c r="O68" s="110">
        <f>IF((H68)=0,"",(N68/H68))</f>
        <v>-0.030846874651464268</v>
      </c>
    </row>
    <row r="69" spans="2:15" s="74" customFormat="1" ht="15.75" customHeight="1">
      <c r="B69" s="239" t="s">
        <v>43</v>
      </c>
      <c r="C69" s="239"/>
      <c r="D69" s="239"/>
      <c r="E69" s="76"/>
      <c r="F69" s="151"/>
      <c r="G69" s="152"/>
      <c r="H69" s="153">
        <f>ROUND(-H68*10%,2)</f>
        <v>-154.64</v>
      </c>
      <c r="I69" s="144"/>
      <c r="J69" s="144"/>
      <c r="K69" s="144"/>
      <c r="L69" s="154">
        <f>ROUND(-L68*10%,2)</f>
        <v>-149.87</v>
      </c>
      <c r="M69" s="148"/>
      <c r="N69" s="155">
        <f>L69-H69</f>
        <v>4.769999999999982</v>
      </c>
      <c r="O69" s="116">
        <f>IF((H69)=0,"",(N69/H69))</f>
        <v>-0.030845835488877277</v>
      </c>
    </row>
    <row r="70" spans="2:15" s="74" customFormat="1" ht="13.5" thickBot="1">
      <c r="B70" s="244" t="s">
        <v>46</v>
      </c>
      <c r="C70" s="244"/>
      <c r="D70" s="244"/>
      <c r="E70" s="156"/>
      <c r="F70" s="157"/>
      <c r="G70" s="158"/>
      <c r="H70" s="159">
        <f>SUM(H68:H69)</f>
        <v>1391.7486376000002</v>
      </c>
      <c r="I70" s="160"/>
      <c r="J70" s="160"/>
      <c r="K70" s="160"/>
      <c r="L70" s="161">
        <f>SUM(L68:L69)</f>
        <v>1348.817381133504</v>
      </c>
      <c r="M70" s="162"/>
      <c r="N70" s="163">
        <f>L70-H70</f>
        <v>-42.93125646649605</v>
      </c>
      <c r="O70" s="164">
        <f>IF((H70)=0,"",(N70/H70))</f>
        <v>-0.030846990114916744</v>
      </c>
    </row>
    <row r="71" spans="2:15" s="74" customFormat="1" ht="8.25" customHeight="1" thickBot="1">
      <c r="B71" s="126"/>
      <c r="C71" s="127"/>
      <c r="D71" s="128"/>
      <c r="E71" s="127"/>
      <c r="F71" s="165"/>
      <c r="G71" s="166"/>
      <c r="H71" s="167"/>
      <c r="I71" s="168"/>
      <c r="J71" s="165"/>
      <c r="K71" s="129"/>
      <c r="L71" s="169"/>
      <c r="M71" s="130"/>
      <c r="N71" s="170"/>
      <c r="O71" s="91"/>
    </row>
    <row r="72" ht="10.5" customHeight="1">
      <c r="L72" s="73"/>
    </row>
    <row r="73" spans="2:10" ht="15">
      <c r="B73" s="13" t="s">
        <v>47</v>
      </c>
      <c r="F73" s="171">
        <v>0.0286</v>
      </c>
      <c r="J73" s="171">
        <v>0.0335</v>
      </c>
    </row>
    <row r="74" ht="10.5" customHeight="1"/>
    <row r="75" ht="15">
      <c r="A75" s="172" t="s">
        <v>48</v>
      </c>
    </row>
    <row r="76" ht="10.5" customHeight="1"/>
    <row r="77" ht="15">
      <c r="A77" s="7" t="s">
        <v>49</v>
      </c>
    </row>
    <row r="78" ht="15">
      <c r="A78" s="7" t="s">
        <v>50</v>
      </c>
    </row>
    <row r="80" ht="15">
      <c r="A80" s="12" t="s">
        <v>51</v>
      </c>
    </row>
    <row r="81" ht="15">
      <c r="A81" s="12" t="s">
        <v>52</v>
      </c>
    </row>
    <row r="83" ht="15">
      <c r="A83" s="7" t="s">
        <v>53</v>
      </c>
    </row>
    <row r="84" ht="15">
      <c r="A84" s="7" t="s">
        <v>54</v>
      </c>
    </row>
    <row r="85" ht="15">
      <c r="A85" s="7" t="s">
        <v>55</v>
      </c>
    </row>
    <row r="86" ht="15">
      <c r="A86" s="7" t="s">
        <v>56</v>
      </c>
    </row>
    <row r="87" ht="15">
      <c r="A87" s="7" t="s">
        <v>57</v>
      </c>
    </row>
    <row r="89" spans="1:2" ht="15">
      <c r="A89" s="173"/>
      <c r="B89" s="7" t="s">
        <v>58</v>
      </c>
    </row>
  </sheetData>
  <sheetProtection/>
  <mergeCells count="18">
    <mergeCell ref="D12:O12"/>
    <mergeCell ref="F18:H18"/>
    <mergeCell ref="J18:L18"/>
    <mergeCell ref="N18:O18"/>
    <mergeCell ref="B70:D70"/>
    <mergeCell ref="D19:D20"/>
    <mergeCell ref="N19:N20"/>
    <mergeCell ref="O19:O20"/>
    <mergeCell ref="B63:D63"/>
    <mergeCell ref="B64:D64"/>
    <mergeCell ref="B69:D69"/>
    <mergeCell ref="N1:O1"/>
    <mergeCell ref="N2:O2"/>
    <mergeCell ref="N4:O4"/>
    <mergeCell ref="N5:O5"/>
    <mergeCell ref="B8:O8"/>
    <mergeCell ref="B9:O9"/>
    <mergeCell ref="N3:O3"/>
  </mergeCells>
  <dataValidations count="4">
    <dataValidation type="list" allowBlank="1" showInputMessage="1" showErrorMessage="1" sqref="D14">
      <formula1>"TOU, non-TOU"</formula1>
    </dataValidation>
    <dataValidation type="list" allowBlank="1" showInputMessage="1" showErrorMessage="1" sqref="E71 E65 E57:E58">
      <formula1>'GS&lt;50 (10,000kWh)'!#REF!</formula1>
    </dataValidation>
    <dataValidation type="list" allowBlank="1" showInputMessage="1" showErrorMessage="1" prompt="Select Charge Unit - monthly, per kWh, per kW" sqref="D47:D48 D65 D71 D50:D59 D38:D45 D21:D36">
      <formula1>"Monthly, per kWh, per kW"</formula1>
    </dataValidation>
    <dataValidation type="list" allowBlank="1" showInputMessage="1" showErrorMessage="1" sqref="E47:E48 E50:E56 E59 E38:E45 E21:E36">
      <formula1>'GS&lt;50 (10,000kWh)'!#REF!</formula1>
    </dataValidation>
  </dataValidations>
  <printOptions/>
  <pageMargins left="0.7" right="0.7" top="0.75" bottom="0.75" header="0.3" footer="0.3"/>
  <pageSetup fitToHeight="0" fitToWidth="1" horizontalDpi="600" verticalDpi="600" orientation="portrait" scale="5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9"/>
  <sheetViews>
    <sheetView showGridLines="0" zoomScalePageLayoutView="0" workbookViewId="0" topLeftCell="A1">
      <selection activeCell="J5" sqref="J5"/>
    </sheetView>
  </sheetViews>
  <sheetFormatPr defaultColWidth="9.140625" defaultRowHeight="15"/>
  <cols>
    <col min="1" max="1" width="2.140625" style="7" customWidth="1"/>
    <col min="2" max="2" width="44.57421875" style="7" customWidth="1"/>
    <col min="3" max="3" width="1.28515625" style="7" customWidth="1"/>
    <col min="4" max="4" width="11.28125" style="7" customWidth="1"/>
    <col min="5" max="5" width="1.28515625" style="7" customWidth="1"/>
    <col min="6" max="6" width="12.28125" style="7" customWidth="1"/>
    <col min="7" max="7" width="8.57421875" style="7" customWidth="1"/>
    <col min="8" max="8" width="10.57421875" style="7" bestFit="1" customWidth="1"/>
    <col min="9" max="9" width="2.8515625" style="7" customWidth="1"/>
    <col min="10" max="10" width="12.140625" style="7" customWidth="1"/>
    <col min="11" max="11" width="8.57421875" style="7" customWidth="1"/>
    <col min="12" max="12" width="10.57421875" style="7" bestFit="1" customWidth="1"/>
    <col min="13" max="13" width="2.8515625" style="7" customWidth="1"/>
    <col min="14" max="14" width="12.7109375" style="7" bestFit="1" customWidth="1"/>
    <col min="15" max="15" width="10.8515625" style="7" bestFit="1" customWidth="1"/>
    <col min="16" max="16" width="11.28125" style="7" customWidth="1"/>
    <col min="17" max="20" width="9.140625" style="7" customWidth="1"/>
    <col min="21" max="16384" width="9.140625" style="7" customWidth="1"/>
  </cols>
  <sheetData>
    <row r="1" spans="1:20" s="2" customFormat="1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234" t="str">
        <f>EBNUMBER</f>
        <v>EB-2013-0116</v>
      </c>
      <c r="O1" s="234"/>
      <c r="P1" s="195"/>
      <c r="T1" s="2">
        <v>1</v>
      </c>
    </row>
    <row r="2" spans="1:16" s="2" customFormat="1" ht="1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110</v>
      </c>
      <c r="N2" s="235" t="s">
        <v>111</v>
      </c>
      <c r="O2" s="235"/>
      <c r="P2" s="196"/>
    </row>
    <row r="3" spans="3:16" s="2" customFormat="1" ht="15" customHeight="1">
      <c r="C3" s="6"/>
      <c r="D3" s="6"/>
      <c r="E3" s="6"/>
      <c r="L3" s="3" t="s">
        <v>78</v>
      </c>
      <c r="N3" s="236" t="s">
        <v>90</v>
      </c>
      <c r="O3" s="236"/>
      <c r="P3" s="195"/>
    </row>
    <row r="4" spans="12:16" s="2" customFormat="1" ht="9" customHeight="1">
      <c r="L4" s="3"/>
      <c r="N4" s="252"/>
      <c r="O4" s="252"/>
      <c r="P4" s="197"/>
    </row>
    <row r="5" spans="12:16" s="2" customFormat="1" ht="15">
      <c r="L5" s="3" t="s">
        <v>100</v>
      </c>
      <c r="N5" s="237">
        <v>41695</v>
      </c>
      <c r="O5" s="237"/>
      <c r="P5" s="198"/>
    </row>
    <row r="6" spans="14:16" s="2" customFormat="1" ht="15" customHeight="1">
      <c r="N6" s="7"/>
      <c r="O6"/>
      <c r="P6" s="197"/>
    </row>
    <row r="7" spans="12:16" ht="7.5" customHeight="1">
      <c r="L7"/>
      <c r="M7"/>
      <c r="N7"/>
      <c r="O7"/>
      <c r="P7"/>
    </row>
    <row r="8" spans="2:16" ht="18.75" customHeight="1">
      <c r="B8" s="238" t="s">
        <v>1</v>
      </c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/>
    </row>
    <row r="9" spans="2:16" ht="18.75" customHeight="1">
      <c r="B9" s="238" t="s">
        <v>2</v>
      </c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/>
    </row>
    <row r="10" spans="12:16" ht="7.5" customHeight="1">
      <c r="L10"/>
      <c r="M10"/>
      <c r="N10"/>
      <c r="O10"/>
      <c r="P10"/>
    </row>
    <row r="11" spans="12:16" ht="7.5" customHeight="1">
      <c r="L11"/>
      <c r="M11"/>
      <c r="N11"/>
      <c r="O11"/>
      <c r="P11"/>
    </row>
    <row r="12" spans="2:15" ht="15.75">
      <c r="B12" s="8" t="s">
        <v>3</v>
      </c>
      <c r="D12" s="240" t="s">
        <v>67</v>
      </c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</row>
    <row r="13" spans="2:15" ht="7.5" customHeight="1">
      <c r="B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2:15" ht="15.75">
      <c r="B14" s="8" t="s">
        <v>4</v>
      </c>
      <c r="D14" s="11" t="s">
        <v>5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2:15" ht="15.75">
      <c r="B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2:7" ht="15">
      <c r="B16" s="12"/>
      <c r="D16" s="13" t="s">
        <v>6</v>
      </c>
      <c r="E16" s="13"/>
      <c r="F16" s="14">
        <v>15000</v>
      </c>
      <c r="G16" s="13" t="s">
        <v>7</v>
      </c>
    </row>
    <row r="17" ht="15">
      <c r="B17" s="12"/>
    </row>
    <row r="18" spans="2:15" ht="15">
      <c r="B18" s="12"/>
      <c r="D18" s="15"/>
      <c r="E18" s="15"/>
      <c r="F18" s="241" t="s">
        <v>8</v>
      </c>
      <c r="G18" s="242"/>
      <c r="H18" s="243"/>
      <c r="J18" s="241" t="s">
        <v>9</v>
      </c>
      <c r="K18" s="242"/>
      <c r="L18" s="243"/>
      <c r="N18" s="241" t="s">
        <v>10</v>
      </c>
      <c r="O18" s="243"/>
    </row>
    <row r="19" spans="2:15" ht="15">
      <c r="B19" s="12"/>
      <c r="D19" s="245" t="s">
        <v>11</v>
      </c>
      <c r="E19" s="16"/>
      <c r="F19" s="17" t="s">
        <v>12</v>
      </c>
      <c r="G19" s="17" t="s">
        <v>13</v>
      </c>
      <c r="H19" s="18" t="s">
        <v>14</v>
      </c>
      <c r="J19" s="17" t="s">
        <v>12</v>
      </c>
      <c r="K19" s="19" t="s">
        <v>13</v>
      </c>
      <c r="L19" s="18" t="s">
        <v>14</v>
      </c>
      <c r="N19" s="247" t="s">
        <v>15</v>
      </c>
      <c r="O19" s="249" t="s">
        <v>16</v>
      </c>
    </row>
    <row r="20" spans="2:15" ht="15">
      <c r="B20" s="12"/>
      <c r="D20" s="246"/>
      <c r="E20" s="16"/>
      <c r="F20" s="20" t="s">
        <v>17</v>
      </c>
      <c r="G20" s="20"/>
      <c r="H20" s="21" t="s">
        <v>17</v>
      </c>
      <c r="J20" s="20" t="s">
        <v>17</v>
      </c>
      <c r="K20" s="21"/>
      <c r="L20" s="21" t="s">
        <v>17</v>
      </c>
      <c r="N20" s="248"/>
      <c r="O20" s="250"/>
    </row>
    <row r="21" spans="2:15" ht="22.5" customHeight="1">
      <c r="B21" s="22" t="s">
        <v>18</v>
      </c>
      <c r="C21" s="22"/>
      <c r="D21" s="23" t="s">
        <v>60</v>
      </c>
      <c r="E21" s="24"/>
      <c r="F21" s="175">
        <f>'[2]2013 Existing Rates'!$C$7</f>
        <v>11.92</v>
      </c>
      <c r="G21" s="26">
        <v>1</v>
      </c>
      <c r="H21" s="27">
        <f>G21*F21</f>
        <v>11.92</v>
      </c>
      <c r="I21" s="28"/>
      <c r="J21" s="174">
        <f>'[3]Rate Schedule '!$E$16</f>
        <v>25.58</v>
      </c>
      <c r="K21" s="30">
        <v>1</v>
      </c>
      <c r="L21" s="27">
        <f>K21*J21</f>
        <v>25.58</v>
      </c>
      <c r="M21" s="28"/>
      <c r="N21" s="31">
        <f>L21-H21</f>
        <v>13.659999999999998</v>
      </c>
      <c r="O21" s="32">
        <f>IF((H21)=0,"",(N21/H21))</f>
        <v>1.1459731543624159</v>
      </c>
    </row>
    <row r="22" spans="2:15" ht="36.75" customHeight="1">
      <c r="B22" s="65" t="s">
        <v>62</v>
      </c>
      <c r="C22" s="22"/>
      <c r="D22" s="56" t="s">
        <v>60</v>
      </c>
      <c r="E22" s="24"/>
      <c r="F22" s="174">
        <v>4.89</v>
      </c>
      <c r="G22" s="26">
        <v>1</v>
      </c>
      <c r="H22" s="27">
        <f aca="true" t="shared" si="0" ref="H22:H36">G22*F22</f>
        <v>4.89</v>
      </c>
      <c r="I22" s="28"/>
      <c r="J22" s="29"/>
      <c r="K22" s="30">
        <v>1</v>
      </c>
      <c r="L22" s="27">
        <f>K22*J22</f>
        <v>0</v>
      </c>
      <c r="M22" s="28"/>
      <c r="N22" s="31">
        <f>L22-H22</f>
        <v>-4.89</v>
      </c>
      <c r="O22" s="32">
        <f>IF((H22)=0,"",(N22/H22))</f>
        <v>-1</v>
      </c>
    </row>
    <row r="23" spans="2:15" ht="36.75" customHeight="1">
      <c r="B23" s="176" t="s">
        <v>63</v>
      </c>
      <c r="C23" s="22"/>
      <c r="D23" s="56" t="s">
        <v>60</v>
      </c>
      <c r="E23" s="57"/>
      <c r="F23" s="174">
        <v>6.2</v>
      </c>
      <c r="G23" s="26">
        <v>1</v>
      </c>
      <c r="H23" s="27">
        <f t="shared" si="0"/>
        <v>6.2</v>
      </c>
      <c r="I23" s="28"/>
      <c r="J23" s="29"/>
      <c r="K23" s="30">
        <v>1</v>
      </c>
      <c r="L23" s="27">
        <f aca="true" t="shared" si="1" ref="L23:L36">K23*J23</f>
        <v>0</v>
      </c>
      <c r="M23" s="28"/>
      <c r="N23" s="31">
        <f aca="true" t="shared" si="2" ref="N23:N64">L23-H23</f>
        <v>-6.2</v>
      </c>
      <c r="O23" s="32">
        <f aca="true" t="shared" si="3" ref="O23:O44">IF((H23)=0,"",(N23/H23))</f>
        <v>-1</v>
      </c>
    </row>
    <row r="24" spans="2:15" ht="15">
      <c r="B24" s="176" t="s">
        <v>64</v>
      </c>
      <c r="C24" s="22"/>
      <c r="D24" s="23" t="s">
        <v>60</v>
      </c>
      <c r="E24" s="24"/>
      <c r="F24" s="25"/>
      <c r="G24" s="26">
        <v>1</v>
      </c>
      <c r="H24" s="27">
        <f t="shared" si="0"/>
        <v>0</v>
      </c>
      <c r="I24" s="28"/>
      <c r="J24" s="174">
        <v>10.02</v>
      </c>
      <c r="K24" s="30">
        <v>1</v>
      </c>
      <c r="L24" s="27">
        <f t="shared" si="1"/>
        <v>10.02</v>
      </c>
      <c r="M24" s="28"/>
      <c r="N24" s="31">
        <f t="shared" si="2"/>
        <v>10.02</v>
      </c>
      <c r="O24" s="32">
        <f t="shared" si="3"/>
      </c>
    </row>
    <row r="25" spans="2:15" ht="15">
      <c r="B25" s="46" t="s">
        <v>65</v>
      </c>
      <c r="C25" s="22"/>
      <c r="D25" s="23" t="s">
        <v>61</v>
      </c>
      <c r="E25" s="24"/>
      <c r="F25" s="25">
        <v>-0.0001</v>
      </c>
      <c r="G25" s="26">
        <f>$F$16</f>
        <v>15000</v>
      </c>
      <c r="H25" s="27">
        <f t="shared" si="0"/>
        <v>-1.5</v>
      </c>
      <c r="I25" s="28"/>
      <c r="J25" s="174"/>
      <c r="K25" s="26">
        <f>$F$16</f>
        <v>15000</v>
      </c>
      <c r="L25" s="27">
        <f t="shared" si="1"/>
        <v>0</v>
      </c>
      <c r="M25" s="28"/>
      <c r="N25" s="31">
        <f t="shared" si="2"/>
        <v>1.5</v>
      </c>
      <c r="O25" s="32">
        <f t="shared" si="3"/>
        <v>-1</v>
      </c>
    </row>
    <row r="26" spans="2:15" ht="15">
      <c r="B26" s="46" t="s">
        <v>66</v>
      </c>
      <c r="C26" s="22"/>
      <c r="D26" s="23" t="s">
        <v>61</v>
      </c>
      <c r="E26" s="24"/>
      <c r="F26" s="25"/>
      <c r="G26" s="26">
        <f>$F$16</f>
        <v>15000</v>
      </c>
      <c r="H26" s="27">
        <f t="shared" si="0"/>
        <v>0</v>
      </c>
      <c r="I26" s="28"/>
      <c r="J26" s="29">
        <f>'[4]6. Rate Rider Calculations'!$F$76</f>
        <v>-0.0023955525753637957</v>
      </c>
      <c r="K26" s="26">
        <f>$F$16</f>
        <v>15000</v>
      </c>
      <c r="L26" s="27">
        <f t="shared" si="1"/>
        <v>-35.933288630456936</v>
      </c>
      <c r="M26" s="28"/>
      <c r="N26" s="31">
        <f t="shared" si="2"/>
        <v>-35.933288630456936</v>
      </c>
      <c r="O26" s="32">
        <f t="shared" si="3"/>
      </c>
    </row>
    <row r="27" spans="2:15" ht="15">
      <c r="B27" s="22" t="s">
        <v>19</v>
      </c>
      <c r="C27" s="22"/>
      <c r="D27" s="23" t="s">
        <v>61</v>
      </c>
      <c r="E27" s="24"/>
      <c r="F27" s="25">
        <f>'[2]2013 Existing Rates'!$E$7</f>
        <v>0.0127</v>
      </c>
      <c r="G27" s="26">
        <f>$F$16</f>
        <v>15000</v>
      </c>
      <c r="H27" s="27">
        <f t="shared" si="0"/>
        <v>190.5</v>
      </c>
      <c r="I27" s="28"/>
      <c r="J27" s="29">
        <f>'[3]Rate Schedule '!$E$17</f>
        <v>0.0104</v>
      </c>
      <c r="K27" s="26">
        <f>$F$16</f>
        <v>15000</v>
      </c>
      <c r="L27" s="27">
        <f t="shared" si="1"/>
        <v>156</v>
      </c>
      <c r="M27" s="28"/>
      <c r="N27" s="31">
        <f t="shared" si="2"/>
        <v>-34.5</v>
      </c>
      <c r="O27" s="32">
        <f t="shared" si="3"/>
        <v>-0.18110236220472442</v>
      </c>
    </row>
    <row r="28" spans="2:15" ht="15" hidden="1">
      <c r="B28" s="22" t="s">
        <v>20</v>
      </c>
      <c r="C28" s="22"/>
      <c r="D28" s="23"/>
      <c r="E28" s="24"/>
      <c r="F28" s="25"/>
      <c r="G28" s="26">
        <f>$F$16</f>
        <v>15000</v>
      </c>
      <c r="H28" s="27">
        <f t="shared" si="0"/>
        <v>0</v>
      </c>
      <c r="I28" s="28"/>
      <c r="J28" s="29"/>
      <c r="K28" s="26">
        <f aca="true" t="shared" si="4" ref="K28:K36">$F$16</f>
        <v>15000</v>
      </c>
      <c r="L28" s="27">
        <f t="shared" si="1"/>
        <v>0</v>
      </c>
      <c r="M28" s="28"/>
      <c r="N28" s="31">
        <f t="shared" si="2"/>
        <v>0</v>
      </c>
      <c r="O28" s="32">
        <f t="shared" si="3"/>
      </c>
    </row>
    <row r="29" spans="2:15" ht="15" hidden="1">
      <c r="B29" s="22" t="s">
        <v>21</v>
      </c>
      <c r="C29" s="22"/>
      <c r="D29" s="23"/>
      <c r="E29" s="24"/>
      <c r="F29" s="25"/>
      <c r="G29" s="26">
        <f>$F$16</f>
        <v>15000</v>
      </c>
      <c r="H29" s="27">
        <f t="shared" si="0"/>
        <v>0</v>
      </c>
      <c r="I29" s="28"/>
      <c r="J29" s="29"/>
      <c r="K29" s="26">
        <f t="shared" si="4"/>
        <v>15000</v>
      </c>
      <c r="L29" s="27">
        <f t="shared" si="1"/>
        <v>0</v>
      </c>
      <c r="M29" s="28"/>
      <c r="N29" s="31">
        <f t="shared" si="2"/>
        <v>0</v>
      </c>
      <c r="O29" s="32">
        <f t="shared" si="3"/>
      </c>
    </row>
    <row r="30" spans="2:15" ht="15" hidden="1">
      <c r="B30" s="33"/>
      <c r="C30" s="22"/>
      <c r="D30" s="23"/>
      <c r="E30" s="24"/>
      <c r="F30" s="25"/>
      <c r="G30" s="26">
        <f aca="true" t="shared" si="5" ref="G30:G36">$F$16</f>
        <v>15000</v>
      </c>
      <c r="H30" s="27">
        <f t="shared" si="0"/>
        <v>0</v>
      </c>
      <c r="I30" s="28"/>
      <c r="J30" s="29"/>
      <c r="K30" s="26">
        <f t="shared" si="4"/>
        <v>15000</v>
      </c>
      <c r="L30" s="27">
        <f t="shared" si="1"/>
        <v>0</v>
      </c>
      <c r="M30" s="28"/>
      <c r="N30" s="31">
        <f t="shared" si="2"/>
        <v>0</v>
      </c>
      <c r="O30" s="32">
        <f t="shared" si="3"/>
      </c>
    </row>
    <row r="31" spans="2:15" ht="15" hidden="1">
      <c r="B31" s="33"/>
      <c r="C31" s="22"/>
      <c r="D31" s="23"/>
      <c r="E31" s="24"/>
      <c r="F31" s="25"/>
      <c r="G31" s="26">
        <f t="shared" si="5"/>
        <v>15000</v>
      </c>
      <c r="H31" s="27">
        <f t="shared" si="0"/>
        <v>0</v>
      </c>
      <c r="I31" s="28"/>
      <c r="J31" s="29"/>
      <c r="K31" s="26">
        <f t="shared" si="4"/>
        <v>15000</v>
      </c>
      <c r="L31" s="27">
        <f t="shared" si="1"/>
        <v>0</v>
      </c>
      <c r="M31" s="28"/>
      <c r="N31" s="31">
        <f t="shared" si="2"/>
        <v>0</v>
      </c>
      <c r="O31" s="32">
        <f t="shared" si="3"/>
      </c>
    </row>
    <row r="32" spans="2:15" ht="15" hidden="1">
      <c r="B32" s="33"/>
      <c r="C32" s="22"/>
      <c r="D32" s="23"/>
      <c r="E32" s="24"/>
      <c r="F32" s="25"/>
      <c r="G32" s="26">
        <f t="shared" si="5"/>
        <v>15000</v>
      </c>
      <c r="H32" s="27">
        <f t="shared" si="0"/>
        <v>0</v>
      </c>
      <c r="I32" s="28"/>
      <c r="J32" s="29"/>
      <c r="K32" s="26">
        <f t="shared" si="4"/>
        <v>15000</v>
      </c>
      <c r="L32" s="27">
        <f t="shared" si="1"/>
        <v>0</v>
      </c>
      <c r="M32" s="28"/>
      <c r="N32" s="31">
        <f t="shared" si="2"/>
        <v>0</v>
      </c>
      <c r="O32" s="32">
        <f t="shared" si="3"/>
      </c>
    </row>
    <row r="33" spans="2:15" ht="15" hidden="1">
      <c r="B33" s="33"/>
      <c r="C33" s="22"/>
      <c r="D33" s="23"/>
      <c r="E33" s="24"/>
      <c r="F33" s="25"/>
      <c r="G33" s="26">
        <f t="shared" si="5"/>
        <v>15000</v>
      </c>
      <c r="H33" s="27">
        <f t="shared" si="0"/>
        <v>0</v>
      </c>
      <c r="I33" s="28"/>
      <c r="J33" s="29"/>
      <c r="K33" s="26">
        <f t="shared" si="4"/>
        <v>15000</v>
      </c>
      <c r="L33" s="27">
        <f t="shared" si="1"/>
        <v>0</v>
      </c>
      <c r="M33" s="28"/>
      <c r="N33" s="31">
        <f t="shared" si="2"/>
        <v>0</v>
      </c>
      <c r="O33" s="32">
        <f t="shared" si="3"/>
      </c>
    </row>
    <row r="34" spans="2:15" ht="15" hidden="1">
      <c r="B34" s="33"/>
      <c r="C34" s="22"/>
      <c r="D34" s="23"/>
      <c r="E34" s="24"/>
      <c r="F34" s="25"/>
      <c r="G34" s="26">
        <f t="shared" si="5"/>
        <v>15000</v>
      </c>
      <c r="H34" s="27">
        <f t="shared" si="0"/>
        <v>0</v>
      </c>
      <c r="I34" s="28"/>
      <c r="J34" s="29"/>
      <c r="K34" s="26">
        <f t="shared" si="4"/>
        <v>15000</v>
      </c>
      <c r="L34" s="27">
        <f t="shared" si="1"/>
        <v>0</v>
      </c>
      <c r="M34" s="28"/>
      <c r="N34" s="31">
        <f t="shared" si="2"/>
        <v>0</v>
      </c>
      <c r="O34" s="32">
        <f t="shared" si="3"/>
      </c>
    </row>
    <row r="35" spans="2:15" ht="15" hidden="1">
      <c r="B35" s="33"/>
      <c r="C35" s="22"/>
      <c r="D35" s="23"/>
      <c r="E35" s="24"/>
      <c r="F35" s="25"/>
      <c r="G35" s="26">
        <f t="shared" si="5"/>
        <v>15000</v>
      </c>
      <c r="H35" s="27">
        <f t="shared" si="0"/>
        <v>0</v>
      </c>
      <c r="I35" s="28"/>
      <c r="J35" s="29"/>
      <c r="K35" s="26">
        <f t="shared" si="4"/>
        <v>15000</v>
      </c>
      <c r="L35" s="27">
        <f t="shared" si="1"/>
        <v>0</v>
      </c>
      <c r="M35" s="28"/>
      <c r="N35" s="31">
        <f t="shared" si="2"/>
        <v>0</v>
      </c>
      <c r="O35" s="32">
        <f t="shared" si="3"/>
      </c>
    </row>
    <row r="36" spans="2:15" ht="15" hidden="1">
      <c r="B36" s="33"/>
      <c r="C36" s="22"/>
      <c r="D36" s="23"/>
      <c r="E36" s="24"/>
      <c r="F36" s="25"/>
      <c r="G36" s="26">
        <f t="shared" si="5"/>
        <v>15000</v>
      </c>
      <c r="H36" s="27">
        <f t="shared" si="0"/>
        <v>0</v>
      </c>
      <c r="I36" s="28"/>
      <c r="J36" s="29"/>
      <c r="K36" s="26">
        <f t="shared" si="4"/>
        <v>15000</v>
      </c>
      <c r="L36" s="27">
        <f t="shared" si="1"/>
        <v>0</v>
      </c>
      <c r="M36" s="28"/>
      <c r="N36" s="31">
        <f t="shared" si="2"/>
        <v>0</v>
      </c>
      <c r="O36" s="32">
        <f t="shared" si="3"/>
      </c>
    </row>
    <row r="37" spans="2:15" s="34" customFormat="1" ht="15">
      <c r="B37" s="35" t="s">
        <v>22</v>
      </c>
      <c r="C37" s="36"/>
      <c r="D37" s="37"/>
      <c r="E37" s="36"/>
      <c r="F37" s="38"/>
      <c r="G37" s="39"/>
      <c r="H37" s="40">
        <f>SUM(H21:H36)</f>
        <v>212.01</v>
      </c>
      <c r="I37" s="41"/>
      <c r="J37" s="42"/>
      <c r="K37" s="43"/>
      <c r="L37" s="40">
        <f>SUM(L21:L36)</f>
        <v>155.66671136954307</v>
      </c>
      <c r="M37" s="41"/>
      <c r="N37" s="44">
        <f t="shared" si="2"/>
        <v>-56.343288630456925</v>
      </c>
      <c r="O37" s="45">
        <f t="shared" si="3"/>
        <v>-0.26575769364868135</v>
      </c>
    </row>
    <row r="38" spans="2:15" ht="15" hidden="1">
      <c r="B38" s="176"/>
      <c r="C38" s="22"/>
      <c r="D38" s="56" t="s">
        <v>60</v>
      </c>
      <c r="E38" s="24"/>
      <c r="F38" s="25"/>
      <c r="G38" s="26">
        <v>1</v>
      </c>
      <c r="H38" s="27">
        <f>G38*F38</f>
        <v>0</v>
      </c>
      <c r="I38" s="28"/>
      <c r="J38" s="174"/>
      <c r="K38" s="30">
        <v>1</v>
      </c>
      <c r="L38" s="27">
        <f>K38*J38</f>
        <v>0</v>
      </c>
      <c r="M38" s="28"/>
      <c r="N38" s="31">
        <f>L38-H38</f>
        <v>0</v>
      </c>
      <c r="O38" s="32">
        <f>IF((H38)=0,"",(N38/H38))</f>
      </c>
    </row>
    <row r="39" spans="2:15" ht="25.5">
      <c r="B39" s="46" t="s">
        <v>23</v>
      </c>
      <c r="C39" s="22"/>
      <c r="D39" s="56" t="s">
        <v>61</v>
      </c>
      <c r="E39" s="57"/>
      <c r="F39" s="29">
        <v>0.0003</v>
      </c>
      <c r="G39" s="26">
        <f>$F$16</f>
        <v>15000</v>
      </c>
      <c r="H39" s="27">
        <f aca="true" t="shared" si="6" ref="H39:H45">G39*F39</f>
        <v>4.5</v>
      </c>
      <c r="I39" s="28"/>
      <c r="J39" s="29">
        <f>'[4]6. Rate Rider Calculations'!$F$21</f>
        <v>-0.001125755911208088</v>
      </c>
      <c r="K39" s="26">
        <f>$F$16</f>
        <v>15000</v>
      </c>
      <c r="L39" s="27">
        <f aca="true" t="shared" si="7" ref="L39:L45">K39*J39</f>
        <v>-16.88633866812132</v>
      </c>
      <c r="M39" s="28"/>
      <c r="N39" s="31">
        <f t="shared" si="2"/>
        <v>-21.38633866812132</v>
      </c>
      <c r="O39" s="32">
        <f t="shared" si="3"/>
        <v>-4.75251970402696</v>
      </c>
    </row>
    <row r="40" spans="2:15" ht="15" hidden="1">
      <c r="B40" s="46"/>
      <c r="C40" s="22"/>
      <c r="D40" s="23" t="s">
        <v>61</v>
      </c>
      <c r="E40" s="24"/>
      <c r="F40" s="25"/>
      <c r="G40" s="26">
        <f>$F$16</f>
        <v>15000</v>
      </c>
      <c r="H40" s="27">
        <f t="shared" si="6"/>
        <v>0</v>
      </c>
      <c r="I40" s="47"/>
      <c r="J40" s="29"/>
      <c r="K40" s="26">
        <f>$F$16</f>
        <v>15000</v>
      </c>
      <c r="L40" s="27">
        <f t="shared" si="7"/>
        <v>0</v>
      </c>
      <c r="M40" s="48"/>
      <c r="N40" s="31">
        <f t="shared" si="2"/>
        <v>0</v>
      </c>
      <c r="O40" s="32">
        <f t="shared" si="3"/>
      </c>
    </row>
    <row r="41" spans="2:15" ht="15" hidden="1">
      <c r="B41" s="46"/>
      <c r="C41" s="22"/>
      <c r="D41" s="23" t="s">
        <v>61</v>
      </c>
      <c r="E41" s="24"/>
      <c r="F41" s="25"/>
      <c r="G41" s="26">
        <f>$F$16</f>
        <v>15000</v>
      </c>
      <c r="H41" s="27">
        <f t="shared" si="6"/>
        <v>0</v>
      </c>
      <c r="I41" s="47"/>
      <c r="J41" s="29"/>
      <c r="K41" s="26">
        <f>$F$16</f>
        <v>15000</v>
      </c>
      <c r="L41" s="27">
        <f t="shared" si="7"/>
        <v>0</v>
      </c>
      <c r="M41" s="48"/>
      <c r="N41" s="31">
        <f t="shared" si="2"/>
        <v>0</v>
      </c>
      <c r="O41" s="32">
        <f t="shared" si="3"/>
      </c>
    </row>
    <row r="42" spans="2:15" ht="15" hidden="1">
      <c r="B42" s="46"/>
      <c r="C42" s="22"/>
      <c r="D42" s="23"/>
      <c r="E42" s="24"/>
      <c r="F42" s="25"/>
      <c r="G42" s="26">
        <f>$F$16</f>
        <v>15000</v>
      </c>
      <c r="H42" s="27">
        <f t="shared" si="6"/>
        <v>0</v>
      </c>
      <c r="I42" s="47"/>
      <c r="J42" s="29"/>
      <c r="K42" s="26">
        <f>$F$16</f>
        <v>15000</v>
      </c>
      <c r="L42" s="27">
        <f t="shared" si="7"/>
        <v>0</v>
      </c>
      <c r="M42" s="48"/>
      <c r="N42" s="31">
        <f t="shared" si="2"/>
        <v>0</v>
      </c>
      <c r="O42" s="32">
        <f t="shared" si="3"/>
      </c>
    </row>
    <row r="43" spans="2:15" ht="15">
      <c r="B43" s="49" t="s">
        <v>24</v>
      </c>
      <c r="C43" s="22"/>
      <c r="D43" s="23" t="s">
        <v>61</v>
      </c>
      <c r="E43" s="24"/>
      <c r="F43" s="25">
        <v>0</v>
      </c>
      <c r="G43" s="26">
        <f>$F$16</f>
        <v>15000</v>
      </c>
      <c r="H43" s="27">
        <f t="shared" si="6"/>
        <v>0</v>
      </c>
      <c r="I43" s="28"/>
      <c r="J43" s="29">
        <f>'[3]Rate Schedule '!$E$18</f>
        <v>0.0001</v>
      </c>
      <c r="K43" s="26">
        <f>$F$16</f>
        <v>15000</v>
      </c>
      <c r="L43" s="27">
        <f t="shared" si="7"/>
        <v>1.5</v>
      </c>
      <c r="M43" s="28"/>
      <c r="N43" s="31">
        <f t="shared" si="2"/>
        <v>1.5</v>
      </c>
      <c r="O43" s="32">
        <f t="shared" si="3"/>
      </c>
    </row>
    <row r="44" spans="2:15" s="34" customFormat="1" ht="15">
      <c r="B44" s="182" t="s">
        <v>25</v>
      </c>
      <c r="C44" s="24"/>
      <c r="D44" s="183" t="s">
        <v>61</v>
      </c>
      <c r="E44" s="24"/>
      <c r="F44" s="184">
        <f>IF(ISBLANK(D14)=TRUE,0,IF(D14="TOU",0.64*$F$54+0.18*$F$55+0.18*$F$56,IF(AND(D14="non-TOU",G58&gt;0),F58,F57)))</f>
        <v>0.08892</v>
      </c>
      <c r="G44" s="26">
        <f>$F$16*(1+$F$73)-$F$16</f>
        <v>429</v>
      </c>
      <c r="H44" s="185">
        <f t="shared" si="6"/>
        <v>38.146679999999996</v>
      </c>
      <c r="I44" s="57"/>
      <c r="J44" s="186">
        <f>0.64*$F$54+0.18*$F$55+0.18*$F$56</f>
        <v>0.08892</v>
      </c>
      <c r="K44" s="26">
        <f>$F$16*(1+$J$73)-$F$16</f>
        <v>502.5000000000018</v>
      </c>
      <c r="L44" s="185">
        <f t="shared" si="7"/>
        <v>44.68230000000016</v>
      </c>
      <c r="M44" s="57"/>
      <c r="N44" s="187">
        <f t="shared" si="2"/>
        <v>6.535620000000165</v>
      </c>
      <c r="O44" s="188">
        <f t="shared" si="3"/>
        <v>0.17132867132867566</v>
      </c>
    </row>
    <row r="45" spans="2:15" ht="15">
      <c r="B45" s="49" t="s">
        <v>26</v>
      </c>
      <c r="C45" s="22"/>
      <c r="D45" s="23" t="s">
        <v>60</v>
      </c>
      <c r="E45" s="24"/>
      <c r="F45" s="179">
        <v>0.79</v>
      </c>
      <c r="G45" s="26">
        <v>1</v>
      </c>
      <c r="H45" s="27">
        <f t="shared" si="6"/>
        <v>0.79</v>
      </c>
      <c r="I45" s="28"/>
      <c r="J45" s="179">
        <v>0.79</v>
      </c>
      <c r="K45" s="26">
        <v>1</v>
      </c>
      <c r="L45" s="27">
        <f t="shared" si="7"/>
        <v>0.79</v>
      </c>
      <c r="M45" s="28"/>
      <c r="N45" s="31">
        <f t="shared" si="2"/>
        <v>0</v>
      </c>
      <c r="O45" s="32"/>
    </row>
    <row r="46" spans="2:15" ht="25.5">
      <c r="B46" s="50" t="s">
        <v>27</v>
      </c>
      <c r="C46" s="51"/>
      <c r="D46" s="51"/>
      <c r="E46" s="51"/>
      <c r="F46" s="52"/>
      <c r="G46" s="53"/>
      <c r="H46" s="54">
        <f>SUM(H38:H45)+H37</f>
        <v>255.44668</v>
      </c>
      <c r="I46" s="41"/>
      <c r="J46" s="53"/>
      <c r="K46" s="55"/>
      <c r="L46" s="54">
        <f>SUM(L38:L45)+L37</f>
        <v>185.75267270142191</v>
      </c>
      <c r="M46" s="41"/>
      <c r="N46" s="44">
        <f t="shared" si="2"/>
        <v>-69.69400729857807</v>
      </c>
      <c r="O46" s="45">
        <f aca="true" t="shared" si="8" ref="O46:O64">IF((H46)=0,"",(N46/H46))</f>
        <v>-0.27283191661985223</v>
      </c>
    </row>
    <row r="47" spans="2:15" ht="15">
      <c r="B47" s="28" t="s">
        <v>28</v>
      </c>
      <c r="C47" s="28"/>
      <c r="D47" s="56" t="s">
        <v>61</v>
      </c>
      <c r="E47" s="57"/>
      <c r="F47" s="29">
        <v>0.0062</v>
      </c>
      <c r="G47" s="58">
        <f>F16*(1+F73)</f>
        <v>15429</v>
      </c>
      <c r="H47" s="27">
        <f>G47*F47</f>
        <v>95.65979999999999</v>
      </c>
      <c r="I47" s="28"/>
      <c r="J47" s="29">
        <f>'[5]13. Final 2014 RTS Rates'!$F$27</f>
        <v>0.005811873445206607</v>
      </c>
      <c r="K47" s="59">
        <f>F16*(1+J73)</f>
        <v>15502.500000000002</v>
      </c>
      <c r="L47" s="27">
        <f>K47*J47</f>
        <v>90.09856808431545</v>
      </c>
      <c r="M47" s="28"/>
      <c r="N47" s="31">
        <f t="shared" si="2"/>
        <v>-5.5612319156845444</v>
      </c>
      <c r="O47" s="32">
        <f t="shared" si="8"/>
        <v>-0.058135516859585165</v>
      </c>
    </row>
    <row r="48" spans="2:15" ht="30">
      <c r="B48" s="60" t="s">
        <v>29</v>
      </c>
      <c r="C48" s="28"/>
      <c r="D48" s="56" t="s">
        <v>61</v>
      </c>
      <c r="E48" s="57"/>
      <c r="F48" s="29">
        <v>0.0036</v>
      </c>
      <c r="G48" s="58">
        <f>G47</f>
        <v>15429</v>
      </c>
      <c r="H48" s="27">
        <f>G48*F48</f>
        <v>55.544399999999996</v>
      </c>
      <c r="I48" s="28"/>
      <c r="J48" s="29">
        <f>'[5]13. Final 2014 RTS Rates'!$H$27</f>
        <v>0.003920192695861129</v>
      </c>
      <c r="K48" s="59">
        <f>K47</f>
        <v>15502.500000000002</v>
      </c>
      <c r="L48" s="27">
        <f>K48*J48</f>
        <v>60.77278726758717</v>
      </c>
      <c r="M48" s="28"/>
      <c r="N48" s="31">
        <f t="shared" si="2"/>
        <v>5.228387267587173</v>
      </c>
      <c r="O48" s="32">
        <f t="shared" si="8"/>
        <v>0.09412987209488578</v>
      </c>
    </row>
    <row r="49" spans="2:15" ht="25.5">
      <c r="B49" s="50" t="s">
        <v>30</v>
      </c>
      <c r="C49" s="36"/>
      <c r="D49" s="36"/>
      <c r="E49" s="36"/>
      <c r="F49" s="61"/>
      <c r="G49" s="53"/>
      <c r="H49" s="54">
        <f>SUM(H46:H48)</f>
        <v>406.65088</v>
      </c>
      <c r="I49" s="62"/>
      <c r="J49" s="63"/>
      <c r="K49" s="64"/>
      <c r="L49" s="54">
        <f>SUM(L46:L48)</f>
        <v>336.6240280533245</v>
      </c>
      <c r="M49" s="62"/>
      <c r="N49" s="44">
        <f t="shared" si="2"/>
        <v>-70.02685194667549</v>
      </c>
      <c r="O49" s="45">
        <f t="shared" si="8"/>
        <v>-0.1722038618155099</v>
      </c>
    </row>
    <row r="50" spans="2:15" ht="30">
      <c r="B50" s="65" t="s">
        <v>31</v>
      </c>
      <c r="C50" s="22"/>
      <c r="D50" s="23" t="s">
        <v>61</v>
      </c>
      <c r="E50" s="24"/>
      <c r="F50" s="66">
        <v>0.0044</v>
      </c>
      <c r="G50" s="58">
        <f>G48</f>
        <v>15429</v>
      </c>
      <c r="H50" s="67">
        <f aca="true" t="shared" si="9" ref="H50:H56">G50*F50</f>
        <v>67.8876</v>
      </c>
      <c r="I50" s="28"/>
      <c r="J50" s="68">
        <v>0.0044</v>
      </c>
      <c r="K50" s="59">
        <f>K48</f>
        <v>15502.500000000002</v>
      </c>
      <c r="L50" s="67">
        <f aca="true" t="shared" si="10" ref="L50:L56">K50*J50</f>
        <v>68.21100000000001</v>
      </c>
      <c r="M50" s="28"/>
      <c r="N50" s="31">
        <f t="shared" si="2"/>
        <v>0.32340000000000657</v>
      </c>
      <c r="O50" s="69">
        <f t="shared" si="8"/>
        <v>0.00476375656231781</v>
      </c>
    </row>
    <row r="51" spans="2:15" ht="15">
      <c r="B51" s="65" t="s">
        <v>32</v>
      </c>
      <c r="C51" s="22"/>
      <c r="D51" s="23" t="s">
        <v>61</v>
      </c>
      <c r="E51" s="24"/>
      <c r="F51" s="66">
        <v>0.0012</v>
      </c>
      <c r="G51" s="58">
        <f>G48</f>
        <v>15429</v>
      </c>
      <c r="H51" s="67">
        <f t="shared" si="9"/>
        <v>18.514799999999997</v>
      </c>
      <c r="I51" s="28"/>
      <c r="J51" s="68">
        <v>0.0012</v>
      </c>
      <c r="K51" s="59">
        <f>K48</f>
        <v>15502.500000000002</v>
      </c>
      <c r="L51" s="67">
        <f t="shared" si="10"/>
        <v>18.603</v>
      </c>
      <c r="M51" s="28"/>
      <c r="N51" s="31">
        <f t="shared" si="2"/>
        <v>0.08820000000000405</v>
      </c>
      <c r="O51" s="69">
        <f t="shared" si="8"/>
        <v>0.004763756562317933</v>
      </c>
    </row>
    <row r="52" spans="2:15" ht="15">
      <c r="B52" s="22" t="s">
        <v>33</v>
      </c>
      <c r="C52" s="22"/>
      <c r="D52" s="23" t="s">
        <v>60</v>
      </c>
      <c r="E52" s="24"/>
      <c r="F52" s="177">
        <v>0.25</v>
      </c>
      <c r="G52" s="26">
        <v>1</v>
      </c>
      <c r="H52" s="67">
        <f t="shared" si="9"/>
        <v>0.25</v>
      </c>
      <c r="I52" s="28"/>
      <c r="J52" s="178">
        <v>0.25</v>
      </c>
      <c r="K52" s="30">
        <v>1</v>
      </c>
      <c r="L52" s="67">
        <f t="shared" si="10"/>
        <v>0.25</v>
      </c>
      <c r="M52" s="28"/>
      <c r="N52" s="31">
        <f t="shared" si="2"/>
        <v>0</v>
      </c>
      <c r="O52" s="69">
        <f t="shared" si="8"/>
        <v>0</v>
      </c>
    </row>
    <row r="53" spans="2:15" ht="15">
      <c r="B53" s="22" t="s">
        <v>34</v>
      </c>
      <c r="C53" s="22"/>
      <c r="D53" s="23" t="s">
        <v>61</v>
      </c>
      <c r="E53" s="24"/>
      <c r="F53" s="66">
        <v>0.007</v>
      </c>
      <c r="G53" s="70">
        <f>F16</f>
        <v>15000</v>
      </c>
      <c r="H53" s="67">
        <f t="shared" si="9"/>
        <v>105</v>
      </c>
      <c r="I53" s="28"/>
      <c r="J53" s="68">
        <f>0.007</f>
        <v>0.007</v>
      </c>
      <c r="K53" s="71">
        <f>F16</f>
        <v>15000</v>
      </c>
      <c r="L53" s="67">
        <f t="shared" si="10"/>
        <v>105</v>
      </c>
      <c r="M53" s="28"/>
      <c r="N53" s="31">
        <f t="shared" si="2"/>
        <v>0</v>
      </c>
      <c r="O53" s="69">
        <f t="shared" si="8"/>
        <v>0</v>
      </c>
    </row>
    <row r="54" spans="2:19" ht="15">
      <c r="B54" s="49" t="s">
        <v>35</v>
      </c>
      <c r="C54" s="22"/>
      <c r="D54" s="23" t="s">
        <v>61</v>
      </c>
      <c r="E54" s="24"/>
      <c r="F54" s="72">
        <v>0.072</v>
      </c>
      <c r="G54" s="70">
        <f>0.64*$F$16</f>
        <v>9600</v>
      </c>
      <c r="H54" s="67">
        <f t="shared" si="9"/>
        <v>691.1999999999999</v>
      </c>
      <c r="I54" s="28"/>
      <c r="J54" s="66">
        <v>0.072</v>
      </c>
      <c r="K54" s="70">
        <f>G54</f>
        <v>9600</v>
      </c>
      <c r="L54" s="67">
        <f t="shared" si="10"/>
        <v>691.1999999999999</v>
      </c>
      <c r="M54" s="28"/>
      <c r="N54" s="31">
        <f t="shared" si="2"/>
        <v>0</v>
      </c>
      <c r="O54" s="69">
        <f t="shared" si="8"/>
        <v>0</v>
      </c>
      <c r="S54" s="73"/>
    </row>
    <row r="55" spans="2:19" ht="15">
      <c r="B55" s="49" t="s">
        <v>36</v>
      </c>
      <c r="C55" s="22"/>
      <c r="D55" s="23" t="s">
        <v>61</v>
      </c>
      <c r="E55" s="24"/>
      <c r="F55" s="72">
        <v>0.109</v>
      </c>
      <c r="G55" s="70">
        <f>0.18*$F$16</f>
        <v>2700</v>
      </c>
      <c r="H55" s="67">
        <f t="shared" si="9"/>
        <v>294.3</v>
      </c>
      <c r="I55" s="28"/>
      <c r="J55" s="66">
        <v>0.109</v>
      </c>
      <c r="K55" s="70">
        <f>G55</f>
        <v>2700</v>
      </c>
      <c r="L55" s="67">
        <f t="shared" si="10"/>
        <v>294.3</v>
      </c>
      <c r="M55" s="28"/>
      <c r="N55" s="31">
        <f t="shared" si="2"/>
        <v>0</v>
      </c>
      <c r="O55" s="69">
        <f t="shared" si="8"/>
        <v>0</v>
      </c>
      <c r="S55" s="73"/>
    </row>
    <row r="56" spans="2:19" ht="15">
      <c r="B56" s="12" t="s">
        <v>37</v>
      </c>
      <c r="C56" s="22"/>
      <c r="D56" s="23" t="s">
        <v>61</v>
      </c>
      <c r="E56" s="24"/>
      <c r="F56" s="72">
        <v>0.129</v>
      </c>
      <c r="G56" s="70">
        <f>0.18*$F$16</f>
        <v>2700</v>
      </c>
      <c r="H56" s="67">
        <f t="shared" si="9"/>
        <v>348.3</v>
      </c>
      <c r="I56" s="28"/>
      <c r="J56" s="66">
        <v>0.129</v>
      </c>
      <c r="K56" s="70">
        <f>G56</f>
        <v>2700</v>
      </c>
      <c r="L56" s="67">
        <f t="shared" si="10"/>
        <v>348.3</v>
      </c>
      <c r="M56" s="28"/>
      <c r="N56" s="31">
        <f t="shared" si="2"/>
        <v>0</v>
      </c>
      <c r="O56" s="69">
        <f t="shared" si="8"/>
        <v>0</v>
      </c>
      <c r="S56" s="73"/>
    </row>
    <row r="57" spans="2:15" s="74" customFormat="1" ht="15">
      <c r="B57" s="75" t="s">
        <v>38</v>
      </c>
      <c r="C57" s="76"/>
      <c r="D57" s="77" t="s">
        <v>61</v>
      </c>
      <c r="E57" s="78"/>
      <c r="F57" s="72">
        <v>0.083</v>
      </c>
      <c r="G57" s="79">
        <f>IF(AND($T$1=1,F16&gt;=600),600,IF(AND($T$1=1,AND(F16&lt;600,F16&gt;=0)),F16,IF(AND($T$1=2,F16&gt;=1000),1000,IF(AND($T$1=2,AND(F16&lt;1000,F16&gt;=0)),F16))))</f>
        <v>600</v>
      </c>
      <c r="H57" s="67">
        <f>G57*F57</f>
        <v>49.800000000000004</v>
      </c>
      <c r="I57" s="80"/>
      <c r="J57" s="66">
        <v>0.083</v>
      </c>
      <c r="K57" s="79">
        <f>G57</f>
        <v>600</v>
      </c>
      <c r="L57" s="67">
        <f>K57*J57</f>
        <v>49.800000000000004</v>
      </c>
      <c r="M57" s="80"/>
      <c r="N57" s="81">
        <f t="shared" si="2"/>
        <v>0</v>
      </c>
      <c r="O57" s="69">
        <f t="shared" si="8"/>
        <v>0</v>
      </c>
    </row>
    <row r="58" spans="2:15" s="74" customFormat="1" ht="15.75" thickBot="1">
      <c r="B58" s="75" t="s">
        <v>39</v>
      </c>
      <c r="C58" s="76"/>
      <c r="D58" s="77" t="s">
        <v>61</v>
      </c>
      <c r="E58" s="78"/>
      <c r="F58" s="72">
        <v>0.097</v>
      </c>
      <c r="G58" s="79">
        <f>IF(AND($T$1=1,F16&gt;=600),F16-600,IF(AND($T$1=1,AND(F16&lt;600,F16&gt;=0)),0,IF(AND($T$1=2,F16&gt;=1000),F16-1000,IF(AND($T$1=2,AND(F16&lt;1000,F16&gt;=0)),0))))</f>
        <v>14400</v>
      </c>
      <c r="H58" s="67">
        <f>G58*F58</f>
        <v>1396.8</v>
      </c>
      <c r="I58" s="80"/>
      <c r="J58" s="66">
        <v>0.097</v>
      </c>
      <c r="K58" s="79">
        <f>G58</f>
        <v>14400</v>
      </c>
      <c r="L58" s="67">
        <f>K58*J58</f>
        <v>1396.8</v>
      </c>
      <c r="M58" s="80"/>
      <c r="N58" s="81">
        <f t="shared" si="2"/>
        <v>0</v>
      </c>
      <c r="O58" s="69">
        <f t="shared" si="8"/>
        <v>0</v>
      </c>
    </row>
    <row r="59" spans="2:15" ht="8.25" customHeight="1" thickBot="1">
      <c r="B59" s="82"/>
      <c r="C59" s="83"/>
      <c r="D59" s="84"/>
      <c r="E59" s="83"/>
      <c r="F59" s="85"/>
      <c r="G59" s="86"/>
      <c r="H59" s="87"/>
      <c r="I59" s="88"/>
      <c r="J59" s="85"/>
      <c r="K59" s="89"/>
      <c r="L59" s="87"/>
      <c r="M59" s="88"/>
      <c r="N59" s="90"/>
      <c r="O59" s="91"/>
    </row>
    <row r="60" spans="2:19" ht="15">
      <c r="B60" s="92" t="s">
        <v>40</v>
      </c>
      <c r="C60" s="22"/>
      <c r="D60" s="22"/>
      <c r="E60" s="22"/>
      <c r="F60" s="93"/>
      <c r="G60" s="94"/>
      <c r="H60" s="95">
        <f>SUM(H50:H56,H49)</f>
        <v>1932.1032799999998</v>
      </c>
      <c r="I60" s="96"/>
      <c r="J60" s="97"/>
      <c r="K60" s="97"/>
      <c r="L60" s="191">
        <f>SUM(L50:L56,L49)</f>
        <v>1862.4880280533243</v>
      </c>
      <c r="M60" s="98"/>
      <c r="N60" s="99">
        <f>L60-H60</f>
        <v>-69.61525194667547</v>
      </c>
      <c r="O60" s="100">
        <f>IF((H60)=0,"",(N60/H60))</f>
        <v>-0.03603081298359758</v>
      </c>
      <c r="S60" s="73"/>
    </row>
    <row r="61" spans="2:19" ht="15">
      <c r="B61" s="101" t="s">
        <v>41</v>
      </c>
      <c r="C61" s="22"/>
      <c r="D61" s="22"/>
      <c r="E61" s="22"/>
      <c r="F61" s="102">
        <v>0.13</v>
      </c>
      <c r="G61" s="103"/>
      <c r="H61" s="104">
        <f>H60*F61</f>
        <v>251.17342639999998</v>
      </c>
      <c r="I61" s="105"/>
      <c r="J61" s="106">
        <v>0.13</v>
      </c>
      <c r="K61" s="105"/>
      <c r="L61" s="107">
        <f>L60*J61</f>
        <v>242.12344364693217</v>
      </c>
      <c r="M61" s="108"/>
      <c r="N61" s="109">
        <f t="shared" si="2"/>
        <v>-9.049982753067809</v>
      </c>
      <c r="O61" s="110">
        <f t="shared" si="8"/>
        <v>-0.036030812983597574</v>
      </c>
      <c r="S61" s="73"/>
    </row>
    <row r="62" spans="2:19" ht="15">
      <c r="B62" s="111" t="s">
        <v>42</v>
      </c>
      <c r="C62" s="22"/>
      <c r="D62" s="22"/>
      <c r="E62" s="22"/>
      <c r="F62" s="112"/>
      <c r="G62" s="103"/>
      <c r="H62" s="104">
        <f>H60+H61</f>
        <v>2183.2767064</v>
      </c>
      <c r="I62" s="105"/>
      <c r="J62" s="105"/>
      <c r="K62" s="105"/>
      <c r="L62" s="107">
        <f>L60+L61</f>
        <v>2104.6114717002565</v>
      </c>
      <c r="M62" s="108"/>
      <c r="N62" s="109">
        <f t="shared" si="2"/>
        <v>-78.66523469974345</v>
      </c>
      <c r="O62" s="110">
        <f t="shared" si="8"/>
        <v>-0.03603081298359766</v>
      </c>
      <c r="S62" s="73"/>
    </row>
    <row r="63" spans="2:15" ht="15.75" customHeight="1">
      <c r="B63" s="251" t="s">
        <v>43</v>
      </c>
      <c r="C63" s="251"/>
      <c r="D63" s="251"/>
      <c r="E63" s="22"/>
      <c r="F63" s="112"/>
      <c r="G63" s="103"/>
      <c r="H63" s="113">
        <f>ROUND(-H62*10%,2)</f>
        <v>-218.33</v>
      </c>
      <c r="I63" s="105"/>
      <c r="J63" s="105"/>
      <c r="K63" s="105"/>
      <c r="L63" s="114">
        <f>ROUND(-L62*10%,2)</f>
        <v>-210.46</v>
      </c>
      <c r="M63" s="108"/>
      <c r="N63" s="115">
        <f t="shared" si="2"/>
        <v>7.8700000000000045</v>
      </c>
      <c r="O63" s="116">
        <f t="shared" si="8"/>
        <v>-0.03604635185270006</v>
      </c>
    </row>
    <row r="64" spans="2:15" ht="15.75" thickBot="1">
      <c r="B64" s="233" t="s">
        <v>44</v>
      </c>
      <c r="C64" s="233"/>
      <c r="D64" s="233"/>
      <c r="E64" s="117"/>
      <c r="F64" s="118"/>
      <c r="G64" s="119"/>
      <c r="H64" s="120">
        <f>H62+H63</f>
        <v>1964.9467064</v>
      </c>
      <c r="I64" s="121"/>
      <c r="J64" s="121"/>
      <c r="K64" s="121"/>
      <c r="L64" s="122">
        <f>L62+L63</f>
        <v>1894.1514717002565</v>
      </c>
      <c r="M64" s="123"/>
      <c r="N64" s="124">
        <f t="shared" si="2"/>
        <v>-70.79523469974356</v>
      </c>
      <c r="O64" s="125">
        <f t="shared" si="8"/>
        <v>-0.03602908642211893</v>
      </c>
    </row>
    <row r="65" spans="2:15" s="74" customFormat="1" ht="8.25" customHeight="1" thickBot="1">
      <c r="B65" s="126"/>
      <c r="C65" s="127"/>
      <c r="D65" s="128"/>
      <c r="E65" s="127"/>
      <c r="F65" s="85"/>
      <c r="G65" s="129"/>
      <c r="H65" s="87"/>
      <c r="I65" s="130"/>
      <c r="J65" s="85"/>
      <c r="K65" s="131"/>
      <c r="L65" s="87"/>
      <c r="M65" s="130"/>
      <c r="N65" s="132"/>
      <c r="O65" s="91"/>
    </row>
    <row r="66" spans="2:15" s="74" customFormat="1" ht="12.75">
      <c r="B66" s="133" t="s">
        <v>45</v>
      </c>
      <c r="C66" s="76"/>
      <c r="D66" s="76"/>
      <c r="E66" s="76"/>
      <c r="F66" s="134"/>
      <c r="G66" s="135"/>
      <c r="H66" s="136">
        <f>SUM(H57:H58,H49,H50:H53)</f>
        <v>2044.9032799999998</v>
      </c>
      <c r="I66" s="137"/>
      <c r="J66" s="138"/>
      <c r="K66" s="138"/>
      <c r="L66" s="190">
        <f>SUM(L57:L58,L49,L50:L53)</f>
        <v>1975.2880280533245</v>
      </c>
      <c r="M66" s="139"/>
      <c r="N66" s="140">
        <f>L66-H66</f>
        <v>-69.61525194667524</v>
      </c>
      <c r="O66" s="100">
        <f>IF((H66)=0,"",(N66/H66))</f>
        <v>-0.0340432980999841</v>
      </c>
    </row>
    <row r="67" spans="2:15" s="74" customFormat="1" ht="12.75">
      <c r="B67" s="141" t="s">
        <v>41</v>
      </c>
      <c r="C67" s="76"/>
      <c r="D67" s="76"/>
      <c r="E67" s="76"/>
      <c r="F67" s="142">
        <v>0.13</v>
      </c>
      <c r="G67" s="135"/>
      <c r="H67" s="143">
        <f>H66*F67</f>
        <v>265.83742639999997</v>
      </c>
      <c r="I67" s="144"/>
      <c r="J67" s="145">
        <v>0.13</v>
      </c>
      <c r="K67" s="146"/>
      <c r="L67" s="147">
        <f>L66*J67</f>
        <v>256.7874436469322</v>
      </c>
      <c r="M67" s="148"/>
      <c r="N67" s="149">
        <f>L67-H67</f>
        <v>-9.049982753067752</v>
      </c>
      <c r="O67" s="110">
        <f>IF((H67)=0,"",(N67/H67))</f>
        <v>-0.034043298099983986</v>
      </c>
    </row>
    <row r="68" spans="2:15" s="74" customFormat="1" ht="12.75">
      <c r="B68" s="150" t="s">
        <v>42</v>
      </c>
      <c r="C68" s="76"/>
      <c r="D68" s="76"/>
      <c r="E68" s="76"/>
      <c r="F68" s="151"/>
      <c r="G68" s="152"/>
      <c r="H68" s="143">
        <f>H66+H67</f>
        <v>2310.7407064</v>
      </c>
      <c r="I68" s="144"/>
      <c r="J68" s="144"/>
      <c r="K68" s="144"/>
      <c r="L68" s="147">
        <f>L66+L67</f>
        <v>2232.075471700257</v>
      </c>
      <c r="M68" s="148"/>
      <c r="N68" s="149">
        <f>L68-H68</f>
        <v>-78.665234699743</v>
      </c>
      <c r="O68" s="110">
        <f>IF((H68)=0,"",(N68/H68))</f>
        <v>-0.03404329809998408</v>
      </c>
    </row>
    <row r="69" spans="2:15" s="74" customFormat="1" ht="15.75" customHeight="1">
      <c r="B69" s="239" t="s">
        <v>43</v>
      </c>
      <c r="C69" s="239"/>
      <c r="D69" s="239"/>
      <c r="E69" s="76"/>
      <c r="F69" s="151"/>
      <c r="G69" s="152"/>
      <c r="H69" s="153">
        <f>ROUND(-H68*10%,2)</f>
        <v>-231.07</v>
      </c>
      <c r="I69" s="144"/>
      <c r="J69" s="144"/>
      <c r="K69" s="144"/>
      <c r="L69" s="154">
        <f>ROUND(-L68*10%,2)</f>
        <v>-223.21</v>
      </c>
      <c r="M69" s="148"/>
      <c r="N69" s="155">
        <f>L69-H69</f>
        <v>7.859999999999985</v>
      </c>
      <c r="O69" s="116">
        <f>IF((H69)=0,"",(N69/H69))</f>
        <v>-0.03401566624832296</v>
      </c>
    </row>
    <row r="70" spans="2:15" s="74" customFormat="1" ht="13.5" thickBot="1">
      <c r="B70" s="244" t="s">
        <v>46</v>
      </c>
      <c r="C70" s="244"/>
      <c r="D70" s="244"/>
      <c r="E70" s="156"/>
      <c r="F70" s="157"/>
      <c r="G70" s="158"/>
      <c r="H70" s="159">
        <f>SUM(H68:H69)</f>
        <v>2079.6707063999997</v>
      </c>
      <c r="I70" s="160"/>
      <c r="J70" s="160"/>
      <c r="K70" s="160"/>
      <c r="L70" s="161">
        <f>SUM(L68:L69)</f>
        <v>2008.8654717002569</v>
      </c>
      <c r="M70" s="162"/>
      <c r="N70" s="163">
        <f>L70-H70</f>
        <v>-70.80523469974287</v>
      </c>
      <c r="O70" s="164">
        <f>IF((H70)=0,"",(N70/H70))</f>
        <v>-0.034046368245629524</v>
      </c>
    </row>
    <row r="71" spans="2:15" s="74" customFormat="1" ht="8.25" customHeight="1" thickBot="1">
      <c r="B71" s="126"/>
      <c r="C71" s="127"/>
      <c r="D71" s="128"/>
      <c r="E71" s="127"/>
      <c r="F71" s="165"/>
      <c r="G71" s="166"/>
      <c r="H71" s="167"/>
      <c r="I71" s="168"/>
      <c r="J71" s="165"/>
      <c r="K71" s="129"/>
      <c r="L71" s="169"/>
      <c r="M71" s="130"/>
      <c r="N71" s="170"/>
      <c r="O71" s="91"/>
    </row>
    <row r="72" ht="10.5" customHeight="1">
      <c r="L72" s="73"/>
    </row>
    <row r="73" spans="2:10" ht="15">
      <c r="B73" s="13" t="s">
        <v>47</v>
      </c>
      <c r="F73" s="171">
        <v>0.0286</v>
      </c>
      <c r="J73" s="171">
        <v>0.0335</v>
      </c>
    </row>
    <row r="74" ht="10.5" customHeight="1"/>
    <row r="75" ht="15">
      <c r="A75" s="172" t="s">
        <v>48</v>
      </c>
    </row>
    <row r="76" ht="10.5" customHeight="1"/>
    <row r="77" ht="15">
      <c r="A77" s="7" t="s">
        <v>49</v>
      </c>
    </row>
    <row r="78" ht="15">
      <c r="A78" s="7" t="s">
        <v>50</v>
      </c>
    </row>
    <row r="80" ht="15">
      <c r="A80" s="12" t="s">
        <v>51</v>
      </c>
    </row>
    <row r="81" ht="15">
      <c r="A81" s="12" t="s">
        <v>52</v>
      </c>
    </row>
    <row r="83" ht="15">
      <c r="A83" s="7" t="s">
        <v>53</v>
      </c>
    </row>
    <row r="84" ht="15">
      <c r="A84" s="7" t="s">
        <v>54</v>
      </c>
    </row>
    <row r="85" ht="15">
      <c r="A85" s="7" t="s">
        <v>55</v>
      </c>
    </row>
    <row r="86" ht="15">
      <c r="A86" s="7" t="s">
        <v>56</v>
      </c>
    </row>
    <row r="87" ht="15">
      <c r="A87" s="7" t="s">
        <v>57</v>
      </c>
    </row>
    <row r="89" spans="1:2" ht="15">
      <c r="A89" s="173"/>
      <c r="B89" s="7" t="s">
        <v>58</v>
      </c>
    </row>
  </sheetData>
  <sheetProtection/>
  <mergeCells count="18">
    <mergeCell ref="D12:O12"/>
    <mergeCell ref="F18:H18"/>
    <mergeCell ref="J18:L18"/>
    <mergeCell ref="N18:O18"/>
    <mergeCell ref="B70:D70"/>
    <mergeCell ref="D19:D20"/>
    <mergeCell ref="N19:N20"/>
    <mergeCell ref="O19:O20"/>
    <mergeCell ref="B63:D63"/>
    <mergeCell ref="B64:D64"/>
    <mergeCell ref="B69:D69"/>
    <mergeCell ref="N1:O1"/>
    <mergeCell ref="N2:O2"/>
    <mergeCell ref="N4:O4"/>
    <mergeCell ref="N5:O5"/>
    <mergeCell ref="B8:O8"/>
    <mergeCell ref="B9:O9"/>
    <mergeCell ref="N3:O3"/>
  </mergeCells>
  <dataValidations count="4">
    <dataValidation type="list" allowBlank="1" showInputMessage="1" showErrorMessage="1" sqref="E47:E48 E50:E56 E59 E38:E45 E21:E36">
      <formula1>'GS&lt;50 (15,000kWh)'!#REF!</formula1>
    </dataValidation>
    <dataValidation type="list" allowBlank="1" showInputMessage="1" showErrorMessage="1" prompt="Select Charge Unit - monthly, per kWh, per kW" sqref="D47:D48 D65 D71 D50:D59 D38:D45 D21:D36">
      <formula1>"Monthly, per kWh, per kW"</formula1>
    </dataValidation>
    <dataValidation type="list" allowBlank="1" showInputMessage="1" showErrorMessage="1" sqref="E71 E65 E57:E58">
      <formula1>'GS&lt;50 (15,000kWh)'!#REF!</formula1>
    </dataValidation>
    <dataValidation type="list" allowBlank="1" showInputMessage="1" showErrorMessage="1" sqref="D14">
      <formula1>"TOU, non-TOU"</formula1>
    </dataValidation>
  </dataValidations>
  <printOptions/>
  <pageMargins left="0.7" right="0.7" top="0.75" bottom="0.75" header="0.3" footer="0.3"/>
  <pageSetup fitToHeight="0" fitToWidth="1" horizontalDpi="600" verticalDpi="600" orientation="portrait" scale="5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88"/>
  <sheetViews>
    <sheetView showGridLines="0" zoomScalePageLayoutView="0" workbookViewId="0" topLeftCell="A1">
      <selection activeCell="J26" sqref="J26"/>
    </sheetView>
  </sheetViews>
  <sheetFormatPr defaultColWidth="9.140625" defaultRowHeight="15"/>
  <cols>
    <col min="1" max="1" width="2.140625" style="7" customWidth="1"/>
    <col min="2" max="2" width="44.57421875" style="7" customWidth="1"/>
    <col min="3" max="3" width="1.28515625" style="7" customWidth="1"/>
    <col min="4" max="4" width="11.28125" style="7" customWidth="1"/>
    <col min="5" max="5" width="1.28515625" style="7" customWidth="1"/>
    <col min="6" max="6" width="12.28125" style="7" customWidth="1"/>
    <col min="7" max="7" width="8.57421875" style="7" customWidth="1"/>
    <col min="8" max="8" width="11.57421875" style="7" bestFit="1" customWidth="1"/>
    <col min="9" max="9" width="2.8515625" style="7" customWidth="1"/>
    <col min="10" max="10" width="12.140625" style="7" customWidth="1"/>
    <col min="11" max="11" width="8.57421875" style="7" customWidth="1"/>
    <col min="12" max="12" width="11.57421875" style="7" bestFit="1" customWidth="1"/>
    <col min="13" max="13" width="2.8515625" style="7" customWidth="1"/>
    <col min="14" max="14" width="12.7109375" style="7" bestFit="1" customWidth="1"/>
    <col min="15" max="15" width="10.8515625" style="7" bestFit="1" customWidth="1"/>
    <col min="16" max="16" width="10.140625" style="7" customWidth="1"/>
    <col min="17" max="20" width="9.140625" style="7" customWidth="1"/>
    <col min="21" max="16384" width="9.140625" style="7" customWidth="1"/>
  </cols>
  <sheetData>
    <row r="1" spans="1:20" s="2" customFormat="1" ht="21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234" t="str">
        <f>EBNUMBER</f>
        <v>EB-2013-0116</v>
      </c>
      <c r="O1" s="234"/>
      <c r="P1" s="195"/>
      <c r="T1" s="2">
        <v>1</v>
      </c>
    </row>
    <row r="2" spans="1:16" s="2" customFormat="1" ht="18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110</v>
      </c>
      <c r="N2" s="235" t="s">
        <v>111</v>
      </c>
      <c r="O2" s="235"/>
      <c r="P2" s="196"/>
    </row>
    <row r="3" spans="3:16" s="2" customFormat="1" ht="15.75">
      <c r="C3" s="6"/>
      <c r="D3" s="6"/>
      <c r="E3" s="6"/>
      <c r="L3" s="3" t="s">
        <v>78</v>
      </c>
      <c r="N3" s="236" t="s">
        <v>91</v>
      </c>
      <c r="O3" s="236"/>
      <c r="P3" s="195"/>
    </row>
    <row r="4" spans="12:16" s="2" customFormat="1" ht="15">
      <c r="L4" s="3"/>
      <c r="N4" s="252"/>
      <c r="O4" s="252"/>
      <c r="P4" s="197"/>
    </row>
    <row r="5" spans="12:16" s="2" customFormat="1" ht="15">
      <c r="L5" s="3" t="s">
        <v>100</v>
      </c>
      <c r="N5" s="237">
        <v>41695</v>
      </c>
      <c r="O5" s="237"/>
      <c r="P5" s="198"/>
    </row>
    <row r="6" spans="14:16" s="2" customFormat="1" ht="15">
      <c r="N6" s="7"/>
      <c r="O6"/>
      <c r="P6"/>
    </row>
    <row r="7" spans="12:16" ht="15">
      <c r="L7"/>
      <c r="M7"/>
      <c r="N7"/>
      <c r="O7"/>
      <c r="P7"/>
    </row>
    <row r="8" spans="2:16" ht="18">
      <c r="B8" s="238" t="s">
        <v>1</v>
      </c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/>
    </row>
    <row r="9" spans="2:16" ht="18">
      <c r="B9" s="238" t="s">
        <v>2</v>
      </c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/>
    </row>
    <row r="10" spans="12:16" ht="15">
      <c r="L10"/>
      <c r="M10"/>
      <c r="N10"/>
      <c r="O10"/>
      <c r="P10"/>
    </row>
    <row r="11" spans="12:16" ht="15">
      <c r="L11"/>
      <c r="M11"/>
      <c r="N11"/>
      <c r="O11"/>
      <c r="P11"/>
    </row>
    <row r="12" spans="2:15" ht="15.75">
      <c r="B12" s="8" t="s">
        <v>3</v>
      </c>
      <c r="D12" s="240" t="s">
        <v>69</v>
      </c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</row>
    <row r="13" spans="2:15" ht="15.75">
      <c r="B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2:15" ht="15.75">
      <c r="B14" s="8" t="s">
        <v>4</v>
      </c>
      <c r="D14" s="11" t="s">
        <v>68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2:15" ht="15.75">
      <c r="B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2:9" ht="15">
      <c r="B16" s="12"/>
      <c r="D16" s="13" t="s">
        <v>6</v>
      </c>
      <c r="E16" s="13"/>
      <c r="F16" s="14">
        <v>20000</v>
      </c>
      <c r="G16" s="13" t="s">
        <v>7</v>
      </c>
      <c r="H16" s="14">
        <v>60</v>
      </c>
      <c r="I16" s="13" t="s">
        <v>70</v>
      </c>
    </row>
    <row r="17" ht="15">
      <c r="B17" s="12"/>
    </row>
    <row r="18" spans="2:15" ht="15">
      <c r="B18" s="12"/>
      <c r="D18" s="15"/>
      <c r="E18" s="15"/>
      <c r="F18" s="241" t="s">
        <v>8</v>
      </c>
      <c r="G18" s="242"/>
      <c r="H18" s="243"/>
      <c r="J18" s="241" t="s">
        <v>9</v>
      </c>
      <c r="K18" s="242"/>
      <c r="L18" s="243"/>
      <c r="N18" s="241" t="s">
        <v>10</v>
      </c>
      <c r="O18" s="243"/>
    </row>
    <row r="19" spans="2:15" ht="15">
      <c r="B19" s="12"/>
      <c r="D19" s="245" t="s">
        <v>11</v>
      </c>
      <c r="E19" s="16"/>
      <c r="F19" s="17" t="s">
        <v>12</v>
      </c>
      <c r="G19" s="17" t="s">
        <v>13</v>
      </c>
      <c r="H19" s="18" t="s">
        <v>14</v>
      </c>
      <c r="J19" s="17" t="s">
        <v>12</v>
      </c>
      <c r="K19" s="19" t="s">
        <v>13</v>
      </c>
      <c r="L19" s="18" t="s">
        <v>14</v>
      </c>
      <c r="N19" s="247" t="s">
        <v>15</v>
      </c>
      <c r="O19" s="249" t="s">
        <v>16</v>
      </c>
    </row>
    <row r="20" spans="2:15" ht="15">
      <c r="B20" s="12"/>
      <c r="D20" s="246"/>
      <c r="E20" s="16"/>
      <c r="F20" s="20" t="s">
        <v>17</v>
      </c>
      <c r="G20" s="20"/>
      <c r="H20" s="21" t="s">
        <v>17</v>
      </c>
      <c r="J20" s="20" t="s">
        <v>17</v>
      </c>
      <c r="K20" s="21"/>
      <c r="L20" s="21" t="s">
        <v>17</v>
      </c>
      <c r="N20" s="248"/>
      <c r="O20" s="250"/>
    </row>
    <row r="21" spans="2:15" ht="15">
      <c r="B21" s="22" t="s">
        <v>18</v>
      </c>
      <c r="C21" s="22"/>
      <c r="D21" s="23" t="s">
        <v>60</v>
      </c>
      <c r="E21" s="24"/>
      <c r="F21" s="175">
        <f>'[2]2013 Existing Rates'!$C$8</f>
        <v>109.35</v>
      </c>
      <c r="G21" s="26">
        <v>1</v>
      </c>
      <c r="H21" s="27">
        <f>G21*F21</f>
        <v>109.35</v>
      </c>
      <c r="I21" s="28"/>
      <c r="J21" s="174">
        <f>'[3]Rate Schedule '!$E$22</f>
        <v>127.04</v>
      </c>
      <c r="K21" s="30">
        <v>1</v>
      </c>
      <c r="L21" s="27">
        <f>K21*J21</f>
        <v>127.04</v>
      </c>
      <c r="M21" s="28"/>
      <c r="N21" s="31">
        <f>L21-H21</f>
        <v>17.690000000000012</v>
      </c>
      <c r="O21" s="32">
        <f>IF((H21)=0,"",(N21/H21))</f>
        <v>0.16177411979881126</v>
      </c>
    </row>
    <row r="22" spans="2:15" ht="45">
      <c r="B22" s="65" t="s">
        <v>62</v>
      </c>
      <c r="C22" s="22"/>
      <c r="D22" s="56" t="s">
        <v>60</v>
      </c>
      <c r="E22" s="24"/>
      <c r="F22" s="174"/>
      <c r="G22" s="26">
        <v>1</v>
      </c>
      <c r="H22" s="27">
        <f aca="true" t="shared" si="0" ref="H22:H36">G22*F22</f>
        <v>0</v>
      </c>
      <c r="I22" s="28"/>
      <c r="J22" s="29"/>
      <c r="K22" s="30">
        <v>1</v>
      </c>
      <c r="L22" s="27">
        <f>K22*J22</f>
        <v>0</v>
      </c>
      <c r="M22" s="28"/>
      <c r="N22" s="31">
        <f>L22-H22</f>
        <v>0</v>
      </c>
      <c r="O22" s="32">
        <f>IF((H22)=0,"",(N22/H22))</f>
      </c>
    </row>
    <row r="23" spans="2:15" ht="15" hidden="1">
      <c r="B23" s="176"/>
      <c r="C23" s="22"/>
      <c r="D23" s="56" t="s">
        <v>60</v>
      </c>
      <c r="E23" s="57"/>
      <c r="F23" s="174"/>
      <c r="G23" s="26">
        <v>1</v>
      </c>
      <c r="H23" s="27">
        <f t="shared" si="0"/>
        <v>0</v>
      </c>
      <c r="I23" s="28"/>
      <c r="J23" s="29"/>
      <c r="K23" s="30">
        <v>1</v>
      </c>
      <c r="L23" s="27">
        <f aca="true" t="shared" si="1" ref="L23:L36">K23*J23</f>
        <v>0</v>
      </c>
      <c r="M23" s="28"/>
      <c r="N23" s="31">
        <f aca="true" t="shared" si="2" ref="N23:N37">L23-H23</f>
        <v>0</v>
      </c>
      <c r="O23" s="32">
        <f aca="true" t="shared" si="3" ref="O23:O37">IF((H23)=0,"",(N23/H23))</f>
      </c>
    </row>
    <row r="24" spans="2:15" ht="15" hidden="1">
      <c r="B24" s="176"/>
      <c r="C24" s="22"/>
      <c r="D24" s="56" t="s">
        <v>60</v>
      </c>
      <c r="E24" s="24"/>
      <c r="F24" s="25"/>
      <c r="G24" s="26">
        <v>1</v>
      </c>
      <c r="H24" s="27">
        <f t="shared" si="0"/>
        <v>0</v>
      </c>
      <c r="I24" s="28"/>
      <c r="J24" s="174"/>
      <c r="K24" s="30">
        <v>1</v>
      </c>
      <c r="L24" s="27">
        <f t="shared" si="1"/>
        <v>0</v>
      </c>
      <c r="M24" s="28"/>
      <c r="N24" s="31">
        <f t="shared" si="2"/>
        <v>0</v>
      </c>
      <c r="O24" s="32">
        <f t="shared" si="3"/>
      </c>
    </row>
    <row r="25" spans="2:15" ht="15">
      <c r="B25" s="46" t="s">
        <v>65</v>
      </c>
      <c r="C25" s="22"/>
      <c r="D25" s="23" t="s">
        <v>71</v>
      </c>
      <c r="E25" s="24"/>
      <c r="F25" s="25">
        <v>-0.0188</v>
      </c>
      <c r="G25" s="180">
        <f>$H$16</f>
        <v>60</v>
      </c>
      <c r="H25" s="27">
        <f t="shared" si="0"/>
        <v>-1.1280000000000001</v>
      </c>
      <c r="I25" s="28"/>
      <c r="J25" s="29"/>
      <c r="K25" s="180">
        <f>$H$16</f>
        <v>60</v>
      </c>
      <c r="L25" s="27">
        <f t="shared" si="1"/>
        <v>0</v>
      </c>
      <c r="M25" s="28"/>
      <c r="N25" s="31">
        <f t="shared" si="2"/>
        <v>1.1280000000000001</v>
      </c>
      <c r="O25" s="32">
        <f t="shared" si="3"/>
        <v>-1</v>
      </c>
    </row>
    <row r="26" spans="2:15" ht="15">
      <c r="B26" s="46" t="s">
        <v>66</v>
      </c>
      <c r="C26" s="22"/>
      <c r="D26" s="23" t="s">
        <v>71</v>
      </c>
      <c r="E26" s="24"/>
      <c r="F26" s="25"/>
      <c r="G26" s="180">
        <f>$H$16</f>
        <v>60</v>
      </c>
      <c r="H26" s="27">
        <f t="shared" si="0"/>
        <v>0</v>
      </c>
      <c r="I26" s="28"/>
      <c r="J26" s="29">
        <f>'[4]6. Rate Rider Calculations'!$F$77</f>
        <v>-0.9024192048959747</v>
      </c>
      <c r="K26" s="180">
        <f>$H$16</f>
        <v>60</v>
      </c>
      <c r="L26" s="27">
        <f t="shared" si="1"/>
        <v>-54.145152293758485</v>
      </c>
      <c r="M26" s="28"/>
      <c r="N26" s="31">
        <f t="shared" si="2"/>
        <v>-54.145152293758485</v>
      </c>
      <c r="O26" s="32">
        <f t="shared" si="3"/>
      </c>
    </row>
    <row r="27" spans="2:15" ht="15">
      <c r="B27" s="22" t="s">
        <v>19</v>
      </c>
      <c r="C27" s="22"/>
      <c r="D27" s="23" t="s">
        <v>71</v>
      </c>
      <c r="E27" s="24"/>
      <c r="F27" s="25">
        <f>'[2]2013 Existing Rates'!$D$8</f>
        <v>3.6834</v>
      </c>
      <c r="G27" s="180">
        <f>$H$16</f>
        <v>60</v>
      </c>
      <c r="H27" s="27">
        <f t="shared" si="0"/>
        <v>221.004</v>
      </c>
      <c r="I27" s="28"/>
      <c r="J27" s="29">
        <f>'[3]Rate Schedule '!$E$23</f>
        <v>4.2624</v>
      </c>
      <c r="K27" s="180">
        <f>$H$16</f>
        <v>60</v>
      </c>
      <c r="L27" s="27">
        <f t="shared" si="1"/>
        <v>255.74400000000003</v>
      </c>
      <c r="M27" s="28"/>
      <c r="N27" s="31">
        <f t="shared" si="2"/>
        <v>34.74000000000004</v>
      </c>
      <c r="O27" s="32">
        <f t="shared" si="3"/>
        <v>0.1571917250366511</v>
      </c>
    </row>
    <row r="28" spans="2:15" ht="15" hidden="1">
      <c r="B28" s="22" t="s">
        <v>20</v>
      </c>
      <c r="C28" s="22"/>
      <c r="D28" s="23"/>
      <c r="E28" s="24"/>
      <c r="F28" s="25"/>
      <c r="G28" s="26">
        <f>$F$16</f>
        <v>20000</v>
      </c>
      <c r="H28" s="27">
        <f t="shared" si="0"/>
        <v>0</v>
      </c>
      <c r="I28" s="28"/>
      <c r="J28" s="29"/>
      <c r="K28" s="26">
        <f aca="true" t="shared" si="4" ref="K28:K36">$F$16</f>
        <v>20000</v>
      </c>
      <c r="L28" s="27">
        <f t="shared" si="1"/>
        <v>0</v>
      </c>
      <c r="M28" s="28"/>
      <c r="N28" s="31">
        <f t="shared" si="2"/>
        <v>0</v>
      </c>
      <c r="O28" s="32">
        <f t="shared" si="3"/>
      </c>
    </row>
    <row r="29" spans="2:15" ht="15" hidden="1">
      <c r="B29" s="22" t="s">
        <v>21</v>
      </c>
      <c r="C29" s="22"/>
      <c r="D29" s="23"/>
      <c r="E29" s="24"/>
      <c r="F29" s="25"/>
      <c r="G29" s="26">
        <f>$F$16</f>
        <v>20000</v>
      </c>
      <c r="H29" s="27">
        <f t="shared" si="0"/>
        <v>0</v>
      </c>
      <c r="I29" s="28"/>
      <c r="J29" s="29"/>
      <c r="K29" s="26">
        <f t="shared" si="4"/>
        <v>20000</v>
      </c>
      <c r="L29" s="27">
        <f t="shared" si="1"/>
        <v>0</v>
      </c>
      <c r="M29" s="28"/>
      <c r="N29" s="31">
        <f t="shared" si="2"/>
        <v>0</v>
      </c>
      <c r="O29" s="32">
        <f t="shared" si="3"/>
      </c>
    </row>
    <row r="30" spans="2:15" ht="15" hidden="1">
      <c r="B30" s="33"/>
      <c r="C30" s="22"/>
      <c r="D30" s="23"/>
      <c r="E30" s="24"/>
      <c r="F30" s="25"/>
      <c r="G30" s="26">
        <f aca="true" t="shared" si="5" ref="G30:G36">$F$16</f>
        <v>20000</v>
      </c>
      <c r="H30" s="27">
        <f t="shared" si="0"/>
        <v>0</v>
      </c>
      <c r="I30" s="28"/>
      <c r="J30" s="29"/>
      <c r="K30" s="26">
        <f t="shared" si="4"/>
        <v>20000</v>
      </c>
      <c r="L30" s="27">
        <f t="shared" si="1"/>
        <v>0</v>
      </c>
      <c r="M30" s="28"/>
      <c r="N30" s="31">
        <f t="shared" si="2"/>
        <v>0</v>
      </c>
      <c r="O30" s="32">
        <f t="shared" si="3"/>
      </c>
    </row>
    <row r="31" spans="2:15" ht="15" hidden="1">
      <c r="B31" s="33"/>
      <c r="C31" s="22"/>
      <c r="D31" s="23"/>
      <c r="E31" s="24"/>
      <c r="F31" s="25"/>
      <c r="G31" s="26">
        <f t="shared" si="5"/>
        <v>20000</v>
      </c>
      <c r="H31" s="27">
        <f t="shared" si="0"/>
        <v>0</v>
      </c>
      <c r="I31" s="28"/>
      <c r="J31" s="29"/>
      <c r="K31" s="26">
        <f t="shared" si="4"/>
        <v>20000</v>
      </c>
      <c r="L31" s="27">
        <f t="shared" si="1"/>
        <v>0</v>
      </c>
      <c r="M31" s="28"/>
      <c r="N31" s="31">
        <f t="shared" si="2"/>
        <v>0</v>
      </c>
      <c r="O31" s="32">
        <f t="shared" si="3"/>
      </c>
    </row>
    <row r="32" spans="2:15" ht="15" hidden="1">
      <c r="B32" s="33"/>
      <c r="C32" s="22"/>
      <c r="D32" s="23"/>
      <c r="E32" s="24"/>
      <c r="F32" s="25"/>
      <c r="G32" s="26">
        <f t="shared" si="5"/>
        <v>20000</v>
      </c>
      <c r="H32" s="27">
        <f t="shared" si="0"/>
        <v>0</v>
      </c>
      <c r="I32" s="28"/>
      <c r="J32" s="29"/>
      <c r="K32" s="26">
        <f t="shared" si="4"/>
        <v>20000</v>
      </c>
      <c r="L32" s="27">
        <f t="shared" si="1"/>
        <v>0</v>
      </c>
      <c r="M32" s="28"/>
      <c r="N32" s="31">
        <f t="shared" si="2"/>
        <v>0</v>
      </c>
      <c r="O32" s="32">
        <f t="shared" si="3"/>
      </c>
    </row>
    <row r="33" spans="2:15" ht="15" hidden="1">
      <c r="B33" s="33"/>
      <c r="C33" s="22"/>
      <c r="D33" s="23"/>
      <c r="E33" s="24"/>
      <c r="F33" s="25"/>
      <c r="G33" s="26">
        <f t="shared" si="5"/>
        <v>20000</v>
      </c>
      <c r="H33" s="27">
        <f t="shared" si="0"/>
        <v>0</v>
      </c>
      <c r="I33" s="28"/>
      <c r="J33" s="29"/>
      <c r="K33" s="26">
        <f t="shared" si="4"/>
        <v>20000</v>
      </c>
      <c r="L33" s="27">
        <f t="shared" si="1"/>
        <v>0</v>
      </c>
      <c r="M33" s="28"/>
      <c r="N33" s="31">
        <f t="shared" si="2"/>
        <v>0</v>
      </c>
      <c r="O33" s="32">
        <f t="shared" si="3"/>
      </c>
    </row>
    <row r="34" spans="2:15" ht="15" hidden="1">
      <c r="B34" s="33"/>
      <c r="C34" s="22"/>
      <c r="D34" s="23"/>
      <c r="E34" s="24"/>
      <c r="F34" s="25"/>
      <c r="G34" s="26">
        <f t="shared" si="5"/>
        <v>20000</v>
      </c>
      <c r="H34" s="27">
        <f t="shared" si="0"/>
        <v>0</v>
      </c>
      <c r="I34" s="28"/>
      <c r="J34" s="29"/>
      <c r="K34" s="26">
        <f t="shared" si="4"/>
        <v>20000</v>
      </c>
      <c r="L34" s="27">
        <f t="shared" si="1"/>
        <v>0</v>
      </c>
      <c r="M34" s="28"/>
      <c r="N34" s="31">
        <f t="shared" si="2"/>
        <v>0</v>
      </c>
      <c r="O34" s="32">
        <f t="shared" si="3"/>
      </c>
    </row>
    <row r="35" spans="2:15" ht="15" hidden="1">
      <c r="B35" s="33"/>
      <c r="C35" s="22"/>
      <c r="D35" s="23"/>
      <c r="E35" s="24"/>
      <c r="F35" s="25"/>
      <c r="G35" s="26">
        <f t="shared" si="5"/>
        <v>20000</v>
      </c>
      <c r="H35" s="27">
        <f t="shared" si="0"/>
        <v>0</v>
      </c>
      <c r="I35" s="28"/>
      <c r="J35" s="29"/>
      <c r="K35" s="26">
        <f t="shared" si="4"/>
        <v>20000</v>
      </c>
      <c r="L35" s="27">
        <f t="shared" si="1"/>
        <v>0</v>
      </c>
      <c r="M35" s="28"/>
      <c r="N35" s="31">
        <f t="shared" si="2"/>
        <v>0</v>
      </c>
      <c r="O35" s="32">
        <f t="shared" si="3"/>
      </c>
    </row>
    <row r="36" spans="2:15" ht="15" hidden="1">
      <c r="B36" s="33"/>
      <c r="C36" s="22"/>
      <c r="D36" s="23"/>
      <c r="E36" s="24"/>
      <c r="F36" s="25"/>
      <c r="G36" s="26">
        <f t="shared" si="5"/>
        <v>20000</v>
      </c>
      <c r="H36" s="27">
        <f t="shared" si="0"/>
        <v>0</v>
      </c>
      <c r="I36" s="28"/>
      <c r="J36" s="29"/>
      <c r="K36" s="26">
        <f t="shared" si="4"/>
        <v>20000</v>
      </c>
      <c r="L36" s="27">
        <f t="shared" si="1"/>
        <v>0</v>
      </c>
      <c r="M36" s="28"/>
      <c r="N36" s="31">
        <f t="shared" si="2"/>
        <v>0</v>
      </c>
      <c r="O36" s="32">
        <f t="shared" si="3"/>
      </c>
    </row>
    <row r="37" spans="2:15" s="34" customFormat="1" ht="15">
      <c r="B37" s="35" t="s">
        <v>22</v>
      </c>
      <c r="C37" s="36"/>
      <c r="D37" s="37"/>
      <c r="E37" s="36"/>
      <c r="F37" s="38"/>
      <c r="G37" s="39"/>
      <c r="H37" s="40">
        <f>SUM(H21:H36)</f>
        <v>329.226</v>
      </c>
      <c r="I37" s="41"/>
      <c r="J37" s="42"/>
      <c r="K37" s="43"/>
      <c r="L37" s="40">
        <f>SUM(L21:L36)</f>
        <v>328.63884770624156</v>
      </c>
      <c r="M37" s="41"/>
      <c r="N37" s="44">
        <f t="shared" si="2"/>
        <v>-0.5871522937584359</v>
      </c>
      <c r="O37" s="45">
        <f t="shared" si="3"/>
        <v>-0.0017834323345010295</v>
      </c>
    </row>
    <row r="38" spans="2:15" ht="25.5">
      <c r="B38" s="46" t="s">
        <v>23</v>
      </c>
      <c r="C38" s="22"/>
      <c r="D38" s="56" t="s">
        <v>71</v>
      </c>
      <c r="E38" s="57"/>
      <c r="F38" s="29">
        <v>0.118</v>
      </c>
      <c r="G38" s="180">
        <f>G27</f>
        <v>60</v>
      </c>
      <c r="H38" s="27">
        <f aca="true" t="shared" si="6" ref="H38:H44">G38*F38</f>
        <v>7.08</v>
      </c>
      <c r="I38" s="28"/>
      <c r="J38" s="29">
        <f>'[4]6. Rate Rider Calculations'!$F$22</f>
        <v>-0.44651540739305623</v>
      </c>
      <c r="K38" s="180">
        <f>H16</f>
        <v>60</v>
      </c>
      <c r="L38" s="27">
        <f aca="true" t="shared" si="7" ref="L38:L44">K38*J38</f>
        <v>-26.790924443583375</v>
      </c>
      <c r="M38" s="28"/>
      <c r="N38" s="31">
        <f aca="true" t="shared" si="8" ref="N38:N44">L38-H38</f>
        <v>-33.87092444358338</v>
      </c>
      <c r="O38" s="32">
        <f aca="true" t="shared" si="9" ref="O38:O43">IF((H38)=0,"",(N38/H38))</f>
        <v>-4.784028876212341</v>
      </c>
    </row>
    <row r="39" spans="2:15" ht="15" hidden="1">
      <c r="B39" s="46"/>
      <c r="C39" s="22"/>
      <c r="D39" s="23" t="s">
        <v>71</v>
      </c>
      <c r="E39" s="24"/>
      <c r="F39" s="25"/>
      <c r="G39" s="180">
        <f>H16</f>
        <v>60</v>
      </c>
      <c r="H39" s="27">
        <f t="shared" si="6"/>
        <v>0</v>
      </c>
      <c r="I39" s="47"/>
      <c r="J39" s="29"/>
      <c r="K39" s="180">
        <f>H16</f>
        <v>60</v>
      </c>
      <c r="L39" s="27">
        <f t="shared" si="7"/>
        <v>0</v>
      </c>
      <c r="M39" s="48"/>
      <c r="N39" s="31">
        <f t="shared" si="8"/>
        <v>0</v>
      </c>
      <c r="O39" s="32">
        <f t="shared" si="9"/>
      </c>
    </row>
    <row r="40" spans="2:15" ht="15" hidden="1">
      <c r="B40" s="46"/>
      <c r="C40" s="22"/>
      <c r="D40" s="23" t="s">
        <v>71</v>
      </c>
      <c r="E40" s="24"/>
      <c r="F40" s="25"/>
      <c r="G40" s="180">
        <f>H16</f>
        <v>60</v>
      </c>
      <c r="H40" s="27">
        <f t="shared" si="6"/>
        <v>0</v>
      </c>
      <c r="I40" s="47"/>
      <c r="J40" s="29"/>
      <c r="K40" s="180">
        <f>H16</f>
        <v>60</v>
      </c>
      <c r="L40" s="27">
        <f t="shared" si="7"/>
        <v>0</v>
      </c>
      <c r="M40" s="48"/>
      <c r="N40" s="31">
        <f t="shared" si="8"/>
        <v>0</v>
      </c>
      <c r="O40" s="32">
        <f t="shared" si="9"/>
      </c>
    </row>
    <row r="41" spans="2:15" ht="32.25" customHeight="1">
      <c r="B41" s="46" t="s">
        <v>77</v>
      </c>
      <c r="C41" s="22"/>
      <c r="D41" s="56" t="s">
        <v>71</v>
      </c>
      <c r="E41" s="24"/>
      <c r="F41" s="29">
        <v>1.2458</v>
      </c>
      <c r="G41" s="180">
        <f>H16</f>
        <v>60</v>
      </c>
      <c r="H41" s="27">
        <f t="shared" si="6"/>
        <v>74.748</v>
      </c>
      <c r="I41" s="47"/>
      <c r="J41" s="29">
        <f>'[4]6. Rate Rider Calculations'!$F$49</f>
        <v>-1.3981917421003902</v>
      </c>
      <c r="K41" s="180">
        <f>H16</f>
        <v>60</v>
      </c>
      <c r="L41" s="27">
        <f t="shared" si="7"/>
        <v>-83.89150452602341</v>
      </c>
      <c r="M41" s="48"/>
      <c r="N41" s="31">
        <f t="shared" si="8"/>
        <v>-158.63950452602342</v>
      </c>
      <c r="O41" s="32">
        <f t="shared" si="9"/>
        <v>-2.1223244036766657</v>
      </c>
    </row>
    <row r="42" spans="2:15" ht="15">
      <c r="B42" s="49" t="s">
        <v>24</v>
      </c>
      <c r="C42" s="22"/>
      <c r="D42" s="23" t="s">
        <v>71</v>
      </c>
      <c r="E42" s="24"/>
      <c r="F42" s="25">
        <v>0.029</v>
      </c>
      <c r="G42" s="180">
        <f>H16</f>
        <v>60</v>
      </c>
      <c r="H42" s="27">
        <f t="shared" si="6"/>
        <v>1.74</v>
      </c>
      <c r="I42" s="28"/>
      <c r="J42" s="29">
        <f>'[3]Rate Schedule '!$E$24</f>
        <v>0.0577</v>
      </c>
      <c r="K42" s="180">
        <f>H16</f>
        <v>60</v>
      </c>
      <c r="L42" s="27">
        <f t="shared" si="7"/>
        <v>3.462</v>
      </c>
      <c r="M42" s="28"/>
      <c r="N42" s="31">
        <f t="shared" si="8"/>
        <v>1.7220000000000002</v>
      </c>
      <c r="O42" s="32">
        <f t="shared" si="9"/>
        <v>0.9896551724137932</v>
      </c>
    </row>
    <row r="43" spans="2:15" s="34" customFormat="1" ht="15">
      <c r="B43" s="182" t="s">
        <v>25</v>
      </c>
      <c r="C43" s="24"/>
      <c r="D43" s="183" t="s">
        <v>61</v>
      </c>
      <c r="E43" s="24"/>
      <c r="F43" s="184">
        <f>IF(ISBLANK(D14)=TRUE,0,IF(D14="TOU",0.64*$F$53+0.18*$F$54+0.18*$F$55,IF(AND(D14="non-TOU",G57&gt;0),F57,F56)))</f>
        <v>0.075</v>
      </c>
      <c r="G43" s="26">
        <f>$F$16*(1+$F$72)-$F$16</f>
        <v>572</v>
      </c>
      <c r="H43" s="185">
        <f t="shared" si="6"/>
        <v>42.9</v>
      </c>
      <c r="I43" s="57"/>
      <c r="J43" s="186">
        <f>IF(ISBLANK(D14)=TRUE,0,IF(D14="TOU",0.64*$F$53+0.18*$F$54+0.18*$F$55,IF(AND(D14="non-TOU",K57&gt;0),J57,J56)))</f>
        <v>0.075</v>
      </c>
      <c r="K43" s="26">
        <f>$F$16*(1+$J$72)-$F$16</f>
        <v>670</v>
      </c>
      <c r="L43" s="185">
        <f t="shared" si="7"/>
        <v>50.25</v>
      </c>
      <c r="M43" s="57"/>
      <c r="N43" s="187">
        <f t="shared" si="8"/>
        <v>7.350000000000001</v>
      </c>
      <c r="O43" s="188">
        <f t="shared" si="9"/>
        <v>0.17132867132867136</v>
      </c>
    </row>
    <row r="44" spans="2:15" ht="15">
      <c r="B44" s="49" t="s">
        <v>26</v>
      </c>
      <c r="C44" s="22"/>
      <c r="D44" s="23" t="s">
        <v>60</v>
      </c>
      <c r="E44" s="24"/>
      <c r="F44" s="179">
        <v>0.79</v>
      </c>
      <c r="G44" s="26">
        <v>0</v>
      </c>
      <c r="H44" s="27">
        <f t="shared" si="6"/>
        <v>0</v>
      </c>
      <c r="I44" s="28"/>
      <c r="J44" s="179">
        <v>0.79</v>
      </c>
      <c r="K44" s="26">
        <v>0</v>
      </c>
      <c r="L44" s="27">
        <f t="shared" si="7"/>
        <v>0</v>
      </c>
      <c r="M44" s="28"/>
      <c r="N44" s="31">
        <f t="shared" si="8"/>
        <v>0</v>
      </c>
      <c r="O44" s="32"/>
    </row>
    <row r="45" spans="2:15" ht="25.5">
      <c r="B45" s="50" t="s">
        <v>27</v>
      </c>
      <c r="C45" s="51"/>
      <c r="D45" s="51"/>
      <c r="E45" s="51"/>
      <c r="F45" s="52"/>
      <c r="G45" s="53"/>
      <c r="H45" s="54">
        <f>SUM(H38:H44)+H37</f>
        <v>455.69399999999996</v>
      </c>
      <c r="I45" s="41"/>
      <c r="J45" s="53"/>
      <c r="K45" s="55"/>
      <c r="L45" s="54">
        <f>SUM(L38:L44)+L37</f>
        <v>271.66841873663475</v>
      </c>
      <c r="M45" s="41"/>
      <c r="N45" s="44">
        <f aca="true" t="shared" si="10" ref="N45:N63">L45-H45</f>
        <v>-184.0255812633652</v>
      </c>
      <c r="O45" s="45">
        <f aca="true" t="shared" si="11" ref="O45:O63">IF((H45)=0,"",(N45/H45))</f>
        <v>-0.4038358663124053</v>
      </c>
    </row>
    <row r="46" spans="2:15" ht="15">
      <c r="B46" s="28" t="s">
        <v>28</v>
      </c>
      <c r="C46" s="28"/>
      <c r="D46" s="56" t="s">
        <v>71</v>
      </c>
      <c r="E46" s="57"/>
      <c r="F46" s="29">
        <v>3.5124</v>
      </c>
      <c r="G46" s="58">
        <f>H16*(1+F72)</f>
        <v>61.715999999999994</v>
      </c>
      <c r="H46" s="27">
        <f>G46*F46</f>
        <v>216.77127839999997</v>
      </c>
      <c r="I46" s="28"/>
      <c r="J46" s="29">
        <f>'[5]13. Final 2014 RTS Rates'!$F$28</f>
        <v>3.780300794248831</v>
      </c>
      <c r="K46" s="59">
        <f>H16*(1+J72)</f>
        <v>62.010000000000005</v>
      </c>
      <c r="L46" s="27">
        <f>K46*J46</f>
        <v>234.41645225137003</v>
      </c>
      <c r="M46" s="28"/>
      <c r="N46" s="31">
        <f t="shared" si="10"/>
        <v>17.64517385137006</v>
      </c>
      <c r="O46" s="32">
        <f t="shared" si="11"/>
        <v>0.08139996212417992</v>
      </c>
    </row>
    <row r="47" spans="2:15" ht="30">
      <c r="B47" s="60" t="s">
        <v>29</v>
      </c>
      <c r="C47" s="28"/>
      <c r="D47" s="56" t="s">
        <v>71</v>
      </c>
      <c r="E47" s="57"/>
      <c r="F47" s="29">
        <v>2.0763</v>
      </c>
      <c r="G47" s="58">
        <f>G46</f>
        <v>61.715999999999994</v>
      </c>
      <c r="H47" s="27">
        <f>G47*F47</f>
        <v>128.14093079999998</v>
      </c>
      <c r="I47" s="28"/>
      <c r="J47" s="29">
        <f>'[5]13. Final 2014 RTS Rates'!$H$28</f>
        <v>2.3939694395342537</v>
      </c>
      <c r="K47" s="59">
        <f>K46</f>
        <v>62.010000000000005</v>
      </c>
      <c r="L47" s="27">
        <f>K47*J47</f>
        <v>148.4500449455191</v>
      </c>
      <c r="M47" s="28"/>
      <c r="N47" s="31">
        <f t="shared" si="10"/>
        <v>20.309114145519118</v>
      </c>
      <c r="O47" s="32">
        <f t="shared" si="11"/>
        <v>0.15849045280634969</v>
      </c>
    </row>
    <row r="48" spans="2:15" ht="25.5">
      <c r="B48" s="50" t="s">
        <v>30</v>
      </c>
      <c r="C48" s="36"/>
      <c r="D48" s="36"/>
      <c r="E48" s="36"/>
      <c r="F48" s="61"/>
      <c r="G48" s="53"/>
      <c r="H48" s="54">
        <f>SUM(H45:H47)</f>
        <v>800.6062092</v>
      </c>
      <c r="I48" s="62"/>
      <c r="J48" s="63"/>
      <c r="K48" s="64"/>
      <c r="L48" s="54">
        <f>SUM(L45:L47)</f>
        <v>654.534915933524</v>
      </c>
      <c r="M48" s="62"/>
      <c r="N48" s="44">
        <f t="shared" si="10"/>
        <v>-146.071293266476</v>
      </c>
      <c r="O48" s="45">
        <f t="shared" si="11"/>
        <v>-0.18245086234396896</v>
      </c>
    </row>
    <row r="49" spans="2:15" ht="30">
      <c r="B49" s="65" t="s">
        <v>31</v>
      </c>
      <c r="C49" s="22"/>
      <c r="D49" s="23" t="s">
        <v>61</v>
      </c>
      <c r="E49" s="24"/>
      <c r="F49" s="66">
        <v>0.0044</v>
      </c>
      <c r="G49" s="58">
        <f>F16*(1+F72)</f>
        <v>20572</v>
      </c>
      <c r="H49" s="67">
        <f aca="true" t="shared" si="12" ref="H49:H55">G49*F49</f>
        <v>90.5168</v>
      </c>
      <c r="I49" s="28"/>
      <c r="J49" s="68">
        <v>0.0044</v>
      </c>
      <c r="K49" s="59">
        <f>F16*(1+J72)</f>
        <v>20670</v>
      </c>
      <c r="L49" s="67">
        <f aca="true" t="shared" si="13" ref="L49:L55">K49*J49</f>
        <v>90.94800000000001</v>
      </c>
      <c r="M49" s="28"/>
      <c r="N49" s="31">
        <f t="shared" si="10"/>
        <v>0.431200000000004</v>
      </c>
      <c r="O49" s="69">
        <f t="shared" si="11"/>
        <v>0.0047637565623177575</v>
      </c>
    </row>
    <row r="50" spans="2:15" ht="30">
      <c r="B50" s="65" t="s">
        <v>32</v>
      </c>
      <c r="C50" s="22"/>
      <c r="D50" s="23" t="s">
        <v>61</v>
      </c>
      <c r="E50" s="24"/>
      <c r="F50" s="66">
        <v>0.0012</v>
      </c>
      <c r="G50" s="58">
        <f>G49</f>
        <v>20572</v>
      </c>
      <c r="H50" s="67">
        <f t="shared" si="12"/>
        <v>24.6864</v>
      </c>
      <c r="I50" s="28"/>
      <c r="J50" s="68">
        <v>0.0012</v>
      </c>
      <c r="K50" s="59">
        <f>K49</f>
        <v>20670</v>
      </c>
      <c r="L50" s="67">
        <f t="shared" si="13"/>
        <v>24.804</v>
      </c>
      <c r="M50" s="28"/>
      <c r="N50" s="31">
        <f t="shared" si="10"/>
        <v>0.11759999999999948</v>
      </c>
      <c r="O50" s="69">
        <f t="shared" si="11"/>
        <v>0.0047637565623176925</v>
      </c>
    </row>
    <row r="51" spans="2:15" ht="15">
      <c r="B51" s="22" t="s">
        <v>33</v>
      </c>
      <c r="C51" s="22"/>
      <c r="D51" s="23" t="s">
        <v>60</v>
      </c>
      <c r="E51" s="24"/>
      <c r="F51" s="177">
        <v>0.25</v>
      </c>
      <c r="G51" s="26">
        <v>1</v>
      </c>
      <c r="H51" s="67">
        <f t="shared" si="12"/>
        <v>0.25</v>
      </c>
      <c r="I51" s="28"/>
      <c r="J51" s="178">
        <v>0.25</v>
      </c>
      <c r="K51" s="30">
        <v>1</v>
      </c>
      <c r="L51" s="67">
        <f t="shared" si="13"/>
        <v>0.25</v>
      </c>
      <c r="M51" s="28"/>
      <c r="N51" s="31">
        <f t="shared" si="10"/>
        <v>0</v>
      </c>
      <c r="O51" s="69">
        <f t="shared" si="11"/>
        <v>0</v>
      </c>
    </row>
    <row r="52" spans="2:15" ht="15">
      <c r="B52" s="22" t="s">
        <v>34</v>
      </c>
      <c r="C52" s="22"/>
      <c r="D52" s="23" t="s">
        <v>61</v>
      </c>
      <c r="E52" s="24"/>
      <c r="F52" s="66">
        <v>0.007</v>
      </c>
      <c r="G52" s="70">
        <f>F16</f>
        <v>20000</v>
      </c>
      <c r="H52" s="67">
        <f t="shared" si="12"/>
        <v>140</v>
      </c>
      <c r="I52" s="28"/>
      <c r="J52" s="68">
        <f>0.007</f>
        <v>0.007</v>
      </c>
      <c r="K52" s="71">
        <f>F16</f>
        <v>20000</v>
      </c>
      <c r="L52" s="67">
        <f t="shared" si="13"/>
        <v>140</v>
      </c>
      <c r="M52" s="28"/>
      <c r="N52" s="31">
        <f t="shared" si="10"/>
        <v>0</v>
      </c>
      <c r="O52" s="69">
        <f t="shared" si="11"/>
        <v>0</v>
      </c>
    </row>
    <row r="53" spans="2:19" ht="15.75" thickBot="1">
      <c r="B53" s="49" t="s">
        <v>76</v>
      </c>
      <c r="C53" s="22"/>
      <c r="D53" s="23" t="s">
        <v>61</v>
      </c>
      <c r="E53" s="24"/>
      <c r="F53" s="66">
        <v>0.0799</v>
      </c>
      <c r="G53" s="70">
        <f>F16</f>
        <v>20000</v>
      </c>
      <c r="H53" s="67">
        <f t="shared" si="12"/>
        <v>1598</v>
      </c>
      <c r="I53" s="28"/>
      <c r="J53" s="68">
        <v>0.0799</v>
      </c>
      <c r="K53" s="70">
        <f>G53</f>
        <v>20000</v>
      </c>
      <c r="L53" s="67">
        <f t="shared" si="13"/>
        <v>1598</v>
      </c>
      <c r="M53" s="28"/>
      <c r="N53" s="31">
        <f t="shared" si="10"/>
        <v>0</v>
      </c>
      <c r="O53" s="69">
        <f t="shared" si="11"/>
        <v>0</v>
      </c>
      <c r="S53" s="73"/>
    </row>
    <row r="54" spans="2:19" ht="15" hidden="1">
      <c r="B54" s="49" t="s">
        <v>36</v>
      </c>
      <c r="C54" s="22"/>
      <c r="D54" s="23"/>
      <c r="E54" s="24"/>
      <c r="F54" s="72">
        <v>0.104</v>
      </c>
      <c r="G54" s="70">
        <v>0</v>
      </c>
      <c r="H54" s="67">
        <f t="shared" si="12"/>
        <v>0</v>
      </c>
      <c r="I54" s="28"/>
      <c r="J54" s="66">
        <v>0.104</v>
      </c>
      <c r="K54" s="70">
        <v>0</v>
      </c>
      <c r="L54" s="67">
        <f t="shared" si="13"/>
        <v>0</v>
      </c>
      <c r="M54" s="28"/>
      <c r="N54" s="31">
        <f t="shared" si="10"/>
        <v>0</v>
      </c>
      <c r="O54" s="69">
        <f t="shared" si="11"/>
      </c>
      <c r="S54" s="73"/>
    </row>
    <row r="55" spans="2:19" ht="15" hidden="1">
      <c r="B55" s="12" t="s">
        <v>37</v>
      </c>
      <c r="C55" s="22"/>
      <c r="D55" s="23"/>
      <c r="E55" s="24"/>
      <c r="F55" s="72">
        <v>0.124</v>
      </c>
      <c r="G55" s="70">
        <v>0</v>
      </c>
      <c r="H55" s="67">
        <f t="shared" si="12"/>
        <v>0</v>
      </c>
      <c r="I55" s="28"/>
      <c r="J55" s="66">
        <v>0.124</v>
      </c>
      <c r="K55" s="70">
        <v>0</v>
      </c>
      <c r="L55" s="67">
        <f t="shared" si="13"/>
        <v>0</v>
      </c>
      <c r="M55" s="28"/>
      <c r="N55" s="31">
        <f t="shared" si="10"/>
        <v>0</v>
      </c>
      <c r="O55" s="69">
        <f t="shared" si="11"/>
      </c>
      <c r="S55" s="73"/>
    </row>
    <row r="56" spans="2:15" s="74" customFormat="1" ht="15" hidden="1">
      <c r="B56" s="181" t="s">
        <v>38</v>
      </c>
      <c r="C56" s="76"/>
      <c r="D56" s="77"/>
      <c r="E56" s="78"/>
      <c r="F56" s="72">
        <v>0.075</v>
      </c>
      <c r="G56" s="79">
        <v>0</v>
      </c>
      <c r="H56" s="67">
        <f>G56*F56</f>
        <v>0</v>
      </c>
      <c r="I56" s="80"/>
      <c r="J56" s="66">
        <v>0.075</v>
      </c>
      <c r="K56" s="79">
        <f>G56</f>
        <v>0</v>
      </c>
      <c r="L56" s="67">
        <f>K56*J56</f>
        <v>0</v>
      </c>
      <c r="M56" s="80"/>
      <c r="N56" s="81">
        <f t="shared" si="10"/>
        <v>0</v>
      </c>
      <c r="O56" s="69">
        <f t="shared" si="11"/>
      </c>
    </row>
    <row r="57" spans="2:15" s="74" customFormat="1" ht="15.75" hidden="1" thickBot="1">
      <c r="B57" s="181" t="s">
        <v>39</v>
      </c>
      <c r="C57" s="76"/>
      <c r="D57" s="77"/>
      <c r="E57" s="78"/>
      <c r="F57" s="72">
        <v>0.088</v>
      </c>
      <c r="G57" s="79">
        <v>0</v>
      </c>
      <c r="H57" s="67">
        <f>G57*F57</f>
        <v>0</v>
      </c>
      <c r="I57" s="80"/>
      <c r="J57" s="66">
        <v>0.088</v>
      </c>
      <c r="K57" s="79">
        <f>G57</f>
        <v>0</v>
      </c>
      <c r="L57" s="67">
        <f>K57*J57</f>
        <v>0</v>
      </c>
      <c r="M57" s="80"/>
      <c r="N57" s="81">
        <f t="shared" si="10"/>
        <v>0</v>
      </c>
      <c r="O57" s="69">
        <f t="shared" si="11"/>
      </c>
    </row>
    <row r="58" spans="2:15" ht="15.75" hidden="1" thickBot="1">
      <c r="B58" s="82"/>
      <c r="C58" s="83"/>
      <c r="D58" s="84"/>
      <c r="E58" s="83"/>
      <c r="F58" s="85"/>
      <c r="G58" s="86"/>
      <c r="H58" s="87"/>
      <c r="I58" s="88"/>
      <c r="J58" s="85"/>
      <c r="K58" s="89"/>
      <c r="L58" s="87"/>
      <c r="M58" s="88"/>
      <c r="N58" s="90"/>
      <c r="O58" s="91"/>
    </row>
    <row r="59" spans="2:19" ht="15" hidden="1">
      <c r="B59" s="92" t="s">
        <v>40</v>
      </c>
      <c r="C59" s="22"/>
      <c r="D59" s="22"/>
      <c r="E59" s="22"/>
      <c r="F59" s="93"/>
      <c r="G59" s="94"/>
      <c r="H59" s="95">
        <f>SUM(H49:H55,H48)</f>
        <v>2654.0594092</v>
      </c>
      <c r="I59" s="96"/>
      <c r="J59" s="97"/>
      <c r="K59" s="97"/>
      <c r="L59" s="95">
        <f>SUM(L49:L55,L48)</f>
        <v>2508.536915933524</v>
      </c>
      <c r="M59" s="98"/>
      <c r="N59" s="99">
        <f>L59-H59</f>
        <v>-145.52249326647598</v>
      </c>
      <c r="O59" s="100">
        <f>IF((H59)=0,"",(N59/H59))</f>
        <v>-0.05483015668829361</v>
      </c>
      <c r="S59" s="73"/>
    </row>
    <row r="60" spans="2:19" ht="15" hidden="1">
      <c r="B60" s="101" t="s">
        <v>41</v>
      </c>
      <c r="C60" s="22"/>
      <c r="D60" s="22"/>
      <c r="E60" s="22"/>
      <c r="F60" s="102">
        <v>0.13</v>
      </c>
      <c r="G60" s="103"/>
      <c r="H60" s="104">
        <f>H59*F60</f>
        <v>345.027723196</v>
      </c>
      <c r="I60" s="105"/>
      <c r="J60" s="106">
        <v>0.13</v>
      </c>
      <c r="K60" s="105"/>
      <c r="L60" s="107">
        <f>L59*J60</f>
        <v>326.10979907135817</v>
      </c>
      <c r="M60" s="108"/>
      <c r="N60" s="109">
        <f t="shared" si="10"/>
        <v>-18.917924124641843</v>
      </c>
      <c r="O60" s="110">
        <f t="shared" si="11"/>
        <v>-0.05483015668829351</v>
      </c>
      <c r="S60" s="73"/>
    </row>
    <row r="61" spans="2:19" ht="15" hidden="1">
      <c r="B61" s="111" t="s">
        <v>42</v>
      </c>
      <c r="C61" s="22"/>
      <c r="D61" s="22"/>
      <c r="E61" s="22"/>
      <c r="F61" s="112"/>
      <c r="G61" s="103"/>
      <c r="H61" s="104">
        <f>H59+H60</f>
        <v>2999.087132396</v>
      </c>
      <c r="I61" s="105"/>
      <c r="J61" s="105"/>
      <c r="K61" s="105"/>
      <c r="L61" s="107">
        <f>L59+L60</f>
        <v>2834.6467150048825</v>
      </c>
      <c r="M61" s="108"/>
      <c r="N61" s="109">
        <f t="shared" si="10"/>
        <v>-164.44041739111753</v>
      </c>
      <c r="O61" s="110">
        <f t="shared" si="11"/>
        <v>-0.05483015668829351</v>
      </c>
      <c r="S61" s="73"/>
    </row>
    <row r="62" spans="2:15" ht="15" hidden="1">
      <c r="B62" s="251" t="s">
        <v>43</v>
      </c>
      <c r="C62" s="251"/>
      <c r="D62" s="251"/>
      <c r="E62" s="22"/>
      <c r="F62" s="112"/>
      <c r="G62" s="103"/>
      <c r="H62" s="113">
        <f>ROUND(-H61*10%,2)</f>
        <v>-299.91</v>
      </c>
      <c r="I62" s="105"/>
      <c r="J62" s="105"/>
      <c r="K62" s="105"/>
      <c r="L62" s="114">
        <f>ROUND(-L61*10%,2)</f>
        <v>-283.46</v>
      </c>
      <c r="M62" s="108"/>
      <c r="N62" s="115">
        <f t="shared" si="10"/>
        <v>16.450000000000045</v>
      </c>
      <c r="O62" s="116">
        <f t="shared" si="11"/>
        <v>-0.054849788269814424</v>
      </c>
    </row>
    <row r="63" spans="2:15" ht="15.75" hidden="1" thickBot="1">
      <c r="B63" s="233" t="s">
        <v>44</v>
      </c>
      <c r="C63" s="233"/>
      <c r="D63" s="233"/>
      <c r="E63" s="117"/>
      <c r="F63" s="118"/>
      <c r="G63" s="119"/>
      <c r="H63" s="120">
        <f>H61+H62</f>
        <v>2699.177132396</v>
      </c>
      <c r="I63" s="121"/>
      <c r="J63" s="121"/>
      <c r="K63" s="121"/>
      <c r="L63" s="122">
        <f>L61+L62</f>
        <v>2551.1867150048824</v>
      </c>
      <c r="M63" s="123"/>
      <c r="N63" s="124">
        <f t="shared" si="10"/>
        <v>-147.99041739111772</v>
      </c>
      <c r="O63" s="125">
        <f t="shared" si="11"/>
        <v>-0.05482797539105923</v>
      </c>
    </row>
    <row r="64" spans="2:15" s="74" customFormat="1" ht="15.75" thickBot="1">
      <c r="B64" s="126"/>
      <c r="C64" s="127"/>
      <c r="D64" s="128"/>
      <c r="E64" s="127"/>
      <c r="F64" s="85"/>
      <c r="G64" s="129"/>
      <c r="H64" s="87"/>
      <c r="I64" s="130"/>
      <c r="J64" s="85"/>
      <c r="K64" s="131"/>
      <c r="L64" s="87"/>
      <c r="M64" s="130"/>
      <c r="N64" s="132"/>
      <c r="O64" s="91"/>
    </row>
    <row r="65" spans="2:15" s="74" customFormat="1" ht="12.75">
      <c r="B65" s="133" t="s">
        <v>45</v>
      </c>
      <c r="C65" s="76"/>
      <c r="D65" s="76"/>
      <c r="E65" s="76"/>
      <c r="F65" s="134"/>
      <c r="G65" s="135"/>
      <c r="H65" s="136">
        <f>SUM(H53,H48,H49:H52)</f>
        <v>2654.0594092</v>
      </c>
      <c r="I65" s="137"/>
      <c r="J65" s="138"/>
      <c r="K65" s="138"/>
      <c r="L65" s="190">
        <f>SUM(L53,L48,L49:L52)</f>
        <v>2508.5369159335237</v>
      </c>
      <c r="M65" s="139"/>
      <c r="N65" s="140">
        <f>L65-H65</f>
        <v>-145.52249326647643</v>
      </c>
      <c r="O65" s="100">
        <f>IF((H65)=0,"",(N65/H65))</f>
        <v>-0.05483015668829378</v>
      </c>
    </row>
    <row r="66" spans="2:15" s="74" customFormat="1" ht="12.75">
      <c r="B66" s="141" t="s">
        <v>41</v>
      </c>
      <c r="C66" s="76"/>
      <c r="D66" s="76"/>
      <c r="E66" s="76"/>
      <c r="F66" s="142">
        <v>0.13</v>
      </c>
      <c r="G66" s="135"/>
      <c r="H66" s="143">
        <f>H65*F66</f>
        <v>345.027723196</v>
      </c>
      <c r="I66" s="144"/>
      <c r="J66" s="145">
        <v>0.13</v>
      </c>
      <c r="K66" s="146"/>
      <c r="L66" s="147">
        <f>L65*J66</f>
        <v>326.1097990713581</v>
      </c>
      <c r="M66" s="148"/>
      <c r="N66" s="149">
        <f>L66-H66</f>
        <v>-18.9179241246419</v>
      </c>
      <c r="O66" s="110">
        <f>IF((H66)=0,"",(N66/H66))</f>
        <v>-0.05483015668829368</v>
      </c>
    </row>
    <row r="67" spans="2:15" s="74" customFormat="1" ht="12.75">
      <c r="B67" s="150" t="s">
        <v>42</v>
      </c>
      <c r="C67" s="76"/>
      <c r="D67" s="76"/>
      <c r="E67" s="76"/>
      <c r="F67" s="151"/>
      <c r="G67" s="152"/>
      <c r="H67" s="143">
        <f>H65+H66</f>
        <v>2999.087132396</v>
      </c>
      <c r="I67" s="144"/>
      <c r="J67" s="144"/>
      <c r="K67" s="144"/>
      <c r="L67" s="147">
        <f>L65+L66</f>
        <v>2834.646715004882</v>
      </c>
      <c r="M67" s="148"/>
      <c r="N67" s="149">
        <f>L67-H67</f>
        <v>-164.440417391118</v>
      </c>
      <c r="O67" s="110">
        <f>IF((H67)=0,"",(N67/H67))</f>
        <v>-0.054830156688293656</v>
      </c>
    </row>
    <row r="68" spans="2:15" s="74" customFormat="1" ht="12.75">
      <c r="B68" s="239" t="s">
        <v>43</v>
      </c>
      <c r="C68" s="239"/>
      <c r="D68" s="239"/>
      <c r="E68" s="76"/>
      <c r="F68" s="151"/>
      <c r="G68" s="152"/>
      <c r="H68" s="153">
        <f>ROUND(-H67*10%,2)</f>
        <v>-299.91</v>
      </c>
      <c r="I68" s="144"/>
      <c r="J68" s="144"/>
      <c r="K68" s="144"/>
      <c r="L68" s="154">
        <f>ROUND(-L67*10%,2)</f>
        <v>-283.46</v>
      </c>
      <c r="M68" s="148"/>
      <c r="N68" s="155">
        <f>L68-H68</f>
        <v>16.450000000000045</v>
      </c>
      <c r="O68" s="116">
        <f>IF((H68)=0,"",(N68/H68))</f>
        <v>-0.054849788269814424</v>
      </c>
    </row>
    <row r="69" spans="2:15" s="74" customFormat="1" ht="13.5" thickBot="1">
      <c r="B69" s="244" t="s">
        <v>46</v>
      </c>
      <c r="C69" s="244"/>
      <c r="D69" s="244"/>
      <c r="E69" s="156"/>
      <c r="F69" s="157"/>
      <c r="G69" s="158"/>
      <c r="H69" s="159">
        <f>SUM(H67:H68)</f>
        <v>2699.177132396</v>
      </c>
      <c r="I69" s="160"/>
      <c r="J69" s="160"/>
      <c r="K69" s="160"/>
      <c r="L69" s="161">
        <f>SUM(L67:L68)</f>
        <v>2551.186715004882</v>
      </c>
      <c r="M69" s="162"/>
      <c r="N69" s="163">
        <f>L69-H69</f>
        <v>-147.99041739111817</v>
      </c>
      <c r="O69" s="164">
        <f>IF((H69)=0,"",(N69/H69))</f>
        <v>-0.0548279753910594</v>
      </c>
    </row>
    <row r="70" spans="2:15" s="74" customFormat="1" ht="15.75" thickBot="1">
      <c r="B70" s="126"/>
      <c r="C70" s="127"/>
      <c r="D70" s="128"/>
      <c r="E70" s="127"/>
      <c r="F70" s="165"/>
      <c r="G70" s="166"/>
      <c r="H70" s="167"/>
      <c r="I70" s="168"/>
      <c r="J70" s="165"/>
      <c r="K70" s="129"/>
      <c r="L70" s="169"/>
      <c r="M70" s="130"/>
      <c r="N70" s="170"/>
      <c r="O70" s="91"/>
    </row>
    <row r="71" ht="15">
      <c r="L71" s="73"/>
    </row>
    <row r="72" spans="2:10" ht="15">
      <c r="B72" s="13" t="s">
        <v>47</v>
      </c>
      <c r="F72" s="171">
        <v>0.0286</v>
      </c>
      <c r="J72" s="171">
        <v>0.0335</v>
      </c>
    </row>
    <row r="74" ht="15">
      <c r="A74" s="172" t="s">
        <v>48</v>
      </c>
    </row>
    <row r="76" ht="15">
      <c r="A76" s="7" t="s">
        <v>49</v>
      </c>
    </row>
    <row r="77" ht="15">
      <c r="A77" s="7" t="s">
        <v>50</v>
      </c>
    </row>
    <row r="79" ht="15">
      <c r="A79" s="12" t="s">
        <v>51</v>
      </c>
    </row>
    <row r="80" ht="15">
      <c r="A80" s="12" t="s">
        <v>52</v>
      </c>
    </row>
    <row r="82" ht="15">
      <c r="A82" s="7" t="s">
        <v>53</v>
      </c>
    </row>
    <row r="83" ht="15">
      <c r="A83" s="7" t="s">
        <v>54</v>
      </c>
    </row>
    <row r="84" ht="15">
      <c r="A84" s="7" t="s">
        <v>55</v>
      </c>
    </row>
    <row r="85" ht="15">
      <c r="A85" s="7" t="s">
        <v>56</v>
      </c>
    </row>
    <row r="86" ht="15">
      <c r="A86" s="7" t="s">
        <v>57</v>
      </c>
    </row>
    <row r="88" spans="1:2" ht="15">
      <c r="A88" s="173"/>
      <c r="B88" s="7" t="s">
        <v>58</v>
      </c>
    </row>
  </sheetData>
  <sheetProtection/>
  <mergeCells count="18">
    <mergeCell ref="D12:O12"/>
    <mergeCell ref="B63:D63"/>
    <mergeCell ref="N4:O4"/>
    <mergeCell ref="N1:O1"/>
    <mergeCell ref="N2:O2"/>
    <mergeCell ref="F18:H18"/>
    <mergeCell ref="B9:O9"/>
    <mergeCell ref="J18:L18"/>
    <mergeCell ref="N3:O3"/>
    <mergeCell ref="B69:D69"/>
    <mergeCell ref="D19:D20"/>
    <mergeCell ref="N19:N20"/>
    <mergeCell ref="O19:O20"/>
    <mergeCell ref="B62:D62"/>
    <mergeCell ref="N5:O5"/>
    <mergeCell ref="B68:D68"/>
    <mergeCell ref="B8:O8"/>
    <mergeCell ref="N18:O18"/>
  </mergeCells>
  <dataValidations count="4">
    <dataValidation type="list" allowBlank="1" showInputMessage="1" showErrorMessage="1" sqref="D14">
      <formula1>"TOU, non-TOU"</formula1>
    </dataValidation>
    <dataValidation type="list" allowBlank="1" showInputMessage="1" showErrorMessage="1" sqref="E70 E64 E56:E57">
      <formula1>'GS 50-999 (60kW)'!#REF!</formula1>
    </dataValidation>
    <dataValidation type="list" allowBlank="1" showInputMessage="1" showErrorMessage="1" prompt="Select Charge Unit - monthly, per kWh, per kW" sqref="D46:D47 D38:D44 D64 D21:D36 D70 D49:D58">
      <formula1>"Monthly, per kWh, per kW"</formula1>
    </dataValidation>
    <dataValidation type="list" allowBlank="1" showInputMessage="1" showErrorMessage="1" sqref="E46:E47 E38:E44 E21:E36 E49:E55 E58">
      <formula1>'GS 50-999 (60kW)'!#REF!</formula1>
    </dataValidation>
  </dataValidations>
  <printOptions/>
  <pageMargins left="0.7" right="0.7" top="0.75" bottom="0.75" header="0.3" footer="0.3"/>
  <pageSetup fitToHeight="0" fitToWidth="1" horizontalDpi="600" verticalDpi="600" orientation="portrait" scale="58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8"/>
  <sheetViews>
    <sheetView showGridLines="0" zoomScalePageLayoutView="0" workbookViewId="0" topLeftCell="A1">
      <selection activeCell="J5" sqref="J5"/>
    </sheetView>
  </sheetViews>
  <sheetFormatPr defaultColWidth="9.140625" defaultRowHeight="15"/>
  <cols>
    <col min="1" max="1" width="2.140625" style="7" customWidth="1"/>
    <col min="2" max="2" width="44.57421875" style="7" customWidth="1"/>
    <col min="3" max="3" width="1.28515625" style="7" customWidth="1"/>
    <col min="4" max="4" width="11.28125" style="7" customWidth="1"/>
    <col min="5" max="5" width="1.28515625" style="7" customWidth="1"/>
    <col min="6" max="6" width="12.28125" style="7" customWidth="1"/>
    <col min="7" max="7" width="8.57421875" style="7" customWidth="1"/>
    <col min="8" max="8" width="11.57421875" style="7" bestFit="1" customWidth="1"/>
    <col min="9" max="9" width="2.8515625" style="7" customWidth="1"/>
    <col min="10" max="10" width="12.140625" style="7" customWidth="1"/>
    <col min="11" max="11" width="8.57421875" style="7" customWidth="1"/>
    <col min="12" max="12" width="11.57421875" style="7" bestFit="1" customWidth="1"/>
    <col min="13" max="13" width="2.8515625" style="7" customWidth="1"/>
    <col min="14" max="14" width="12.7109375" style="7" bestFit="1" customWidth="1"/>
    <col min="15" max="15" width="10.8515625" style="7" bestFit="1" customWidth="1"/>
    <col min="16" max="16" width="11.140625" style="7" customWidth="1"/>
    <col min="17" max="20" width="9.140625" style="7" customWidth="1"/>
    <col min="21" max="16384" width="9.140625" style="7" customWidth="1"/>
  </cols>
  <sheetData>
    <row r="1" spans="1:20" s="2" customFormat="1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234" t="str">
        <f>EBNUMBER</f>
        <v>EB-2013-0116</v>
      </c>
      <c r="O1" s="234"/>
      <c r="P1" s="195"/>
      <c r="T1" s="2">
        <v>1</v>
      </c>
    </row>
    <row r="2" spans="1:16" s="2" customFormat="1" ht="1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110</v>
      </c>
      <c r="N2" s="235" t="s">
        <v>111</v>
      </c>
      <c r="O2" s="235"/>
      <c r="P2" s="196"/>
    </row>
    <row r="3" spans="3:16" s="2" customFormat="1" ht="15" customHeight="1">
      <c r="C3" s="6"/>
      <c r="D3" s="6"/>
      <c r="E3" s="6"/>
      <c r="L3" s="3" t="s">
        <v>78</v>
      </c>
      <c r="N3" s="236" t="s">
        <v>92</v>
      </c>
      <c r="O3" s="236"/>
      <c r="P3" s="195"/>
    </row>
    <row r="4" spans="12:16" s="2" customFormat="1" ht="9" customHeight="1">
      <c r="L4" s="3"/>
      <c r="N4" s="252"/>
      <c r="O4" s="252"/>
      <c r="P4" s="197"/>
    </row>
    <row r="5" spans="12:16" s="2" customFormat="1" ht="15">
      <c r="L5" s="3" t="s">
        <v>100</v>
      </c>
      <c r="N5" s="237">
        <v>41695</v>
      </c>
      <c r="O5" s="237"/>
      <c r="P5" s="198"/>
    </row>
    <row r="6" spans="14:16" s="2" customFormat="1" ht="15" customHeight="1">
      <c r="N6" s="7"/>
      <c r="O6"/>
      <c r="P6"/>
    </row>
    <row r="7" spans="12:16" ht="7.5" customHeight="1">
      <c r="L7"/>
      <c r="M7"/>
      <c r="N7"/>
      <c r="O7"/>
      <c r="P7"/>
    </row>
    <row r="8" spans="2:16" ht="18.75" customHeight="1">
      <c r="B8" s="238" t="s">
        <v>1</v>
      </c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/>
    </row>
    <row r="9" spans="2:16" ht="18.75" customHeight="1">
      <c r="B9" s="238" t="s">
        <v>2</v>
      </c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/>
    </row>
    <row r="10" spans="12:16" ht="7.5" customHeight="1">
      <c r="L10"/>
      <c r="M10"/>
      <c r="N10"/>
      <c r="O10"/>
      <c r="P10"/>
    </row>
    <row r="11" spans="12:16" ht="7.5" customHeight="1">
      <c r="L11"/>
      <c r="M11"/>
      <c r="N11"/>
      <c r="O11"/>
      <c r="P11"/>
    </row>
    <row r="12" spans="2:15" ht="15.75">
      <c r="B12" s="8" t="s">
        <v>3</v>
      </c>
      <c r="D12" s="240" t="s">
        <v>69</v>
      </c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</row>
    <row r="13" spans="2:15" ht="7.5" customHeight="1">
      <c r="B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2:15" ht="15.75">
      <c r="B14" s="8" t="s">
        <v>4</v>
      </c>
      <c r="D14" s="11" t="s">
        <v>68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2:15" ht="15.75">
      <c r="B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2:9" ht="15">
      <c r="B16" s="12"/>
      <c r="D16" s="13" t="s">
        <v>6</v>
      </c>
      <c r="E16" s="13"/>
      <c r="F16" s="14">
        <v>40000</v>
      </c>
      <c r="G16" s="13" t="s">
        <v>7</v>
      </c>
      <c r="H16" s="14">
        <v>100</v>
      </c>
      <c r="I16" s="13" t="s">
        <v>70</v>
      </c>
    </row>
    <row r="17" ht="15">
      <c r="B17" s="12"/>
    </row>
    <row r="18" spans="2:15" ht="15">
      <c r="B18" s="12"/>
      <c r="D18" s="15"/>
      <c r="E18" s="15"/>
      <c r="F18" s="241" t="s">
        <v>8</v>
      </c>
      <c r="G18" s="242"/>
      <c r="H18" s="243"/>
      <c r="J18" s="241" t="s">
        <v>9</v>
      </c>
      <c r="K18" s="242"/>
      <c r="L18" s="243"/>
      <c r="N18" s="241" t="s">
        <v>10</v>
      </c>
      <c r="O18" s="243"/>
    </row>
    <row r="19" spans="2:15" ht="15">
      <c r="B19" s="12"/>
      <c r="D19" s="245" t="s">
        <v>11</v>
      </c>
      <c r="E19" s="16"/>
      <c r="F19" s="17" t="s">
        <v>12</v>
      </c>
      <c r="G19" s="17" t="s">
        <v>13</v>
      </c>
      <c r="H19" s="18" t="s">
        <v>14</v>
      </c>
      <c r="J19" s="17" t="s">
        <v>12</v>
      </c>
      <c r="K19" s="19" t="s">
        <v>13</v>
      </c>
      <c r="L19" s="18" t="s">
        <v>14</v>
      </c>
      <c r="N19" s="247" t="s">
        <v>15</v>
      </c>
      <c r="O19" s="249" t="s">
        <v>16</v>
      </c>
    </row>
    <row r="20" spans="2:15" ht="15">
      <c r="B20" s="12"/>
      <c r="D20" s="246"/>
      <c r="E20" s="16"/>
      <c r="F20" s="20" t="s">
        <v>17</v>
      </c>
      <c r="G20" s="20"/>
      <c r="H20" s="21" t="s">
        <v>17</v>
      </c>
      <c r="J20" s="20" t="s">
        <v>17</v>
      </c>
      <c r="K20" s="21"/>
      <c r="L20" s="21" t="s">
        <v>17</v>
      </c>
      <c r="N20" s="248"/>
      <c r="O20" s="250"/>
    </row>
    <row r="21" spans="2:15" ht="22.5" customHeight="1">
      <c r="B21" s="22" t="s">
        <v>18</v>
      </c>
      <c r="C21" s="22"/>
      <c r="D21" s="23" t="s">
        <v>60</v>
      </c>
      <c r="E21" s="24"/>
      <c r="F21" s="175">
        <f>'[2]2013 Existing Rates'!$C$8</f>
        <v>109.35</v>
      </c>
      <c r="G21" s="26">
        <v>1</v>
      </c>
      <c r="H21" s="27">
        <f>G21*F21</f>
        <v>109.35</v>
      </c>
      <c r="I21" s="28"/>
      <c r="J21" s="174">
        <f>'[3]Rate Schedule '!$E$22</f>
        <v>127.04</v>
      </c>
      <c r="K21" s="30">
        <v>1</v>
      </c>
      <c r="L21" s="27">
        <f>K21*J21</f>
        <v>127.04</v>
      </c>
      <c r="M21" s="28"/>
      <c r="N21" s="31">
        <f>L21-H21</f>
        <v>17.690000000000012</v>
      </c>
      <c r="O21" s="32">
        <f>IF((H21)=0,"",(N21/H21))</f>
        <v>0.16177411979881126</v>
      </c>
    </row>
    <row r="22" spans="2:15" ht="36.75" customHeight="1">
      <c r="B22" s="65" t="s">
        <v>62</v>
      </c>
      <c r="C22" s="22"/>
      <c r="D22" s="56" t="s">
        <v>60</v>
      </c>
      <c r="E22" s="24"/>
      <c r="F22" s="174"/>
      <c r="G22" s="26">
        <v>1</v>
      </c>
      <c r="H22" s="27">
        <f aca="true" t="shared" si="0" ref="H22:H36">G22*F22</f>
        <v>0</v>
      </c>
      <c r="I22" s="28"/>
      <c r="J22" s="29"/>
      <c r="K22" s="30">
        <v>1</v>
      </c>
      <c r="L22" s="27">
        <f>K22*J22</f>
        <v>0</v>
      </c>
      <c r="M22" s="28"/>
      <c r="N22" s="31">
        <f>L22-H22</f>
        <v>0</v>
      </c>
      <c r="O22" s="32">
        <f>IF((H22)=0,"",(N22/H22))</f>
      </c>
    </row>
    <row r="23" spans="2:15" ht="15" hidden="1">
      <c r="B23" s="176"/>
      <c r="C23" s="22"/>
      <c r="D23" s="56" t="s">
        <v>60</v>
      </c>
      <c r="E23" s="57"/>
      <c r="F23" s="174"/>
      <c r="G23" s="26">
        <v>1</v>
      </c>
      <c r="H23" s="27">
        <f t="shared" si="0"/>
        <v>0</v>
      </c>
      <c r="I23" s="28"/>
      <c r="J23" s="29"/>
      <c r="K23" s="30">
        <v>1</v>
      </c>
      <c r="L23" s="27">
        <f aca="true" t="shared" si="1" ref="L23:L36">K23*J23</f>
        <v>0</v>
      </c>
      <c r="M23" s="28"/>
      <c r="N23" s="31">
        <f aca="true" t="shared" si="2" ref="N23:N63">L23-H23</f>
        <v>0</v>
      </c>
      <c r="O23" s="32">
        <f aca="true" t="shared" si="3" ref="O23:O43">IF((H23)=0,"",(N23/H23))</f>
      </c>
    </row>
    <row r="24" spans="2:15" ht="15" hidden="1">
      <c r="B24" s="176"/>
      <c r="C24" s="22"/>
      <c r="D24" s="56" t="s">
        <v>60</v>
      </c>
      <c r="E24" s="24"/>
      <c r="F24" s="25"/>
      <c r="G24" s="26">
        <v>1</v>
      </c>
      <c r="H24" s="27">
        <f t="shared" si="0"/>
        <v>0</v>
      </c>
      <c r="I24" s="28"/>
      <c r="J24" s="174"/>
      <c r="K24" s="30">
        <v>1</v>
      </c>
      <c r="L24" s="27">
        <f t="shared" si="1"/>
        <v>0</v>
      </c>
      <c r="M24" s="28"/>
      <c r="N24" s="31">
        <f t="shared" si="2"/>
        <v>0</v>
      </c>
      <c r="O24" s="32">
        <f t="shared" si="3"/>
      </c>
    </row>
    <row r="25" spans="2:15" ht="15">
      <c r="B25" s="46" t="s">
        <v>65</v>
      </c>
      <c r="C25" s="22"/>
      <c r="D25" s="23" t="s">
        <v>71</v>
      </c>
      <c r="E25" s="24"/>
      <c r="F25" s="25">
        <v>-0.0188</v>
      </c>
      <c r="G25" s="180">
        <f>$H$16</f>
        <v>100</v>
      </c>
      <c r="H25" s="27">
        <f t="shared" si="0"/>
        <v>-1.8800000000000001</v>
      </c>
      <c r="I25" s="28"/>
      <c r="J25" s="29"/>
      <c r="K25" s="180">
        <f>$H$16</f>
        <v>100</v>
      </c>
      <c r="L25" s="27">
        <f t="shared" si="1"/>
        <v>0</v>
      </c>
      <c r="M25" s="28"/>
      <c r="N25" s="31">
        <f t="shared" si="2"/>
        <v>1.8800000000000001</v>
      </c>
      <c r="O25" s="32">
        <f t="shared" si="3"/>
        <v>-1</v>
      </c>
    </row>
    <row r="26" spans="2:15" ht="15">
      <c r="B26" s="46" t="s">
        <v>66</v>
      </c>
      <c r="C26" s="22"/>
      <c r="D26" s="23" t="s">
        <v>71</v>
      </c>
      <c r="E26" s="24"/>
      <c r="F26" s="25"/>
      <c r="G26" s="180">
        <f>$H$16</f>
        <v>100</v>
      </c>
      <c r="H26" s="27">
        <f t="shared" si="0"/>
        <v>0</v>
      </c>
      <c r="I26" s="28"/>
      <c r="J26" s="29">
        <f>'[4]6. Rate Rider Calculations'!$F$77</f>
        <v>-0.9024192048959747</v>
      </c>
      <c r="K26" s="180">
        <f>$H$16</f>
        <v>100</v>
      </c>
      <c r="L26" s="27">
        <f t="shared" si="1"/>
        <v>-90.24192048959748</v>
      </c>
      <c r="M26" s="28"/>
      <c r="N26" s="31">
        <f t="shared" si="2"/>
        <v>-90.24192048959748</v>
      </c>
      <c r="O26" s="32">
        <f t="shared" si="3"/>
      </c>
    </row>
    <row r="27" spans="2:15" ht="15">
      <c r="B27" s="22" t="s">
        <v>19</v>
      </c>
      <c r="C27" s="22"/>
      <c r="D27" s="23" t="s">
        <v>71</v>
      </c>
      <c r="E27" s="24"/>
      <c r="F27" s="25">
        <f>'[2]2013 Existing Rates'!$D$8</f>
        <v>3.6834</v>
      </c>
      <c r="G27" s="180">
        <f>$H$16</f>
        <v>100</v>
      </c>
      <c r="H27" s="27">
        <f t="shared" si="0"/>
        <v>368.34</v>
      </c>
      <c r="I27" s="28"/>
      <c r="J27" s="29">
        <f>'[3]Rate Schedule '!$E$23</f>
        <v>4.2624</v>
      </c>
      <c r="K27" s="180">
        <f>$H$16</f>
        <v>100</v>
      </c>
      <c r="L27" s="27">
        <f t="shared" si="1"/>
        <v>426.24000000000007</v>
      </c>
      <c r="M27" s="28"/>
      <c r="N27" s="31">
        <f t="shared" si="2"/>
        <v>57.90000000000009</v>
      </c>
      <c r="O27" s="32">
        <f t="shared" si="3"/>
        <v>0.1571917250366512</v>
      </c>
    </row>
    <row r="28" spans="2:15" ht="15" hidden="1">
      <c r="B28" s="22" t="s">
        <v>20</v>
      </c>
      <c r="C28" s="22"/>
      <c r="D28" s="23"/>
      <c r="E28" s="24"/>
      <c r="F28" s="25"/>
      <c r="G28" s="26">
        <f>$F$16</f>
        <v>40000</v>
      </c>
      <c r="H28" s="27">
        <f t="shared" si="0"/>
        <v>0</v>
      </c>
      <c r="I28" s="28"/>
      <c r="J28" s="29"/>
      <c r="K28" s="26">
        <f aca="true" t="shared" si="4" ref="K28:K36">$F$16</f>
        <v>40000</v>
      </c>
      <c r="L28" s="27">
        <f t="shared" si="1"/>
        <v>0</v>
      </c>
      <c r="M28" s="28"/>
      <c r="N28" s="31">
        <f t="shared" si="2"/>
        <v>0</v>
      </c>
      <c r="O28" s="32">
        <f t="shared" si="3"/>
      </c>
    </row>
    <row r="29" spans="2:15" ht="15" hidden="1">
      <c r="B29" s="22" t="s">
        <v>21</v>
      </c>
      <c r="C29" s="22"/>
      <c r="D29" s="23"/>
      <c r="E29" s="24"/>
      <c r="F29" s="25"/>
      <c r="G29" s="26">
        <f>$F$16</f>
        <v>40000</v>
      </c>
      <c r="H29" s="27">
        <f t="shared" si="0"/>
        <v>0</v>
      </c>
      <c r="I29" s="28"/>
      <c r="J29" s="29"/>
      <c r="K29" s="26">
        <f t="shared" si="4"/>
        <v>40000</v>
      </c>
      <c r="L29" s="27">
        <f t="shared" si="1"/>
        <v>0</v>
      </c>
      <c r="M29" s="28"/>
      <c r="N29" s="31">
        <f t="shared" si="2"/>
        <v>0</v>
      </c>
      <c r="O29" s="32">
        <f t="shared" si="3"/>
      </c>
    </row>
    <row r="30" spans="2:15" ht="15" hidden="1">
      <c r="B30" s="33"/>
      <c r="C30" s="22"/>
      <c r="D30" s="23"/>
      <c r="E30" s="24"/>
      <c r="F30" s="25"/>
      <c r="G30" s="26">
        <f aca="true" t="shared" si="5" ref="G30:G36">$F$16</f>
        <v>40000</v>
      </c>
      <c r="H30" s="27">
        <f t="shared" si="0"/>
        <v>0</v>
      </c>
      <c r="I30" s="28"/>
      <c r="J30" s="29"/>
      <c r="K30" s="26">
        <f t="shared" si="4"/>
        <v>40000</v>
      </c>
      <c r="L30" s="27">
        <f t="shared" si="1"/>
        <v>0</v>
      </c>
      <c r="M30" s="28"/>
      <c r="N30" s="31">
        <f t="shared" si="2"/>
        <v>0</v>
      </c>
      <c r="O30" s="32">
        <f t="shared" si="3"/>
      </c>
    </row>
    <row r="31" spans="2:15" ht="15" hidden="1">
      <c r="B31" s="33"/>
      <c r="C31" s="22"/>
      <c r="D31" s="23"/>
      <c r="E31" s="24"/>
      <c r="F31" s="25"/>
      <c r="G31" s="26">
        <f t="shared" si="5"/>
        <v>40000</v>
      </c>
      <c r="H31" s="27">
        <f t="shared" si="0"/>
        <v>0</v>
      </c>
      <c r="I31" s="28"/>
      <c r="J31" s="29"/>
      <c r="K31" s="26">
        <f t="shared" si="4"/>
        <v>40000</v>
      </c>
      <c r="L31" s="27">
        <f t="shared" si="1"/>
        <v>0</v>
      </c>
      <c r="M31" s="28"/>
      <c r="N31" s="31">
        <f t="shared" si="2"/>
        <v>0</v>
      </c>
      <c r="O31" s="32">
        <f t="shared" si="3"/>
      </c>
    </row>
    <row r="32" spans="2:15" ht="15" hidden="1">
      <c r="B32" s="33"/>
      <c r="C32" s="22"/>
      <c r="D32" s="23"/>
      <c r="E32" s="24"/>
      <c r="F32" s="25"/>
      <c r="G32" s="26">
        <f t="shared" si="5"/>
        <v>40000</v>
      </c>
      <c r="H32" s="27">
        <f t="shared" si="0"/>
        <v>0</v>
      </c>
      <c r="I32" s="28"/>
      <c r="J32" s="29"/>
      <c r="K32" s="26">
        <f t="shared" si="4"/>
        <v>40000</v>
      </c>
      <c r="L32" s="27">
        <f t="shared" si="1"/>
        <v>0</v>
      </c>
      <c r="M32" s="28"/>
      <c r="N32" s="31">
        <f t="shared" si="2"/>
        <v>0</v>
      </c>
      <c r="O32" s="32">
        <f t="shared" si="3"/>
      </c>
    </row>
    <row r="33" spans="2:15" ht="15" hidden="1">
      <c r="B33" s="33"/>
      <c r="C33" s="22"/>
      <c r="D33" s="23"/>
      <c r="E33" s="24"/>
      <c r="F33" s="25"/>
      <c r="G33" s="26">
        <f t="shared" si="5"/>
        <v>40000</v>
      </c>
      <c r="H33" s="27">
        <f t="shared" si="0"/>
        <v>0</v>
      </c>
      <c r="I33" s="28"/>
      <c r="J33" s="29"/>
      <c r="K33" s="26">
        <f t="shared" si="4"/>
        <v>40000</v>
      </c>
      <c r="L33" s="27">
        <f t="shared" si="1"/>
        <v>0</v>
      </c>
      <c r="M33" s="28"/>
      <c r="N33" s="31">
        <f t="shared" si="2"/>
        <v>0</v>
      </c>
      <c r="O33" s="32">
        <f t="shared" si="3"/>
      </c>
    </row>
    <row r="34" spans="2:15" ht="15" hidden="1">
      <c r="B34" s="33"/>
      <c r="C34" s="22"/>
      <c r="D34" s="23"/>
      <c r="E34" s="24"/>
      <c r="F34" s="25"/>
      <c r="G34" s="26">
        <f t="shared" si="5"/>
        <v>40000</v>
      </c>
      <c r="H34" s="27">
        <f t="shared" si="0"/>
        <v>0</v>
      </c>
      <c r="I34" s="28"/>
      <c r="J34" s="29"/>
      <c r="K34" s="26">
        <f t="shared" si="4"/>
        <v>40000</v>
      </c>
      <c r="L34" s="27">
        <f t="shared" si="1"/>
        <v>0</v>
      </c>
      <c r="M34" s="28"/>
      <c r="N34" s="31">
        <f t="shared" si="2"/>
        <v>0</v>
      </c>
      <c r="O34" s="32">
        <f t="shared" si="3"/>
      </c>
    </row>
    <row r="35" spans="2:15" ht="15" hidden="1">
      <c r="B35" s="33"/>
      <c r="C35" s="22"/>
      <c r="D35" s="23"/>
      <c r="E35" s="24"/>
      <c r="F35" s="25"/>
      <c r="G35" s="26">
        <f t="shared" si="5"/>
        <v>40000</v>
      </c>
      <c r="H35" s="27">
        <f t="shared" si="0"/>
        <v>0</v>
      </c>
      <c r="I35" s="28"/>
      <c r="J35" s="29"/>
      <c r="K35" s="26">
        <f t="shared" si="4"/>
        <v>40000</v>
      </c>
      <c r="L35" s="27">
        <f t="shared" si="1"/>
        <v>0</v>
      </c>
      <c r="M35" s="28"/>
      <c r="N35" s="31">
        <f t="shared" si="2"/>
        <v>0</v>
      </c>
      <c r="O35" s="32">
        <f t="shared" si="3"/>
      </c>
    </row>
    <row r="36" spans="2:15" ht="15" hidden="1">
      <c r="B36" s="33"/>
      <c r="C36" s="22"/>
      <c r="D36" s="23"/>
      <c r="E36" s="24"/>
      <c r="F36" s="25"/>
      <c r="G36" s="26">
        <f t="shared" si="5"/>
        <v>40000</v>
      </c>
      <c r="H36" s="27">
        <f t="shared" si="0"/>
        <v>0</v>
      </c>
      <c r="I36" s="28"/>
      <c r="J36" s="29"/>
      <c r="K36" s="26">
        <f t="shared" si="4"/>
        <v>40000</v>
      </c>
      <c r="L36" s="27">
        <f t="shared" si="1"/>
        <v>0</v>
      </c>
      <c r="M36" s="28"/>
      <c r="N36" s="31">
        <f t="shared" si="2"/>
        <v>0</v>
      </c>
      <c r="O36" s="32">
        <f t="shared" si="3"/>
      </c>
    </row>
    <row r="37" spans="2:15" s="34" customFormat="1" ht="15">
      <c r="B37" s="35" t="s">
        <v>22</v>
      </c>
      <c r="C37" s="36"/>
      <c r="D37" s="37"/>
      <c r="E37" s="36"/>
      <c r="F37" s="38"/>
      <c r="G37" s="39"/>
      <c r="H37" s="40">
        <f>SUM(H21:H36)</f>
        <v>475.80999999999995</v>
      </c>
      <c r="I37" s="41"/>
      <c r="J37" s="42"/>
      <c r="K37" s="43"/>
      <c r="L37" s="40">
        <f>SUM(L21:L36)</f>
        <v>463.0380795104026</v>
      </c>
      <c r="M37" s="41"/>
      <c r="N37" s="44">
        <f t="shared" si="2"/>
        <v>-12.771920489597335</v>
      </c>
      <c r="O37" s="45">
        <f t="shared" si="3"/>
        <v>-0.026842480169810085</v>
      </c>
    </row>
    <row r="38" spans="2:15" ht="25.5">
      <c r="B38" s="46" t="s">
        <v>23</v>
      </c>
      <c r="C38" s="22"/>
      <c r="D38" s="56" t="s">
        <v>71</v>
      </c>
      <c r="E38" s="57"/>
      <c r="F38" s="29">
        <v>0.118</v>
      </c>
      <c r="G38" s="180">
        <f>G27</f>
        <v>100</v>
      </c>
      <c r="H38" s="27">
        <f aca="true" t="shared" si="6" ref="H38:H44">G38*F38</f>
        <v>11.799999999999999</v>
      </c>
      <c r="I38" s="28"/>
      <c r="J38" s="29">
        <f>'[4]6. Rate Rider Calculations'!$F$22</f>
        <v>-0.44651540739305623</v>
      </c>
      <c r="K38" s="180">
        <f>H16</f>
        <v>100</v>
      </c>
      <c r="L38" s="27">
        <f aca="true" t="shared" si="7" ref="L38:L44">K38*J38</f>
        <v>-44.651540739305624</v>
      </c>
      <c r="M38" s="28"/>
      <c r="N38" s="31">
        <f t="shared" si="2"/>
        <v>-56.45154073930562</v>
      </c>
      <c r="O38" s="32">
        <f t="shared" si="3"/>
        <v>-4.784028876212341</v>
      </c>
    </row>
    <row r="39" spans="2:15" ht="15" hidden="1">
      <c r="B39" s="46"/>
      <c r="C39" s="22"/>
      <c r="D39" s="23" t="s">
        <v>71</v>
      </c>
      <c r="E39" s="24"/>
      <c r="F39" s="25"/>
      <c r="G39" s="180">
        <f>H16</f>
        <v>100</v>
      </c>
      <c r="H39" s="27">
        <f t="shared" si="6"/>
        <v>0</v>
      </c>
      <c r="I39" s="47"/>
      <c r="J39" s="29"/>
      <c r="K39" s="180">
        <f>H16</f>
        <v>100</v>
      </c>
      <c r="L39" s="27">
        <f t="shared" si="7"/>
        <v>0</v>
      </c>
      <c r="M39" s="48"/>
      <c r="N39" s="31">
        <f t="shared" si="2"/>
        <v>0</v>
      </c>
      <c r="O39" s="32">
        <f t="shared" si="3"/>
      </c>
    </row>
    <row r="40" spans="2:15" ht="15" hidden="1">
      <c r="B40" s="46"/>
      <c r="C40" s="22"/>
      <c r="D40" s="23" t="s">
        <v>71</v>
      </c>
      <c r="E40" s="24"/>
      <c r="F40" s="25"/>
      <c r="G40" s="180">
        <f>H16</f>
        <v>100</v>
      </c>
      <c r="H40" s="27">
        <f t="shared" si="6"/>
        <v>0</v>
      </c>
      <c r="I40" s="47"/>
      <c r="J40" s="29"/>
      <c r="K40" s="180">
        <f>H16</f>
        <v>100</v>
      </c>
      <c r="L40" s="27">
        <f t="shared" si="7"/>
        <v>0</v>
      </c>
      <c r="M40" s="48"/>
      <c r="N40" s="31">
        <f t="shared" si="2"/>
        <v>0</v>
      </c>
      <c r="O40" s="32">
        <f t="shared" si="3"/>
      </c>
    </row>
    <row r="41" spans="2:15" ht="30.75" customHeight="1">
      <c r="B41" s="46" t="s">
        <v>77</v>
      </c>
      <c r="C41" s="22"/>
      <c r="D41" s="56" t="s">
        <v>71</v>
      </c>
      <c r="E41" s="24"/>
      <c r="F41" s="29">
        <v>1.2458</v>
      </c>
      <c r="G41" s="180">
        <f>H16</f>
        <v>100</v>
      </c>
      <c r="H41" s="27">
        <f t="shared" si="6"/>
        <v>124.58</v>
      </c>
      <c r="I41" s="47"/>
      <c r="J41" s="29">
        <f>'[4]6. Rate Rider Calculations'!$F$49</f>
        <v>-1.3981917421003902</v>
      </c>
      <c r="K41" s="180">
        <f>H16</f>
        <v>100</v>
      </c>
      <c r="L41" s="27">
        <f t="shared" si="7"/>
        <v>-139.81917421003902</v>
      </c>
      <c r="M41" s="48"/>
      <c r="N41" s="31">
        <f t="shared" si="2"/>
        <v>-264.399174210039</v>
      </c>
      <c r="O41" s="32">
        <f t="shared" si="3"/>
        <v>-2.1223244036766657</v>
      </c>
    </row>
    <row r="42" spans="2:15" ht="15">
      <c r="B42" s="49" t="s">
        <v>24</v>
      </c>
      <c r="C42" s="22"/>
      <c r="D42" s="23" t="s">
        <v>71</v>
      </c>
      <c r="E42" s="24"/>
      <c r="F42" s="25">
        <v>0.029</v>
      </c>
      <c r="G42" s="180">
        <f>H16</f>
        <v>100</v>
      </c>
      <c r="H42" s="27">
        <f t="shared" si="6"/>
        <v>2.9000000000000004</v>
      </c>
      <c r="I42" s="28"/>
      <c r="J42" s="29">
        <f>'[3]Rate Schedule '!$E$24</f>
        <v>0.0577</v>
      </c>
      <c r="K42" s="180">
        <f>H16</f>
        <v>100</v>
      </c>
      <c r="L42" s="27">
        <f t="shared" si="7"/>
        <v>5.7700000000000005</v>
      </c>
      <c r="M42" s="28"/>
      <c r="N42" s="31">
        <f t="shared" si="2"/>
        <v>2.87</v>
      </c>
      <c r="O42" s="32">
        <f t="shared" si="3"/>
        <v>0.989655172413793</v>
      </c>
    </row>
    <row r="43" spans="2:15" s="34" customFormat="1" ht="15">
      <c r="B43" s="182" t="s">
        <v>25</v>
      </c>
      <c r="C43" s="24"/>
      <c r="D43" s="183" t="s">
        <v>61</v>
      </c>
      <c r="E43" s="24"/>
      <c r="F43" s="184">
        <f>IF(ISBLANK(D14)=TRUE,0,IF(D14="TOU",0.64*$F$53+0.18*$F$54+0.18*$F$55,IF(AND(D14="non-TOU",G57&gt;0),F57,F56)))</f>
        <v>0.075</v>
      </c>
      <c r="G43" s="26">
        <f>$F$16*(1+$F$72)-$F$16</f>
        <v>1144</v>
      </c>
      <c r="H43" s="185">
        <f t="shared" si="6"/>
        <v>85.8</v>
      </c>
      <c r="I43" s="57"/>
      <c r="J43" s="186">
        <f>IF(ISBLANK(D14)=TRUE,0,IF(D14="TOU",0.64*$F$53+0.18*$F$54+0.18*$F$55,IF(AND(D14="non-TOU",K57&gt;0),J57,J56)))</f>
        <v>0.075</v>
      </c>
      <c r="K43" s="26">
        <f>$F$16*(1+$J$72)-$F$16</f>
        <v>1340</v>
      </c>
      <c r="L43" s="185">
        <f t="shared" si="7"/>
        <v>100.5</v>
      </c>
      <c r="M43" s="57"/>
      <c r="N43" s="187">
        <f t="shared" si="2"/>
        <v>14.700000000000003</v>
      </c>
      <c r="O43" s="188">
        <f t="shared" si="3"/>
        <v>0.17132867132867136</v>
      </c>
    </row>
    <row r="44" spans="2:15" ht="15">
      <c r="B44" s="49" t="s">
        <v>26</v>
      </c>
      <c r="C44" s="22"/>
      <c r="D44" s="23" t="s">
        <v>60</v>
      </c>
      <c r="E44" s="24"/>
      <c r="F44" s="179">
        <v>0.79</v>
      </c>
      <c r="G44" s="26">
        <v>0</v>
      </c>
      <c r="H44" s="27">
        <f t="shared" si="6"/>
        <v>0</v>
      </c>
      <c r="I44" s="28"/>
      <c r="J44" s="179">
        <v>0.79</v>
      </c>
      <c r="K44" s="26">
        <v>0</v>
      </c>
      <c r="L44" s="27">
        <f t="shared" si="7"/>
        <v>0</v>
      </c>
      <c r="M44" s="28"/>
      <c r="N44" s="31">
        <f t="shared" si="2"/>
        <v>0</v>
      </c>
      <c r="O44" s="32"/>
    </row>
    <row r="45" spans="2:15" ht="25.5">
      <c r="B45" s="50" t="s">
        <v>27</v>
      </c>
      <c r="C45" s="51"/>
      <c r="D45" s="51"/>
      <c r="E45" s="51"/>
      <c r="F45" s="52"/>
      <c r="G45" s="53"/>
      <c r="H45" s="54">
        <f>SUM(H38:H44)+H37</f>
        <v>700.8899999999999</v>
      </c>
      <c r="I45" s="41"/>
      <c r="J45" s="53"/>
      <c r="K45" s="55"/>
      <c r="L45" s="54">
        <f>SUM(L38:L44)+L37</f>
        <v>384.83736456105794</v>
      </c>
      <c r="M45" s="41"/>
      <c r="N45" s="44">
        <f t="shared" si="2"/>
        <v>-316.05263543894193</v>
      </c>
      <c r="O45" s="45">
        <f aca="true" t="shared" si="8" ref="O45:O63">IF((H45)=0,"",(N45/H45))</f>
        <v>-0.45093043906881536</v>
      </c>
    </row>
    <row r="46" spans="2:15" ht="15">
      <c r="B46" s="28" t="s">
        <v>28</v>
      </c>
      <c r="C46" s="28"/>
      <c r="D46" s="56" t="s">
        <v>71</v>
      </c>
      <c r="E46" s="57"/>
      <c r="F46" s="29">
        <v>3.5124</v>
      </c>
      <c r="G46" s="58">
        <f>H16*(1+F72)</f>
        <v>102.86</v>
      </c>
      <c r="H46" s="27">
        <f>G46*F46</f>
        <v>361.285464</v>
      </c>
      <c r="I46" s="28"/>
      <c r="J46" s="29">
        <f>'[5]13. Final 2014 RTS Rates'!$F$28</f>
        <v>3.780300794248831</v>
      </c>
      <c r="K46" s="59">
        <f>H16*(1+J72)</f>
        <v>103.35000000000001</v>
      </c>
      <c r="L46" s="27">
        <f>K46*J46</f>
        <v>390.69408708561673</v>
      </c>
      <c r="M46" s="28"/>
      <c r="N46" s="31">
        <f t="shared" si="2"/>
        <v>29.40862308561674</v>
      </c>
      <c r="O46" s="32">
        <f t="shared" si="8"/>
        <v>0.08139996212417984</v>
      </c>
    </row>
    <row r="47" spans="2:15" ht="15">
      <c r="B47" s="60" t="s">
        <v>29</v>
      </c>
      <c r="C47" s="28"/>
      <c r="D47" s="56" t="s">
        <v>71</v>
      </c>
      <c r="E47" s="57"/>
      <c r="F47" s="29">
        <v>2.0763</v>
      </c>
      <c r="G47" s="58">
        <f>G46</f>
        <v>102.86</v>
      </c>
      <c r="H47" s="27">
        <f>G47*F47</f>
        <v>213.56821799999997</v>
      </c>
      <c r="I47" s="28"/>
      <c r="J47" s="29">
        <f>'[5]13. Final 2014 RTS Rates'!$H$28</f>
        <v>2.3939694395342537</v>
      </c>
      <c r="K47" s="59">
        <f>K46</f>
        <v>103.35000000000001</v>
      </c>
      <c r="L47" s="27">
        <f>K47*J47</f>
        <v>247.41674157586513</v>
      </c>
      <c r="M47" s="28"/>
      <c r="N47" s="31">
        <f t="shared" si="2"/>
        <v>33.84852357586516</v>
      </c>
      <c r="O47" s="32">
        <f t="shared" si="8"/>
        <v>0.1584904528063495</v>
      </c>
    </row>
    <row r="48" spans="2:15" ht="15">
      <c r="B48" s="50" t="s">
        <v>30</v>
      </c>
      <c r="C48" s="36"/>
      <c r="D48" s="36"/>
      <c r="E48" s="36"/>
      <c r="F48" s="61"/>
      <c r="G48" s="53"/>
      <c r="H48" s="54">
        <f>SUM(H45:H47)</f>
        <v>1275.7436819999998</v>
      </c>
      <c r="I48" s="62"/>
      <c r="J48" s="63"/>
      <c r="K48" s="64"/>
      <c r="L48" s="54">
        <f>SUM(L45:L47)</f>
        <v>1022.9481932225398</v>
      </c>
      <c r="M48" s="62"/>
      <c r="N48" s="44">
        <f t="shared" si="2"/>
        <v>-252.79548877746004</v>
      </c>
      <c r="O48" s="45">
        <f t="shared" si="8"/>
        <v>-0.19815539151340283</v>
      </c>
    </row>
    <row r="49" spans="2:15" ht="15">
      <c r="B49" s="65" t="s">
        <v>31</v>
      </c>
      <c r="C49" s="22"/>
      <c r="D49" s="23" t="s">
        <v>61</v>
      </c>
      <c r="E49" s="24"/>
      <c r="F49" s="66">
        <v>0.0044</v>
      </c>
      <c r="G49" s="58">
        <f>F16*(1+F72)</f>
        <v>41144</v>
      </c>
      <c r="H49" s="67">
        <f aca="true" t="shared" si="9" ref="H49:H55">G49*F49</f>
        <v>181.0336</v>
      </c>
      <c r="I49" s="28"/>
      <c r="J49" s="68">
        <v>0.0044</v>
      </c>
      <c r="K49" s="59">
        <f>F16*(1+J72)</f>
        <v>41340</v>
      </c>
      <c r="L49" s="67">
        <f aca="true" t="shared" si="10" ref="L49:L55">K49*J49</f>
        <v>181.89600000000002</v>
      </c>
      <c r="M49" s="28"/>
      <c r="N49" s="31">
        <f t="shared" si="2"/>
        <v>0.862400000000008</v>
      </c>
      <c r="O49" s="69">
        <f t="shared" si="8"/>
        <v>0.0047637565623177575</v>
      </c>
    </row>
    <row r="50" spans="2:15" ht="15">
      <c r="B50" s="65" t="s">
        <v>32</v>
      </c>
      <c r="C50" s="22"/>
      <c r="D50" s="23" t="s">
        <v>61</v>
      </c>
      <c r="E50" s="24"/>
      <c r="F50" s="66">
        <v>0.0012</v>
      </c>
      <c r="G50" s="58">
        <f>G49</f>
        <v>41144</v>
      </c>
      <c r="H50" s="67">
        <f t="shared" si="9"/>
        <v>49.3728</v>
      </c>
      <c r="I50" s="28"/>
      <c r="J50" s="68">
        <v>0.0012</v>
      </c>
      <c r="K50" s="59">
        <f>K49</f>
        <v>41340</v>
      </c>
      <c r="L50" s="67">
        <f t="shared" si="10"/>
        <v>49.608</v>
      </c>
      <c r="M50" s="28"/>
      <c r="N50" s="31">
        <f t="shared" si="2"/>
        <v>0.23519999999999897</v>
      </c>
      <c r="O50" s="69">
        <f t="shared" si="8"/>
        <v>0.0047637565623176925</v>
      </c>
    </row>
    <row r="51" spans="2:15" ht="15">
      <c r="B51" s="22" t="s">
        <v>33</v>
      </c>
      <c r="C51" s="22"/>
      <c r="D51" s="23" t="s">
        <v>60</v>
      </c>
      <c r="E51" s="24"/>
      <c r="F51" s="177">
        <v>0.25</v>
      </c>
      <c r="G51" s="26">
        <v>1</v>
      </c>
      <c r="H51" s="67">
        <f t="shared" si="9"/>
        <v>0.25</v>
      </c>
      <c r="I51" s="28"/>
      <c r="J51" s="178">
        <v>0.25</v>
      </c>
      <c r="K51" s="30">
        <v>1</v>
      </c>
      <c r="L51" s="67">
        <f t="shared" si="10"/>
        <v>0.25</v>
      </c>
      <c r="M51" s="28"/>
      <c r="N51" s="31">
        <f t="shared" si="2"/>
        <v>0</v>
      </c>
      <c r="O51" s="69">
        <f t="shared" si="8"/>
        <v>0</v>
      </c>
    </row>
    <row r="52" spans="2:15" ht="15">
      <c r="B52" s="22" t="s">
        <v>34</v>
      </c>
      <c r="C52" s="22"/>
      <c r="D52" s="23" t="s">
        <v>61</v>
      </c>
      <c r="E52" s="24"/>
      <c r="F52" s="66">
        <v>0.007</v>
      </c>
      <c r="G52" s="70">
        <f>F16</f>
        <v>40000</v>
      </c>
      <c r="H52" s="67">
        <f t="shared" si="9"/>
        <v>280</v>
      </c>
      <c r="I52" s="28"/>
      <c r="J52" s="68">
        <f>0.007</f>
        <v>0.007</v>
      </c>
      <c r="K52" s="71">
        <f>F16</f>
        <v>40000</v>
      </c>
      <c r="L52" s="67">
        <f t="shared" si="10"/>
        <v>280</v>
      </c>
      <c r="M52" s="28"/>
      <c r="N52" s="31">
        <f t="shared" si="2"/>
        <v>0</v>
      </c>
      <c r="O52" s="69">
        <f t="shared" si="8"/>
        <v>0</v>
      </c>
    </row>
    <row r="53" spans="2:19" ht="15.75" thickBot="1">
      <c r="B53" s="49" t="s">
        <v>76</v>
      </c>
      <c r="C53" s="22"/>
      <c r="D53" s="23" t="s">
        <v>61</v>
      </c>
      <c r="E53" s="24"/>
      <c r="F53" s="66">
        <v>0.0799</v>
      </c>
      <c r="G53" s="70">
        <f>F16</f>
        <v>40000</v>
      </c>
      <c r="H53" s="67">
        <f t="shared" si="9"/>
        <v>3196</v>
      </c>
      <c r="I53" s="28"/>
      <c r="J53" s="68">
        <v>0.0799</v>
      </c>
      <c r="K53" s="70">
        <f>G53</f>
        <v>40000</v>
      </c>
      <c r="L53" s="67">
        <f t="shared" si="10"/>
        <v>3196</v>
      </c>
      <c r="M53" s="28"/>
      <c r="N53" s="31">
        <f t="shared" si="2"/>
        <v>0</v>
      </c>
      <c r="O53" s="69">
        <f t="shared" si="8"/>
        <v>0</v>
      </c>
      <c r="S53" s="73"/>
    </row>
    <row r="54" spans="2:19" ht="15.75" hidden="1" thickBot="1">
      <c r="B54" s="49" t="s">
        <v>36</v>
      </c>
      <c r="C54" s="22"/>
      <c r="D54" s="23"/>
      <c r="E54" s="24"/>
      <c r="F54" s="72">
        <v>0.104</v>
      </c>
      <c r="G54" s="70">
        <v>0</v>
      </c>
      <c r="H54" s="67">
        <f t="shared" si="9"/>
        <v>0</v>
      </c>
      <c r="I54" s="28"/>
      <c r="J54" s="66">
        <v>0.104</v>
      </c>
      <c r="K54" s="70">
        <v>0</v>
      </c>
      <c r="L54" s="67">
        <f t="shared" si="10"/>
        <v>0</v>
      </c>
      <c r="M54" s="28"/>
      <c r="N54" s="31">
        <f t="shared" si="2"/>
        <v>0</v>
      </c>
      <c r="O54" s="69">
        <f t="shared" si="8"/>
      </c>
      <c r="S54" s="73"/>
    </row>
    <row r="55" spans="2:19" ht="15.75" hidden="1" thickBot="1">
      <c r="B55" s="12" t="s">
        <v>37</v>
      </c>
      <c r="C55" s="22"/>
      <c r="D55" s="23"/>
      <c r="E55" s="24"/>
      <c r="F55" s="72">
        <v>0.124</v>
      </c>
      <c r="G55" s="70">
        <v>0</v>
      </c>
      <c r="H55" s="67">
        <f t="shared" si="9"/>
        <v>0</v>
      </c>
      <c r="I55" s="28"/>
      <c r="J55" s="66">
        <v>0.124</v>
      </c>
      <c r="K55" s="70">
        <v>0</v>
      </c>
      <c r="L55" s="67">
        <f t="shared" si="10"/>
        <v>0</v>
      </c>
      <c r="M55" s="28"/>
      <c r="N55" s="31">
        <f t="shared" si="2"/>
        <v>0</v>
      </c>
      <c r="O55" s="69">
        <f t="shared" si="8"/>
      </c>
      <c r="S55" s="73"/>
    </row>
    <row r="56" spans="2:15" s="74" customFormat="1" ht="15.75" hidden="1" thickBot="1">
      <c r="B56" s="181" t="s">
        <v>38</v>
      </c>
      <c r="C56" s="76"/>
      <c r="D56" s="77"/>
      <c r="E56" s="78"/>
      <c r="F56" s="72">
        <v>0.075</v>
      </c>
      <c r="G56" s="79">
        <v>0</v>
      </c>
      <c r="H56" s="67">
        <f>G56*F56</f>
        <v>0</v>
      </c>
      <c r="I56" s="80"/>
      <c r="J56" s="66">
        <v>0.075</v>
      </c>
      <c r="K56" s="79">
        <f>G56</f>
        <v>0</v>
      </c>
      <c r="L56" s="67">
        <f>K56*J56</f>
        <v>0</v>
      </c>
      <c r="M56" s="80"/>
      <c r="N56" s="81">
        <f t="shared" si="2"/>
        <v>0</v>
      </c>
      <c r="O56" s="69">
        <f t="shared" si="8"/>
      </c>
    </row>
    <row r="57" spans="2:15" s="74" customFormat="1" ht="15.75" hidden="1" thickBot="1">
      <c r="B57" s="181" t="s">
        <v>39</v>
      </c>
      <c r="C57" s="76"/>
      <c r="D57" s="77"/>
      <c r="E57" s="78"/>
      <c r="F57" s="72">
        <v>0.088</v>
      </c>
      <c r="G57" s="79">
        <v>0</v>
      </c>
      <c r="H57" s="67">
        <f>G57*F57</f>
        <v>0</v>
      </c>
      <c r="I57" s="80"/>
      <c r="J57" s="66">
        <v>0.088</v>
      </c>
      <c r="K57" s="79">
        <f>G57</f>
        <v>0</v>
      </c>
      <c r="L57" s="67">
        <f>K57*J57</f>
        <v>0</v>
      </c>
      <c r="M57" s="80"/>
      <c r="N57" s="81">
        <f t="shared" si="2"/>
        <v>0</v>
      </c>
      <c r="O57" s="69">
        <f t="shared" si="8"/>
      </c>
    </row>
    <row r="58" spans="2:15" ht="8.25" customHeight="1" thickBot="1">
      <c r="B58" s="82"/>
      <c r="C58" s="83"/>
      <c r="D58" s="84"/>
      <c r="E58" s="83"/>
      <c r="F58" s="85"/>
      <c r="G58" s="86"/>
      <c r="H58" s="87"/>
      <c r="I58" s="88"/>
      <c r="J58" s="85"/>
      <c r="K58" s="89"/>
      <c r="L58" s="87"/>
      <c r="M58" s="88"/>
      <c r="N58" s="90"/>
      <c r="O58" s="91"/>
    </row>
    <row r="59" spans="2:19" ht="15" hidden="1">
      <c r="B59" s="92" t="s">
        <v>40</v>
      </c>
      <c r="C59" s="22"/>
      <c r="D59" s="22"/>
      <c r="E59" s="22"/>
      <c r="F59" s="93"/>
      <c r="G59" s="94"/>
      <c r="H59" s="95">
        <f>SUM(H49:H55,H48)</f>
        <v>4982.400082</v>
      </c>
      <c r="I59" s="96"/>
      <c r="J59" s="97"/>
      <c r="K59" s="97"/>
      <c r="L59" s="95">
        <f>SUM(L49:L55,L48)</f>
        <v>4730.70219322254</v>
      </c>
      <c r="M59" s="98"/>
      <c r="N59" s="99">
        <f>L59-H59</f>
        <v>-251.69788877746032</v>
      </c>
      <c r="O59" s="100">
        <f>IF((H59)=0,"",(N59/H59))</f>
        <v>-0.05051739816856007</v>
      </c>
      <c r="S59" s="73"/>
    </row>
    <row r="60" spans="2:19" ht="15" hidden="1">
      <c r="B60" s="101" t="s">
        <v>41</v>
      </c>
      <c r="C60" s="22"/>
      <c r="D60" s="22"/>
      <c r="E60" s="22"/>
      <c r="F60" s="102">
        <v>0.13</v>
      </c>
      <c r="G60" s="103"/>
      <c r="H60" s="104">
        <f>H59*F60</f>
        <v>647.71201066</v>
      </c>
      <c r="I60" s="105"/>
      <c r="J60" s="106">
        <v>0.13</v>
      </c>
      <c r="K60" s="105"/>
      <c r="L60" s="107">
        <f>L59*J60</f>
        <v>614.9912851189303</v>
      </c>
      <c r="M60" s="108"/>
      <c r="N60" s="109">
        <f t="shared" si="2"/>
        <v>-32.72072554106978</v>
      </c>
      <c r="O60" s="110">
        <f t="shared" si="8"/>
        <v>-0.05051739816855997</v>
      </c>
      <c r="S60" s="73"/>
    </row>
    <row r="61" spans="2:19" ht="15" hidden="1">
      <c r="B61" s="111" t="s">
        <v>42</v>
      </c>
      <c r="C61" s="22"/>
      <c r="D61" s="22"/>
      <c r="E61" s="22"/>
      <c r="F61" s="112"/>
      <c r="G61" s="103"/>
      <c r="H61" s="104">
        <f>H59+H60</f>
        <v>5630.11209266</v>
      </c>
      <c r="I61" s="105"/>
      <c r="J61" s="105"/>
      <c r="K61" s="105"/>
      <c r="L61" s="107">
        <f>L59+L60</f>
        <v>5345.69347834147</v>
      </c>
      <c r="M61" s="108"/>
      <c r="N61" s="109">
        <f t="shared" si="2"/>
        <v>-284.41861431852976</v>
      </c>
      <c r="O61" s="110">
        <f t="shared" si="8"/>
        <v>-0.05051739816856</v>
      </c>
      <c r="S61" s="73"/>
    </row>
    <row r="62" spans="2:15" ht="15.75" customHeight="1" hidden="1">
      <c r="B62" s="251" t="s">
        <v>43</v>
      </c>
      <c r="C62" s="251"/>
      <c r="D62" s="251"/>
      <c r="E62" s="22"/>
      <c r="F62" s="112"/>
      <c r="G62" s="103"/>
      <c r="H62" s="113">
        <f>ROUND(-H61*10%,2)</f>
        <v>-563.01</v>
      </c>
      <c r="I62" s="105"/>
      <c r="J62" s="105"/>
      <c r="K62" s="105"/>
      <c r="L62" s="114">
        <f>ROUND(-L61*10%,2)</f>
        <v>-534.57</v>
      </c>
      <c r="M62" s="108"/>
      <c r="N62" s="115">
        <f t="shared" si="2"/>
        <v>28.43999999999994</v>
      </c>
      <c r="O62" s="116">
        <f t="shared" si="8"/>
        <v>-0.05051420045825108</v>
      </c>
    </row>
    <row r="63" spans="2:15" ht="15" hidden="1">
      <c r="B63" s="233" t="s">
        <v>44</v>
      </c>
      <c r="C63" s="233"/>
      <c r="D63" s="233"/>
      <c r="E63" s="117"/>
      <c r="F63" s="118"/>
      <c r="G63" s="119"/>
      <c r="H63" s="120">
        <f>H61+H62</f>
        <v>5067.1020926599995</v>
      </c>
      <c r="I63" s="121"/>
      <c r="J63" s="121"/>
      <c r="K63" s="121"/>
      <c r="L63" s="122">
        <f>L61+L62</f>
        <v>4811.12347834147</v>
      </c>
      <c r="M63" s="123"/>
      <c r="N63" s="124">
        <f t="shared" si="2"/>
        <v>-255.97861431852925</v>
      </c>
      <c r="O63" s="125">
        <f t="shared" si="8"/>
        <v>-0.050517753468857396</v>
      </c>
    </row>
    <row r="64" spans="2:15" s="74" customFormat="1" ht="8.25" customHeight="1" hidden="1">
      <c r="B64" s="126"/>
      <c r="C64" s="127"/>
      <c r="D64" s="128"/>
      <c r="E64" s="127"/>
      <c r="F64" s="85"/>
      <c r="G64" s="129"/>
      <c r="H64" s="87"/>
      <c r="I64" s="130"/>
      <c r="J64" s="85"/>
      <c r="K64" s="131"/>
      <c r="L64" s="87"/>
      <c r="M64" s="130"/>
      <c r="N64" s="132"/>
      <c r="O64" s="91"/>
    </row>
    <row r="65" spans="2:15" s="74" customFormat="1" ht="12.75">
      <c r="B65" s="133" t="s">
        <v>45</v>
      </c>
      <c r="C65" s="76"/>
      <c r="D65" s="76"/>
      <c r="E65" s="76"/>
      <c r="F65" s="134"/>
      <c r="G65" s="135"/>
      <c r="H65" s="136">
        <f>SUM(H53,H48,H49:H52)</f>
        <v>4982.400082</v>
      </c>
      <c r="I65" s="137"/>
      <c r="J65" s="138"/>
      <c r="K65" s="138"/>
      <c r="L65" s="190">
        <f>SUM(L53,L48,L49:L52)</f>
        <v>4730.70219322254</v>
      </c>
      <c r="M65" s="139"/>
      <c r="N65" s="140">
        <f>L65-H65</f>
        <v>-251.69788877746032</v>
      </c>
      <c r="O65" s="100">
        <f>IF((H65)=0,"",(N65/H65))</f>
        <v>-0.05051739816856007</v>
      </c>
    </row>
    <row r="66" spans="2:15" s="74" customFormat="1" ht="12.75">
      <c r="B66" s="141" t="s">
        <v>41</v>
      </c>
      <c r="C66" s="76"/>
      <c r="D66" s="76"/>
      <c r="E66" s="76"/>
      <c r="F66" s="142">
        <v>0.13</v>
      </c>
      <c r="G66" s="135"/>
      <c r="H66" s="143">
        <f>H65*F66</f>
        <v>647.71201066</v>
      </c>
      <c r="I66" s="144"/>
      <c r="J66" s="145">
        <v>0.13</v>
      </c>
      <c r="K66" s="146"/>
      <c r="L66" s="147">
        <f>L65*J66</f>
        <v>614.9912851189303</v>
      </c>
      <c r="M66" s="148"/>
      <c r="N66" s="149">
        <f>L66-H66</f>
        <v>-32.72072554106978</v>
      </c>
      <c r="O66" s="110">
        <f>IF((H66)=0,"",(N66/H66))</f>
        <v>-0.05051739816855997</v>
      </c>
    </row>
    <row r="67" spans="2:15" s="74" customFormat="1" ht="12.75">
      <c r="B67" s="150" t="s">
        <v>42</v>
      </c>
      <c r="C67" s="76"/>
      <c r="D67" s="76"/>
      <c r="E67" s="76"/>
      <c r="F67" s="151"/>
      <c r="G67" s="152"/>
      <c r="H67" s="143">
        <f>H65+H66</f>
        <v>5630.11209266</v>
      </c>
      <c r="I67" s="144"/>
      <c r="J67" s="144"/>
      <c r="K67" s="144"/>
      <c r="L67" s="147">
        <f>L65+L66</f>
        <v>5345.69347834147</v>
      </c>
      <c r="M67" s="148"/>
      <c r="N67" s="149">
        <f>L67-H67</f>
        <v>-284.41861431852976</v>
      </c>
      <c r="O67" s="110">
        <f>IF((H67)=0,"",(N67/H67))</f>
        <v>-0.05051739816856</v>
      </c>
    </row>
    <row r="68" spans="2:15" s="74" customFormat="1" ht="15.75" customHeight="1">
      <c r="B68" s="239" t="s">
        <v>43</v>
      </c>
      <c r="C68" s="239"/>
      <c r="D68" s="239"/>
      <c r="E68" s="76"/>
      <c r="F68" s="151"/>
      <c r="G68" s="152"/>
      <c r="H68" s="153">
        <f>ROUND(-H67*10%,2)</f>
        <v>-563.01</v>
      </c>
      <c r="I68" s="144"/>
      <c r="J68" s="144"/>
      <c r="K68" s="144"/>
      <c r="L68" s="154">
        <f>ROUND(-L67*10%,2)</f>
        <v>-534.57</v>
      </c>
      <c r="M68" s="148"/>
      <c r="N68" s="155">
        <f>L68-H68</f>
        <v>28.43999999999994</v>
      </c>
      <c r="O68" s="116">
        <f>IF((H68)=0,"",(N68/H68))</f>
        <v>-0.05051420045825108</v>
      </c>
    </row>
    <row r="69" spans="2:15" s="74" customFormat="1" ht="13.5" thickBot="1">
      <c r="B69" s="244" t="s">
        <v>46</v>
      </c>
      <c r="C69" s="244"/>
      <c r="D69" s="244"/>
      <c r="E69" s="156"/>
      <c r="F69" s="157"/>
      <c r="G69" s="158"/>
      <c r="H69" s="159">
        <f>SUM(H67:H68)</f>
        <v>5067.1020926599995</v>
      </c>
      <c r="I69" s="160"/>
      <c r="J69" s="160"/>
      <c r="K69" s="160"/>
      <c r="L69" s="161">
        <f>SUM(L67:L68)</f>
        <v>4811.12347834147</v>
      </c>
      <c r="M69" s="162"/>
      <c r="N69" s="163">
        <f>L69-H69</f>
        <v>-255.97861431852925</v>
      </c>
      <c r="O69" s="164">
        <f>IF((H69)=0,"",(N69/H69))</f>
        <v>-0.050517753468857396</v>
      </c>
    </row>
    <row r="70" spans="2:15" s="74" customFormat="1" ht="8.25" customHeight="1" thickBot="1">
      <c r="B70" s="126"/>
      <c r="C70" s="127"/>
      <c r="D70" s="128"/>
      <c r="E70" s="127"/>
      <c r="F70" s="165"/>
      <c r="G70" s="166"/>
      <c r="H70" s="167"/>
      <c r="I70" s="168"/>
      <c r="J70" s="165"/>
      <c r="K70" s="129"/>
      <c r="L70" s="169"/>
      <c r="M70" s="130"/>
      <c r="N70" s="170"/>
      <c r="O70" s="91"/>
    </row>
    <row r="71" ht="10.5" customHeight="1">
      <c r="L71" s="73"/>
    </row>
    <row r="72" spans="2:10" ht="15">
      <c r="B72" s="13" t="s">
        <v>47</v>
      </c>
      <c r="F72" s="171">
        <v>0.0286</v>
      </c>
      <c r="J72" s="171">
        <v>0.0335</v>
      </c>
    </row>
    <row r="73" ht="10.5" customHeight="1"/>
    <row r="74" ht="15">
      <c r="A74" s="172" t="s">
        <v>48</v>
      </c>
    </row>
    <row r="75" ht="10.5" customHeight="1"/>
    <row r="76" ht="15">
      <c r="A76" s="7" t="s">
        <v>49</v>
      </c>
    </row>
    <row r="77" ht="15">
      <c r="A77" s="7" t="s">
        <v>50</v>
      </c>
    </row>
    <row r="79" ht="15">
      <c r="A79" s="12" t="s">
        <v>51</v>
      </c>
    </row>
    <row r="80" ht="15">
      <c r="A80" s="12" t="s">
        <v>52</v>
      </c>
    </row>
    <row r="82" ht="15">
      <c r="A82" s="7" t="s">
        <v>53</v>
      </c>
    </row>
    <row r="83" ht="15">
      <c r="A83" s="7" t="s">
        <v>54</v>
      </c>
    </row>
    <row r="84" ht="15">
      <c r="A84" s="7" t="s">
        <v>55</v>
      </c>
    </row>
    <row r="85" ht="15">
      <c r="A85" s="7" t="s">
        <v>56</v>
      </c>
    </row>
    <row r="86" ht="15">
      <c r="A86" s="7" t="s">
        <v>57</v>
      </c>
    </row>
    <row r="88" spans="1:2" ht="15">
      <c r="A88" s="173"/>
      <c r="B88" s="7" t="s">
        <v>58</v>
      </c>
    </row>
  </sheetData>
  <sheetProtection/>
  <mergeCells count="18">
    <mergeCell ref="D12:O12"/>
    <mergeCell ref="B63:D63"/>
    <mergeCell ref="N4:O4"/>
    <mergeCell ref="N1:O1"/>
    <mergeCell ref="N2:O2"/>
    <mergeCell ref="F18:H18"/>
    <mergeCell ref="B9:O9"/>
    <mergeCell ref="J18:L18"/>
    <mergeCell ref="N3:O3"/>
    <mergeCell ref="B69:D69"/>
    <mergeCell ref="D19:D20"/>
    <mergeCell ref="N19:N20"/>
    <mergeCell ref="O19:O20"/>
    <mergeCell ref="B62:D62"/>
    <mergeCell ref="N5:O5"/>
    <mergeCell ref="B68:D68"/>
    <mergeCell ref="B8:O8"/>
    <mergeCell ref="N18:O18"/>
  </mergeCells>
  <dataValidations count="4">
    <dataValidation type="list" allowBlank="1" showInputMessage="1" showErrorMessage="1" sqref="E46:E47 E38:E44 E21:E36 E49:E55 E58">
      <formula1>'GS 50-999 (100kW)'!#REF!</formula1>
    </dataValidation>
    <dataValidation type="list" allowBlank="1" showInputMessage="1" showErrorMessage="1" prompt="Select Charge Unit - monthly, per kWh, per kW" sqref="D46:D47 D38:D44 D64 D21:D36 D70 D49:D58">
      <formula1>"Monthly, per kWh, per kW"</formula1>
    </dataValidation>
    <dataValidation type="list" allowBlank="1" showInputMessage="1" showErrorMessage="1" sqref="E70 E64 E56:E57">
      <formula1>'GS 50-999 (100kW)'!#REF!</formula1>
    </dataValidation>
    <dataValidation type="list" allowBlank="1" showInputMessage="1" showErrorMessage="1" sqref="D14">
      <formula1>"TOU, non-TOU"</formula1>
    </dataValidation>
  </dataValidations>
  <printOptions/>
  <pageMargins left="0.7" right="0.7" top="0.75" bottom="0.75" header="0.3" footer="0.3"/>
  <pageSetup fitToHeight="0" fitToWidth="1" horizontalDpi="600" verticalDpi="600" orientation="portrait" scale="58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88"/>
  <sheetViews>
    <sheetView showGridLines="0" zoomScalePageLayoutView="0" workbookViewId="0" topLeftCell="A1">
      <selection activeCell="B8" sqref="B8:O8"/>
    </sheetView>
  </sheetViews>
  <sheetFormatPr defaultColWidth="9.140625" defaultRowHeight="15"/>
  <cols>
    <col min="1" max="1" width="2.140625" style="7" customWidth="1"/>
    <col min="2" max="2" width="44.57421875" style="7" customWidth="1"/>
    <col min="3" max="3" width="1.28515625" style="7" customWidth="1"/>
    <col min="4" max="4" width="11.28125" style="7" customWidth="1"/>
    <col min="5" max="5" width="1.28515625" style="7" customWidth="1"/>
    <col min="6" max="6" width="12.28125" style="7" customWidth="1"/>
    <col min="7" max="7" width="8.57421875" style="7" customWidth="1"/>
    <col min="8" max="8" width="12.28125" style="7" bestFit="1" customWidth="1"/>
    <col min="9" max="9" width="2.8515625" style="7" customWidth="1"/>
    <col min="10" max="10" width="12.140625" style="7" customWidth="1"/>
    <col min="11" max="11" width="8.57421875" style="7" customWidth="1"/>
    <col min="12" max="12" width="11.57421875" style="7" bestFit="1" customWidth="1"/>
    <col min="13" max="13" width="2.8515625" style="7" customWidth="1"/>
    <col min="14" max="14" width="12.7109375" style="7" bestFit="1" customWidth="1"/>
    <col min="15" max="15" width="12.8515625" style="7" customWidth="1"/>
    <col min="16" max="16" width="3.8515625" style="7" customWidth="1"/>
    <col min="17" max="20" width="9.140625" style="7" customWidth="1"/>
    <col min="21" max="16384" width="9.140625" style="7" customWidth="1"/>
  </cols>
  <sheetData>
    <row r="1" spans="1:20" s="2" customFormat="1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234" t="str">
        <f>EBNUMBER</f>
        <v>EB-2013-0116</v>
      </c>
      <c r="O1" s="234"/>
      <c r="T1" s="2">
        <v>1</v>
      </c>
    </row>
    <row r="2" spans="1:15" s="2" customFormat="1" ht="1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110</v>
      </c>
      <c r="N2" s="235" t="s">
        <v>111</v>
      </c>
      <c r="O2" s="235"/>
    </row>
    <row r="3" spans="3:15" s="2" customFormat="1" ht="15" customHeight="1">
      <c r="C3" s="6"/>
      <c r="D3" s="6"/>
      <c r="E3" s="6"/>
      <c r="L3" s="3" t="s">
        <v>78</v>
      </c>
      <c r="N3" s="236" t="s">
        <v>93</v>
      </c>
      <c r="O3" s="236"/>
    </row>
    <row r="4" spans="12:15" s="2" customFormat="1" ht="9" customHeight="1">
      <c r="L4" s="3"/>
      <c r="N4" s="4"/>
      <c r="O4" s="192"/>
    </row>
    <row r="5" spans="12:15" s="2" customFormat="1" ht="15">
      <c r="L5" s="3" t="s">
        <v>100</v>
      </c>
      <c r="N5" s="237">
        <v>41695</v>
      </c>
      <c r="O5" s="237"/>
    </row>
    <row r="6" spans="14:16" s="2" customFormat="1" ht="15" customHeight="1">
      <c r="N6" s="7"/>
      <c r="O6"/>
      <c r="P6"/>
    </row>
    <row r="7" spans="12:16" ht="7.5" customHeight="1">
      <c r="L7"/>
      <c r="M7"/>
      <c r="N7"/>
      <c r="O7"/>
      <c r="P7"/>
    </row>
    <row r="8" spans="2:16" ht="18.75" customHeight="1">
      <c r="B8" s="238" t="s">
        <v>1</v>
      </c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/>
    </row>
    <row r="9" spans="2:16" ht="18.75" customHeight="1">
      <c r="B9" s="238" t="s">
        <v>2</v>
      </c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/>
    </row>
    <row r="10" spans="12:16" ht="7.5" customHeight="1">
      <c r="L10"/>
      <c r="M10"/>
      <c r="N10"/>
      <c r="O10"/>
      <c r="P10"/>
    </row>
    <row r="11" spans="12:16" ht="7.5" customHeight="1">
      <c r="L11"/>
      <c r="M11"/>
      <c r="N11"/>
      <c r="O11"/>
      <c r="P11"/>
    </row>
    <row r="12" spans="2:15" ht="15.75">
      <c r="B12" s="8" t="s">
        <v>3</v>
      </c>
      <c r="D12" s="240" t="s">
        <v>72</v>
      </c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</row>
    <row r="13" spans="2:15" ht="7.5" customHeight="1">
      <c r="B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2:15" ht="15.75">
      <c r="B14" s="8" t="s">
        <v>4</v>
      </c>
      <c r="D14" s="11" t="s">
        <v>68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2:15" ht="15.75">
      <c r="B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2:9" ht="15">
      <c r="B16" s="12"/>
      <c r="D16" s="13" t="s">
        <v>6</v>
      </c>
      <c r="E16" s="13"/>
      <c r="F16" s="14">
        <v>400000</v>
      </c>
      <c r="G16" s="13" t="s">
        <v>7</v>
      </c>
      <c r="H16" s="14">
        <v>1000</v>
      </c>
      <c r="I16" s="13" t="s">
        <v>70</v>
      </c>
    </row>
    <row r="17" ht="15">
      <c r="B17" s="12"/>
    </row>
    <row r="18" spans="2:15" ht="15">
      <c r="B18" s="12"/>
      <c r="D18" s="15"/>
      <c r="E18" s="15"/>
      <c r="F18" s="241" t="s">
        <v>8</v>
      </c>
      <c r="G18" s="242"/>
      <c r="H18" s="243"/>
      <c r="J18" s="241" t="s">
        <v>9</v>
      </c>
      <c r="K18" s="242"/>
      <c r="L18" s="243"/>
      <c r="N18" s="241" t="s">
        <v>10</v>
      </c>
      <c r="O18" s="243"/>
    </row>
    <row r="19" spans="2:15" ht="15">
      <c r="B19" s="12"/>
      <c r="D19" s="245" t="s">
        <v>11</v>
      </c>
      <c r="E19" s="16"/>
      <c r="F19" s="17" t="s">
        <v>12</v>
      </c>
      <c r="G19" s="17" t="s">
        <v>13</v>
      </c>
      <c r="H19" s="18" t="s">
        <v>14</v>
      </c>
      <c r="J19" s="17" t="s">
        <v>12</v>
      </c>
      <c r="K19" s="19" t="s">
        <v>13</v>
      </c>
      <c r="L19" s="18" t="s">
        <v>14</v>
      </c>
      <c r="N19" s="247" t="s">
        <v>15</v>
      </c>
      <c r="O19" s="249" t="s">
        <v>16</v>
      </c>
    </row>
    <row r="20" spans="2:15" ht="15">
      <c r="B20" s="12"/>
      <c r="D20" s="246"/>
      <c r="E20" s="16"/>
      <c r="F20" s="20" t="s">
        <v>17</v>
      </c>
      <c r="G20" s="20"/>
      <c r="H20" s="21" t="s">
        <v>17</v>
      </c>
      <c r="J20" s="20" t="s">
        <v>17</v>
      </c>
      <c r="K20" s="21"/>
      <c r="L20" s="21" t="s">
        <v>17</v>
      </c>
      <c r="N20" s="248"/>
      <c r="O20" s="250"/>
    </row>
    <row r="21" spans="2:15" ht="22.5" customHeight="1">
      <c r="B21" s="22" t="s">
        <v>18</v>
      </c>
      <c r="C21" s="22"/>
      <c r="D21" s="23" t="s">
        <v>60</v>
      </c>
      <c r="E21" s="24"/>
      <c r="F21" s="175">
        <f>'[2]2013 Existing Rates'!$C$9</f>
        <v>908.75</v>
      </c>
      <c r="G21" s="26">
        <v>1</v>
      </c>
      <c r="H21" s="27">
        <f>G21*F21</f>
        <v>908.75</v>
      </c>
      <c r="I21" s="28"/>
      <c r="J21" s="174">
        <f>'[3]Rate Schedule '!$E$28</f>
        <v>1060.51</v>
      </c>
      <c r="K21" s="30">
        <v>1</v>
      </c>
      <c r="L21" s="27">
        <f>K21*J21</f>
        <v>1060.51</v>
      </c>
      <c r="M21" s="28"/>
      <c r="N21" s="31">
        <f>L21-H21</f>
        <v>151.76</v>
      </c>
      <c r="O21" s="32">
        <f>IF((H21)=0,"",(N21/H21))</f>
        <v>0.16699862448418157</v>
      </c>
    </row>
    <row r="22" spans="2:15" ht="36.75" customHeight="1">
      <c r="B22" s="65" t="s">
        <v>62</v>
      </c>
      <c r="C22" s="22"/>
      <c r="D22" s="56" t="s">
        <v>60</v>
      </c>
      <c r="E22" s="24"/>
      <c r="F22" s="174"/>
      <c r="G22" s="26">
        <v>1</v>
      </c>
      <c r="H22" s="27">
        <f aca="true" t="shared" si="0" ref="H22:H36">G22*F22</f>
        <v>0</v>
      </c>
      <c r="I22" s="28"/>
      <c r="J22" s="29"/>
      <c r="K22" s="30">
        <v>1</v>
      </c>
      <c r="L22" s="27">
        <f>K22*J22</f>
        <v>0</v>
      </c>
      <c r="M22" s="28"/>
      <c r="N22" s="31">
        <f>L22-H22</f>
        <v>0</v>
      </c>
      <c r="O22" s="32">
        <f>IF((H22)=0,"",(N22/H22))</f>
      </c>
    </row>
    <row r="23" spans="2:15" ht="15" hidden="1">
      <c r="B23" s="176"/>
      <c r="C23" s="22"/>
      <c r="D23" s="56" t="s">
        <v>60</v>
      </c>
      <c r="E23" s="57"/>
      <c r="F23" s="174"/>
      <c r="G23" s="26">
        <v>1</v>
      </c>
      <c r="H23" s="27">
        <f t="shared" si="0"/>
        <v>0</v>
      </c>
      <c r="I23" s="28"/>
      <c r="J23" s="29"/>
      <c r="K23" s="30">
        <v>1</v>
      </c>
      <c r="L23" s="27">
        <f aca="true" t="shared" si="1" ref="L23:L36">K23*J23</f>
        <v>0</v>
      </c>
      <c r="M23" s="28"/>
      <c r="N23" s="31">
        <f aca="true" t="shared" si="2" ref="N23:N37">L23-H23</f>
        <v>0</v>
      </c>
      <c r="O23" s="32">
        <f aca="true" t="shared" si="3" ref="O23:O37">IF((H23)=0,"",(N23/H23))</f>
      </c>
    </row>
    <row r="24" spans="2:15" ht="15" hidden="1">
      <c r="B24" s="176"/>
      <c r="C24" s="22"/>
      <c r="D24" s="56" t="s">
        <v>60</v>
      </c>
      <c r="E24" s="24"/>
      <c r="F24" s="25"/>
      <c r="G24" s="26">
        <v>1</v>
      </c>
      <c r="H24" s="27">
        <f t="shared" si="0"/>
        <v>0</v>
      </c>
      <c r="I24" s="28"/>
      <c r="J24" s="174"/>
      <c r="K24" s="30">
        <v>1</v>
      </c>
      <c r="L24" s="27">
        <f t="shared" si="1"/>
        <v>0</v>
      </c>
      <c r="M24" s="28"/>
      <c r="N24" s="31">
        <f t="shared" si="2"/>
        <v>0</v>
      </c>
      <c r="O24" s="32">
        <f t="shared" si="3"/>
      </c>
    </row>
    <row r="25" spans="2:15" ht="15">
      <c r="B25" s="46" t="s">
        <v>65</v>
      </c>
      <c r="C25" s="22"/>
      <c r="D25" s="23" t="s">
        <v>71</v>
      </c>
      <c r="E25" s="24"/>
      <c r="F25" s="25">
        <v>-0.0161</v>
      </c>
      <c r="G25" s="180">
        <f>$H$16</f>
        <v>1000</v>
      </c>
      <c r="H25" s="27">
        <f t="shared" si="0"/>
        <v>-16.1</v>
      </c>
      <c r="I25" s="28"/>
      <c r="J25" s="29"/>
      <c r="K25" s="180">
        <f>$H$16</f>
        <v>1000</v>
      </c>
      <c r="L25" s="27">
        <f t="shared" si="1"/>
        <v>0</v>
      </c>
      <c r="M25" s="28"/>
      <c r="N25" s="31">
        <f t="shared" si="2"/>
        <v>16.1</v>
      </c>
      <c r="O25" s="32">
        <f t="shared" si="3"/>
        <v>-1</v>
      </c>
    </row>
    <row r="26" spans="2:15" ht="15">
      <c r="B26" s="46" t="s">
        <v>66</v>
      </c>
      <c r="C26" s="22"/>
      <c r="D26" s="23" t="s">
        <v>71</v>
      </c>
      <c r="E26" s="24"/>
      <c r="F26" s="25"/>
      <c r="G26" s="180">
        <f>$H$16</f>
        <v>1000</v>
      </c>
      <c r="H26" s="27">
        <f t="shared" si="0"/>
        <v>0</v>
      </c>
      <c r="I26" s="28"/>
      <c r="J26" s="29">
        <f>'[4]6. Rate Rider Calculations'!$F$78</f>
        <v>-1.0803921404061536</v>
      </c>
      <c r="K26" s="180">
        <f>$H$16</f>
        <v>1000</v>
      </c>
      <c r="L26" s="27">
        <f t="shared" si="1"/>
        <v>-1080.3921404061537</v>
      </c>
      <c r="M26" s="28"/>
      <c r="N26" s="31">
        <f t="shared" si="2"/>
        <v>-1080.3921404061537</v>
      </c>
      <c r="O26" s="32">
        <f t="shared" si="3"/>
      </c>
    </row>
    <row r="27" spans="2:15" ht="15">
      <c r="B27" s="22" t="s">
        <v>19</v>
      </c>
      <c r="C27" s="22"/>
      <c r="D27" s="23" t="s">
        <v>71</v>
      </c>
      <c r="E27" s="24"/>
      <c r="F27" s="25">
        <f>'[2]2013 Existing Rates'!$D$9</f>
        <v>3.2086</v>
      </c>
      <c r="G27" s="180">
        <f>$H$16</f>
        <v>1000</v>
      </c>
      <c r="H27" s="27">
        <f t="shared" si="0"/>
        <v>3208.6</v>
      </c>
      <c r="I27" s="28"/>
      <c r="J27" s="29">
        <f>'[3]Rate Schedule '!$E$29</f>
        <v>3.6532</v>
      </c>
      <c r="K27" s="180">
        <f>$H$16</f>
        <v>1000</v>
      </c>
      <c r="L27" s="27">
        <f t="shared" si="1"/>
        <v>3653.2</v>
      </c>
      <c r="M27" s="28"/>
      <c r="N27" s="31">
        <f t="shared" si="2"/>
        <v>444.5999999999999</v>
      </c>
      <c r="O27" s="32">
        <f t="shared" si="3"/>
        <v>0.13856510627688085</v>
      </c>
    </row>
    <row r="28" spans="2:15" ht="15" hidden="1">
      <c r="B28" s="22" t="s">
        <v>20</v>
      </c>
      <c r="C28" s="22"/>
      <c r="D28" s="23"/>
      <c r="E28" s="24"/>
      <c r="F28" s="25"/>
      <c r="G28" s="26">
        <f>$F$16</f>
        <v>400000</v>
      </c>
      <c r="H28" s="27">
        <f t="shared" si="0"/>
        <v>0</v>
      </c>
      <c r="I28" s="28"/>
      <c r="J28" s="29"/>
      <c r="K28" s="26">
        <f aca="true" t="shared" si="4" ref="K28:K36">$F$16</f>
        <v>400000</v>
      </c>
      <c r="L28" s="27">
        <f t="shared" si="1"/>
        <v>0</v>
      </c>
      <c r="M28" s="28"/>
      <c r="N28" s="31">
        <f t="shared" si="2"/>
        <v>0</v>
      </c>
      <c r="O28" s="32">
        <f t="shared" si="3"/>
      </c>
    </row>
    <row r="29" spans="2:15" ht="15" hidden="1">
      <c r="B29" s="22" t="s">
        <v>21</v>
      </c>
      <c r="C29" s="22"/>
      <c r="D29" s="23"/>
      <c r="E29" s="24"/>
      <c r="F29" s="25"/>
      <c r="G29" s="26">
        <f>$F$16</f>
        <v>400000</v>
      </c>
      <c r="H29" s="27">
        <f t="shared" si="0"/>
        <v>0</v>
      </c>
      <c r="I29" s="28"/>
      <c r="J29" s="29"/>
      <c r="K29" s="26">
        <f t="shared" si="4"/>
        <v>400000</v>
      </c>
      <c r="L29" s="27">
        <f t="shared" si="1"/>
        <v>0</v>
      </c>
      <c r="M29" s="28"/>
      <c r="N29" s="31">
        <f t="shared" si="2"/>
        <v>0</v>
      </c>
      <c r="O29" s="32">
        <f t="shared" si="3"/>
      </c>
    </row>
    <row r="30" spans="2:15" ht="15" hidden="1">
      <c r="B30" s="33"/>
      <c r="C30" s="22"/>
      <c r="D30" s="23"/>
      <c r="E30" s="24"/>
      <c r="F30" s="25"/>
      <c r="G30" s="26">
        <f aca="true" t="shared" si="5" ref="G30:G36">$F$16</f>
        <v>400000</v>
      </c>
      <c r="H30" s="27">
        <f t="shared" si="0"/>
        <v>0</v>
      </c>
      <c r="I30" s="28"/>
      <c r="J30" s="29"/>
      <c r="K30" s="26">
        <f t="shared" si="4"/>
        <v>400000</v>
      </c>
      <c r="L30" s="27">
        <f t="shared" si="1"/>
        <v>0</v>
      </c>
      <c r="M30" s="28"/>
      <c r="N30" s="31">
        <f t="shared" si="2"/>
        <v>0</v>
      </c>
      <c r="O30" s="32">
        <f t="shared" si="3"/>
      </c>
    </row>
    <row r="31" spans="2:15" ht="15" hidden="1">
      <c r="B31" s="33"/>
      <c r="C31" s="22"/>
      <c r="D31" s="23"/>
      <c r="E31" s="24"/>
      <c r="F31" s="25"/>
      <c r="G31" s="26">
        <f t="shared" si="5"/>
        <v>400000</v>
      </c>
      <c r="H31" s="27">
        <f t="shared" si="0"/>
        <v>0</v>
      </c>
      <c r="I31" s="28"/>
      <c r="J31" s="29"/>
      <c r="K31" s="26">
        <f t="shared" si="4"/>
        <v>400000</v>
      </c>
      <c r="L31" s="27">
        <f t="shared" si="1"/>
        <v>0</v>
      </c>
      <c r="M31" s="28"/>
      <c r="N31" s="31">
        <f t="shared" si="2"/>
        <v>0</v>
      </c>
      <c r="O31" s="32">
        <f t="shared" si="3"/>
      </c>
    </row>
    <row r="32" spans="2:15" ht="15" hidden="1">
      <c r="B32" s="33"/>
      <c r="C32" s="22"/>
      <c r="D32" s="23"/>
      <c r="E32" s="24"/>
      <c r="F32" s="25"/>
      <c r="G32" s="26">
        <f t="shared" si="5"/>
        <v>400000</v>
      </c>
      <c r="H32" s="27">
        <f t="shared" si="0"/>
        <v>0</v>
      </c>
      <c r="I32" s="28"/>
      <c r="J32" s="29"/>
      <c r="K32" s="26">
        <f t="shared" si="4"/>
        <v>400000</v>
      </c>
      <c r="L32" s="27">
        <f t="shared" si="1"/>
        <v>0</v>
      </c>
      <c r="M32" s="28"/>
      <c r="N32" s="31">
        <f t="shared" si="2"/>
        <v>0</v>
      </c>
      <c r="O32" s="32">
        <f t="shared" si="3"/>
      </c>
    </row>
    <row r="33" spans="2:15" ht="15" hidden="1">
      <c r="B33" s="33"/>
      <c r="C33" s="22"/>
      <c r="D33" s="23"/>
      <c r="E33" s="24"/>
      <c r="F33" s="25"/>
      <c r="G33" s="26">
        <f t="shared" si="5"/>
        <v>400000</v>
      </c>
      <c r="H33" s="27">
        <f t="shared" si="0"/>
        <v>0</v>
      </c>
      <c r="I33" s="28"/>
      <c r="J33" s="29"/>
      <c r="K33" s="26">
        <f t="shared" si="4"/>
        <v>400000</v>
      </c>
      <c r="L33" s="27">
        <f t="shared" si="1"/>
        <v>0</v>
      </c>
      <c r="M33" s="28"/>
      <c r="N33" s="31">
        <f t="shared" si="2"/>
        <v>0</v>
      </c>
      <c r="O33" s="32">
        <f t="shared" si="3"/>
      </c>
    </row>
    <row r="34" spans="2:15" ht="15" hidden="1">
      <c r="B34" s="33"/>
      <c r="C34" s="22"/>
      <c r="D34" s="23"/>
      <c r="E34" s="24"/>
      <c r="F34" s="25"/>
      <c r="G34" s="26">
        <f t="shared" si="5"/>
        <v>400000</v>
      </c>
      <c r="H34" s="27">
        <f t="shared" si="0"/>
        <v>0</v>
      </c>
      <c r="I34" s="28"/>
      <c r="J34" s="29"/>
      <c r="K34" s="26">
        <f t="shared" si="4"/>
        <v>400000</v>
      </c>
      <c r="L34" s="27">
        <f t="shared" si="1"/>
        <v>0</v>
      </c>
      <c r="M34" s="28"/>
      <c r="N34" s="31">
        <f t="shared" si="2"/>
        <v>0</v>
      </c>
      <c r="O34" s="32">
        <f t="shared" si="3"/>
      </c>
    </row>
    <row r="35" spans="2:15" ht="15" hidden="1">
      <c r="B35" s="33"/>
      <c r="C35" s="22"/>
      <c r="D35" s="23"/>
      <c r="E35" s="24"/>
      <c r="F35" s="25"/>
      <c r="G35" s="26">
        <f t="shared" si="5"/>
        <v>400000</v>
      </c>
      <c r="H35" s="27">
        <f t="shared" si="0"/>
        <v>0</v>
      </c>
      <c r="I35" s="28"/>
      <c r="J35" s="29"/>
      <c r="K35" s="26">
        <f t="shared" si="4"/>
        <v>400000</v>
      </c>
      <c r="L35" s="27">
        <f t="shared" si="1"/>
        <v>0</v>
      </c>
      <c r="M35" s="28"/>
      <c r="N35" s="31">
        <f t="shared" si="2"/>
        <v>0</v>
      </c>
      <c r="O35" s="32">
        <f t="shared" si="3"/>
      </c>
    </row>
    <row r="36" spans="2:15" ht="15" hidden="1">
      <c r="B36" s="33"/>
      <c r="C36" s="22"/>
      <c r="D36" s="23"/>
      <c r="E36" s="24"/>
      <c r="F36" s="25"/>
      <c r="G36" s="26">
        <f t="shared" si="5"/>
        <v>400000</v>
      </c>
      <c r="H36" s="27">
        <f t="shared" si="0"/>
        <v>0</v>
      </c>
      <c r="I36" s="28"/>
      <c r="J36" s="29"/>
      <c r="K36" s="26">
        <f t="shared" si="4"/>
        <v>400000</v>
      </c>
      <c r="L36" s="27">
        <f t="shared" si="1"/>
        <v>0</v>
      </c>
      <c r="M36" s="28"/>
      <c r="N36" s="31">
        <f t="shared" si="2"/>
        <v>0</v>
      </c>
      <c r="O36" s="32">
        <f t="shared" si="3"/>
      </c>
    </row>
    <row r="37" spans="2:15" s="34" customFormat="1" ht="15">
      <c r="B37" s="35" t="s">
        <v>22</v>
      </c>
      <c r="C37" s="36"/>
      <c r="D37" s="37"/>
      <c r="E37" s="36"/>
      <c r="F37" s="38"/>
      <c r="G37" s="39"/>
      <c r="H37" s="40">
        <f>SUM(H21:H36)</f>
        <v>4101.25</v>
      </c>
      <c r="I37" s="41"/>
      <c r="J37" s="42"/>
      <c r="K37" s="43"/>
      <c r="L37" s="40">
        <f>SUM(L21:L36)</f>
        <v>3633.317859593846</v>
      </c>
      <c r="M37" s="41"/>
      <c r="N37" s="44">
        <f t="shared" si="2"/>
        <v>-467.93214040615385</v>
      </c>
      <c r="O37" s="45">
        <f t="shared" si="3"/>
        <v>-0.11409500528037887</v>
      </c>
    </row>
    <row r="38" spans="2:15" ht="25.5">
      <c r="B38" s="46" t="s">
        <v>23</v>
      </c>
      <c r="C38" s="22"/>
      <c r="D38" s="56" t="s">
        <v>71</v>
      </c>
      <c r="E38" s="57"/>
      <c r="F38" s="29">
        <v>0.1413</v>
      </c>
      <c r="G38" s="180">
        <f>G27</f>
        <v>1000</v>
      </c>
      <c r="H38" s="27">
        <f aca="true" t="shared" si="6" ref="H38:H44">G38*F38</f>
        <v>141.3</v>
      </c>
      <c r="I38" s="28"/>
      <c r="J38" s="29">
        <f>'[4]6. Rate Rider Calculations'!$F$23</f>
        <v>-0.5615487674009901</v>
      </c>
      <c r="K38" s="180">
        <f>H16</f>
        <v>1000</v>
      </c>
      <c r="L38" s="27">
        <f aca="true" t="shared" si="7" ref="L38:L44">K38*J38</f>
        <v>-561.5487674009902</v>
      </c>
      <c r="M38" s="28"/>
      <c r="N38" s="31">
        <f aca="true" t="shared" si="8" ref="N38:N44">L38-H38</f>
        <v>-702.8487674009903</v>
      </c>
      <c r="O38" s="32">
        <f aca="true" t="shared" si="9" ref="O38:O43">IF((H38)=0,"",(N38/H38))</f>
        <v>-4.97415971267509</v>
      </c>
    </row>
    <row r="39" spans="2:15" ht="15" hidden="1">
      <c r="B39" s="46"/>
      <c r="C39" s="22"/>
      <c r="D39" s="23" t="s">
        <v>71</v>
      </c>
      <c r="E39" s="24"/>
      <c r="F39" s="25"/>
      <c r="G39" s="180">
        <f>H16</f>
        <v>1000</v>
      </c>
      <c r="H39" s="27">
        <f t="shared" si="6"/>
        <v>0</v>
      </c>
      <c r="I39" s="47"/>
      <c r="J39" s="29"/>
      <c r="K39" s="180">
        <f>H16</f>
        <v>1000</v>
      </c>
      <c r="L39" s="27">
        <f t="shared" si="7"/>
        <v>0</v>
      </c>
      <c r="M39" s="48"/>
      <c r="N39" s="31">
        <f t="shared" si="8"/>
        <v>0</v>
      </c>
      <c r="O39" s="32">
        <f t="shared" si="9"/>
      </c>
    </row>
    <row r="40" spans="2:15" ht="15" hidden="1">
      <c r="B40" s="46"/>
      <c r="C40" s="22"/>
      <c r="D40" s="23" t="s">
        <v>71</v>
      </c>
      <c r="E40" s="24"/>
      <c r="F40" s="25"/>
      <c r="G40" s="180">
        <f>H16</f>
        <v>1000</v>
      </c>
      <c r="H40" s="27">
        <f t="shared" si="6"/>
        <v>0</v>
      </c>
      <c r="I40" s="47"/>
      <c r="J40" s="29"/>
      <c r="K40" s="180">
        <f>H16</f>
        <v>1000</v>
      </c>
      <c r="L40" s="27">
        <f t="shared" si="7"/>
        <v>0</v>
      </c>
      <c r="M40" s="48"/>
      <c r="N40" s="31">
        <f t="shared" si="8"/>
        <v>0</v>
      </c>
      <c r="O40" s="32">
        <f t="shared" si="9"/>
      </c>
    </row>
    <row r="41" spans="2:15" ht="30.75" customHeight="1">
      <c r="B41" s="46" t="s">
        <v>77</v>
      </c>
      <c r="C41" s="22"/>
      <c r="D41" s="23" t="s">
        <v>71</v>
      </c>
      <c r="E41" s="24"/>
      <c r="F41" s="29">
        <v>1.4915</v>
      </c>
      <c r="G41" s="180">
        <f>H16</f>
        <v>1000</v>
      </c>
      <c r="H41" s="27">
        <f t="shared" si="6"/>
        <v>1491.5</v>
      </c>
      <c r="I41" s="47"/>
      <c r="J41" s="29">
        <f>'[4]6. Rate Rider Calculations'!$F$50</f>
        <v>-1.6739397397024387</v>
      </c>
      <c r="K41" s="180">
        <f>H16</f>
        <v>1000</v>
      </c>
      <c r="L41" s="27">
        <f t="shared" si="7"/>
        <v>-1673.9397397024386</v>
      </c>
      <c r="M41" s="48"/>
      <c r="N41" s="31">
        <f t="shared" si="8"/>
        <v>-3165.4397397024386</v>
      </c>
      <c r="O41" s="32">
        <f t="shared" si="9"/>
        <v>-2.1223196377488693</v>
      </c>
    </row>
    <row r="42" spans="2:15" ht="15">
      <c r="B42" s="49" t="s">
        <v>24</v>
      </c>
      <c r="C42" s="22"/>
      <c r="D42" s="23" t="s">
        <v>71</v>
      </c>
      <c r="E42" s="24"/>
      <c r="F42" s="25">
        <v>0.0228</v>
      </c>
      <c r="G42" s="180">
        <f>H16</f>
        <v>1000</v>
      </c>
      <c r="H42" s="27">
        <f t="shared" si="6"/>
        <v>22.8</v>
      </c>
      <c r="I42" s="28"/>
      <c r="J42" s="29">
        <f>'[3]Rate Schedule '!$E$30</f>
        <v>0.0453</v>
      </c>
      <c r="K42" s="180">
        <f>H16</f>
        <v>1000</v>
      </c>
      <c r="L42" s="27">
        <f t="shared" si="7"/>
        <v>45.3</v>
      </c>
      <c r="M42" s="28"/>
      <c r="N42" s="31">
        <f t="shared" si="8"/>
        <v>22.499999999999996</v>
      </c>
      <c r="O42" s="32">
        <f t="shared" si="9"/>
        <v>0.9868421052631577</v>
      </c>
    </row>
    <row r="43" spans="2:15" s="34" customFormat="1" ht="15">
      <c r="B43" s="182" t="s">
        <v>25</v>
      </c>
      <c r="C43" s="24"/>
      <c r="D43" s="183" t="s">
        <v>61</v>
      </c>
      <c r="E43" s="24"/>
      <c r="F43" s="184">
        <f>IF(ISBLANK(D14)=TRUE,0,IF(D14="TOU",0.64*$F$53+0.18*$F$54+0.18*$F$55,IF(AND(D14="non-TOU",G57&gt;0),F57,F56)))</f>
        <v>0.088</v>
      </c>
      <c r="G43" s="26">
        <f>$F$16*(1+$F$72)-$F$16</f>
        <v>11440</v>
      </c>
      <c r="H43" s="185">
        <f t="shared" si="6"/>
        <v>1006.7199999999999</v>
      </c>
      <c r="I43" s="57"/>
      <c r="J43" s="186">
        <f>IF(ISBLANK(D14)=TRUE,0,IF(D14="TOU",0.64*$F$53+0.18*$F$54+0.18*$F$55,IF(AND(D14="non-TOU",K57&gt;0),J57,J56)))</f>
        <v>0.088</v>
      </c>
      <c r="K43" s="26">
        <f>$F$16*(1+$J$72)-$F$16</f>
        <v>13400.000000000058</v>
      </c>
      <c r="L43" s="185">
        <f t="shared" si="7"/>
        <v>1179.200000000005</v>
      </c>
      <c r="M43" s="57"/>
      <c r="N43" s="187">
        <f t="shared" si="8"/>
        <v>172.48000000000513</v>
      </c>
      <c r="O43" s="188">
        <f t="shared" si="9"/>
        <v>0.17132867132867644</v>
      </c>
    </row>
    <row r="44" spans="2:15" ht="15">
      <c r="B44" s="49" t="s">
        <v>26</v>
      </c>
      <c r="C44" s="22"/>
      <c r="D44" s="23" t="s">
        <v>60</v>
      </c>
      <c r="E44" s="24"/>
      <c r="F44" s="179">
        <v>0.79</v>
      </c>
      <c r="G44" s="26">
        <v>0</v>
      </c>
      <c r="H44" s="27">
        <f t="shared" si="6"/>
        <v>0</v>
      </c>
      <c r="I44" s="28"/>
      <c r="J44" s="179">
        <v>0.79</v>
      </c>
      <c r="K44" s="26">
        <v>0</v>
      </c>
      <c r="L44" s="27">
        <f t="shared" si="7"/>
        <v>0</v>
      </c>
      <c r="M44" s="28"/>
      <c r="N44" s="31">
        <f t="shared" si="8"/>
        <v>0</v>
      </c>
      <c r="O44" s="32"/>
    </row>
    <row r="45" spans="2:15" ht="25.5">
      <c r="B45" s="50" t="s">
        <v>27</v>
      </c>
      <c r="C45" s="51"/>
      <c r="D45" s="51"/>
      <c r="E45" s="51"/>
      <c r="F45" s="52"/>
      <c r="G45" s="53"/>
      <c r="H45" s="54">
        <f>SUM(H38:H44)+H37</f>
        <v>6763.57</v>
      </c>
      <c r="I45" s="41"/>
      <c r="J45" s="53"/>
      <c r="K45" s="55"/>
      <c r="L45" s="54">
        <f>SUM(L38:L44)+L37</f>
        <v>2622.329352490423</v>
      </c>
      <c r="M45" s="41"/>
      <c r="N45" s="44">
        <f aca="true" t="shared" si="10" ref="N45:N63">L45-H45</f>
        <v>-4141.240647509577</v>
      </c>
      <c r="O45" s="45">
        <f aca="true" t="shared" si="11" ref="O45:O63">IF((H45)=0,"",(N45/H45))</f>
        <v>-0.6122862109077865</v>
      </c>
    </row>
    <row r="46" spans="2:15" ht="15">
      <c r="B46" s="28" t="s">
        <v>28</v>
      </c>
      <c r="C46" s="28"/>
      <c r="D46" s="56" t="s">
        <v>71</v>
      </c>
      <c r="E46" s="57"/>
      <c r="F46" s="29">
        <v>2.6676</v>
      </c>
      <c r="G46" s="58">
        <f>H16*(1+F72)</f>
        <v>1028.6</v>
      </c>
      <c r="H46" s="27">
        <f>G46*F46</f>
        <v>2743.89336</v>
      </c>
      <c r="I46" s="28"/>
      <c r="J46" s="29">
        <f>'[5]13. Final 2014 RTS Rates'!$F$29</f>
        <v>2.871065481932064</v>
      </c>
      <c r="K46" s="59">
        <f>H16*(1+J72)</f>
        <v>1033.5</v>
      </c>
      <c r="L46" s="27">
        <f>K46*J46</f>
        <v>2967.246175576788</v>
      </c>
      <c r="M46" s="28"/>
      <c r="N46" s="31">
        <f t="shared" si="10"/>
        <v>223.3528155767881</v>
      </c>
      <c r="O46" s="32">
        <f t="shared" si="11"/>
        <v>0.08139996212417967</v>
      </c>
    </row>
    <row r="47" spans="2:15" ht="30">
      <c r="B47" s="60" t="s">
        <v>29</v>
      </c>
      <c r="C47" s="28"/>
      <c r="D47" s="56" t="s">
        <v>71</v>
      </c>
      <c r="E47" s="57"/>
      <c r="F47" s="29">
        <v>1.6295</v>
      </c>
      <c r="G47" s="58">
        <f>G46</f>
        <v>1028.6</v>
      </c>
      <c r="H47" s="27">
        <f>G47*F47</f>
        <v>1676.1037</v>
      </c>
      <c r="I47" s="28"/>
      <c r="J47" s="29">
        <f>'[5]13. Final 2014 RTS Rates'!$H$29</f>
        <v>1.8788099993840324</v>
      </c>
      <c r="K47" s="59">
        <f>K46</f>
        <v>1033.5</v>
      </c>
      <c r="L47" s="27">
        <f>K47*J47</f>
        <v>1941.7501343633974</v>
      </c>
      <c r="M47" s="28"/>
      <c r="N47" s="31">
        <f t="shared" si="10"/>
        <v>265.6464343633975</v>
      </c>
      <c r="O47" s="32">
        <f t="shared" si="11"/>
        <v>0.15849045280634932</v>
      </c>
    </row>
    <row r="48" spans="2:15" ht="25.5">
      <c r="B48" s="50" t="s">
        <v>30</v>
      </c>
      <c r="C48" s="36"/>
      <c r="D48" s="36"/>
      <c r="E48" s="36"/>
      <c r="F48" s="61"/>
      <c r="G48" s="53"/>
      <c r="H48" s="54">
        <f>SUM(H45:H47)</f>
        <v>11183.56706</v>
      </c>
      <c r="I48" s="62"/>
      <c r="J48" s="63"/>
      <c r="K48" s="64"/>
      <c r="L48" s="54">
        <f>SUM(L45:L47)</f>
        <v>7531.325662430609</v>
      </c>
      <c r="M48" s="62"/>
      <c r="N48" s="44">
        <f t="shared" si="10"/>
        <v>-3652.2413975693908</v>
      </c>
      <c r="O48" s="45">
        <f t="shared" si="11"/>
        <v>-0.3265721373131723</v>
      </c>
    </row>
    <row r="49" spans="2:15" ht="30">
      <c r="B49" s="65" t="s">
        <v>31</v>
      </c>
      <c r="C49" s="22"/>
      <c r="D49" s="23" t="s">
        <v>61</v>
      </c>
      <c r="E49" s="24"/>
      <c r="F49" s="66">
        <v>0.0044</v>
      </c>
      <c r="G49" s="58">
        <f>F16*(F72)</f>
        <v>11440</v>
      </c>
      <c r="H49" s="67">
        <f aca="true" t="shared" si="12" ref="H49:H55">G49*F49</f>
        <v>50.336000000000006</v>
      </c>
      <c r="I49" s="28"/>
      <c r="J49" s="68">
        <v>0.0044</v>
      </c>
      <c r="K49" s="59">
        <f>F16*(J72)</f>
        <v>13400</v>
      </c>
      <c r="L49" s="67">
        <f aca="true" t="shared" si="13" ref="L49:L55">K49*J49</f>
        <v>58.96</v>
      </c>
      <c r="M49" s="28"/>
      <c r="N49" s="31">
        <f t="shared" si="10"/>
        <v>8.623999999999995</v>
      </c>
      <c r="O49" s="69">
        <f t="shared" si="11"/>
        <v>0.17132867132867122</v>
      </c>
    </row>
    <row r="50" spans="2:15" ht="15">
      <c r="B50" s="65" t="s">
        <v>32</v>
      </c>
      <c r="C50" s="22"/>
      <c r="D50" s="23" t="s">
        <v>61</v>
      </c>
      <c r="E50" s="24"/>
      <c r="F50" s="66">
        <v>0.0012</v>
      </c>
      <c r="G50" s="58">
        <f>G49</f>
        <v>11440</v>
      </c>
      <c r="H50" s="67">
        <f t="shared" si="12"/>
        <v>13.727999999999998</v>
      </c>
      <c r="I50" s="28"/>
      <c r="J50" s="68">
        <v>0.0012</v>
      </c>
      <c r="K50" s="59">
        <f>K49</f>
        <v>13400</v>
      </c>
      <c r="L50" s="67">
        <f t="shared" si="13"/>
        <v>16.08</v>
      </c>
      <c r="M50" s="28"/>
      <c r="N50" s="31">
        <f t="shared" si="10"/>
        <v>2.3520000000000003</v>
      </c>
      <c r="O50" s="69">
        <f t="shared" si="11"/>
        <v>0.17132867132867138</v>
      </c>
    </row>
    <row r="51" spans="2:15" ht="15">
      <c r="B51" s="22" t="s">
        <v>33</v>
      </c>
      <c r="C51" s="22"/>
      <c r="D51" s="23" t="s">
        <v>60</v>
      </c>
      <c r="E51" s="24"/>
      <c r="F51" s="177">
        <v>0.25</v>
      </c>
      <c r="G51" s="26">
        <v>1</v>
      </c>
      <c r="H51" s="67">
        <f t="shared" si="12"/>
        <v>0.25</v>
      </c>
      <c r="I51" s="28"/>
      <c r="J51" s="178">
        <v>0.25</v>
      </c>
      <c r="K51" s="30">
        <v>1</v>
      </c>
      <c r="L51" s="67">
        <f t="shared" si="13"/>
        <v>0.25</v>
      </c>
      <c r="M51" s="28"/>
      <c r="N51" s="31">
        <f t="shared" si="10"/>
        <v>0</v>
      </c>
      <c r="O51" s="69">
        <f t="shared" si="11"/>
        <v>0</v>
      </c>
    </row>
    <row r="52" spans="2:15" ht="15">
      <c r="B52" s="22" t="s">
        <v>34</v>
      </c>
      <c r="C52" s="22"/>
      <c r="D52" s="23" t="s">
        <v>61</v>
      </c>
      <c r="E52" s="24"/>
      <c r="F52" s="66">
        <v>0.007</v>
      </c>
      <c r="G52" s="70">
        <f>F16</f>
        <v>400000</v>
      </c>
      <c r="H52" s="67">
        <f t="shared" si="12"/>
        <v>2800</v>
      </c>
      <c r="I52" s="28"/>
      <c r="J52" s="68">
        <f>0.007</f>
        <v>0.007</v>
      </c>
      <c r="K52" s="71">
        <f>F16</f>
        <v>400000</v>
      </c>
      <c r="L52" s="67">
        <f t="shared" si="13"/>
        <v>2800</v>
      </c>
      <c r="M52" s="28"/>
      <c r="N52" s="31">
        <f t="shared" si="10"/>
        <v>0</v>
      </c>
      <c r="O52" s="69">
        <f t="shared" si="11"/>
        <v>0</v>
      </c>
    </row>
    <row r="53" spans="2:19" ht="15.75" thickBot="1">
      <c r="B53" s="49" t="s">
        <v>76</v>
      </c>
      <c r="C53" s="22"/>
      <c r="D53" s="23" t="s">
        <v>61</v>
      </c>
      <c r="E53" s="24"/>
      <c r="F53" s="66">
        <v>0.0799</v>
      </c>
      <c r="G53" s="70">
        <f>F16</f>
        <v>400000</v>
      </c>
      <c r="H53" s="189">
        <f t="shared" si="12"/>
        <v>31960</v>
      </c>
      <c r="I53" s="57"/>
      <c r="J53" s="68">
        <v>0.0799</v>
      </c>
      <c r="K53" s="70">
        <f>G53</f>
        <v>400000</v>
      </c>
      <c r="L53" s="67">
        <f t="shared" si="13"/>
        <v>31960</v>
      </c>
      <c r="M53" s="28"/>
      <c r="N53" s="31">
        <f t="shared" si="10"/>
        <v>0</v>
      </c>
      <c r="O53" s="69">
        <f t="shared" si="11"/>
        <v>0</v>
      </c>
      <c r="S53" s="73"/>
    </row>
    <row r="54" spans="2:19" ht="15" hidden="1">
      <c r="B54" s="49" t="s">
        <v>36</v>
      </c>
      <c r="C54" s="22"/>
      <c r="D54" s="23"/>
      <c r="E54" s="24"/>
      <c r="F54" s="72">
        <v>0.104</v>
      </c>
      <c r="G54" s="58">
        <v>0</v>
      </c>
      <c r="H54" s="67">
        <f t="shared" si="12"/>
        <v>0</v>
      </c>
      <c r="I54" s="28"/>
      <c r="J54" s="66">
        <v>0.104</v>
      </c>
      <c r="K54" s="58">
        <v>0</v>
      </c>
      <c r="L54" s="67">
        <f t="shared" si="13"/>
        <v>0</v>
      </c>
      <c r="M54" s="28"/>
      <c r="N54" s="31">
        <f t="shared" si="10"/>
        <v>0</v>
      </c>
      <c r="O54" s="69">
        <f t="shared" si="11"/>
      </c>
      <c r="S54" s="73"/>
    </row>
    <row r="55" spans="2:19" ht="15" hidden="1">
      <c r="B55" s="12" t="s">
        <v>37</v>
      </c>
      <c r="C55" s="22"/>
      <c r="D55" s="23"/>
      <c r="E55" s="24"/>
      <c r="F55" s="72">
        <v>0.124</v>
      </c>
      <c r="G55" s="58">
        <v>0</v>
      </c>
      <c r="H55" s="67">
        <f t="shared" si="12"/>
        <v>0</v>
      </c>
      <c r="I55" s="28"/>
      <c r="J55" s="66">
        <v>0.124</v>
      </c>
      <c r="K55" s="58">
        <v>0</v>
      </c>
      <c r="L55" s="67">
        <f t="shared" si="13"/>
        <v>0</v>
      </c>
      <c r="M55" s="28"/>
      <c r="N55" s="31">
        <f t="shared" si="10"/>
        <v>0</v>
      </c>
      <c r="O55" s="69">
        <f t="shared" si="11"/>
      </c>
      <c r="S55" s="73"/>
    </row>
    <row r="56" spans="2:15" s="74" customFormat="1" ht="15" hidden="1">
      <c r="B56" s="181" t="s">
        <v>38</v>
      </c>
      <c r="C56" s="76"/>
      <c r="D56" s="77"/>
      <c r="E56" s="78"/>
      <c r="F56" s="72">
        <v>0.075</v>
      </c>
      <c r="G56" s="79">
        <f>IF(AND($T$1=1,F16&gt;=600),600,IF(AND($T$1=1,AND(F16&lt;600,F16&gt;=0)),F16,IF(AND($T$1=2,F16&gt;=1000),1000,IF(AND($T$1=2,AND(F16&lt;1000,F16&gt;=0)),F16))))</f>
        <v>600</v>
      </c>
      <c r="H56" s="67">
        <f>G56*F56</f>
        <v>45</v>
      </c>
      <c r="I56" s="80"/>
      <c r="J56" s="66">
        <v>0.075</v>
      </c>
      <c r="K56" s="79">
        <f>G56</f>
        <v>600</v>
      </c>
      <c r="L56" s="67">
        <f>K56*J56</f>
        <v>45</v>
      </c>
      <c r="M56" s="80"/>
      <c r="N56" s="81">
        <f t="shared" si="10"/>
        <v>0</v>
      </c>
      <c r="O56" s="69">
        <f t="shared" si="11"/>
        <v>0</v>
      </c>
    </row>
    <row r="57" spans="2:15" s="74" customFormat="1" ht="15.75" hidden="1" thickBot="1">
      <c r="B57" s="181" t="s">
        <v>39</v>
      </c>
      <c r="C57" s="76"/>
      <c r="D57" s="77"/>
      <c r="E57" s="78"/>
      <c r="F57" s="72">
        <v>0.088</v>
      </c>
      <c r="G57" s="79">
        <f>IF(AND($T$1=1,F16&gt;=600),F16-600,IF(AND($T$1=1,AND(F16&lt;600,F16&gt;=0)),0,IF(AND($T$1=2,F16&gt;=1000),F16-1000,IF(AND($T$1=2,AND(F16&lt;1000,F16&gt;=0)),0))))</f>
        <v>399400</v>
      </c>
      <c r="H57" s="67">
        <f>G57*F57</f>
        <v>35147.2</v>
      </c>
      <c r="I57" s="80"/>
      <c r="J57" s="66">
        <v>0.088</v>
      </c>
      <c r="K57" s="79">
        <f>G57</f>
        <v>399400</v>
      </c>
      <c r="L57" s="67">
        <f>K57*J57</f>
        <v>35147.2</v>
      </c>
      <c r="M57" s="80"/>
      <c r="N57" s="81">
        <f t="shared" si="10"/>
        <v>0</v>
      </c>
      <c r="O57" s="69">
        <f t="shared" si="11"/>
        <v>0</v>
      </c>
    </row>
    <row r="58" spans="2:15" ht="8.25" customHeight="1" thickBot="1">
      <c r="B58" s="82"/>
      <c r="C58" s="83"/>
      <c r="D58" s="84"/>
      <c r="E58" s="83"/>
      <c r="F58" s="85"/>
      <c r="G58" s="86"/>
      <c r="H58" s="87"/>
      <c r="I58" s="88"/>
      <c r="J58" s="85"/>
      <c r="K58" s="89"/>
      <c r="L58" s="87"/>
      <c r="M58" s="88"/>
      <c r="N58" s="90"/>
      <c r="O58" s="91"/>
    </row>
    <row r="59" spans="2:19" ht="15" hidden="1">
      <c r="B59" s="92" t="s">
        <v>40</v>
      </c>
      <c r="C59" s="22"/>
      <c r="D59" s="22"/>
      <c r="E59" s="22"/>
      <c r="F59" s="93"/>
      <c r="G59" s="94"/>
      <c r="H59" s="95">
        <f>SUM(H49:H55,H48)</f>
        <v>46007.88106</v>
      </c>
      <c r="I59" s="96"/>
      <c r="J59" s="97"/>
      <c r="K59" s="97"/>
      <c r="L59" s="95">
        <f>SUM(L49:L55,L48)</f>
        <v>42366.61566243061</v>
      </c>
      <c r="M59" s="98"/>
      <c r="N59" s="99">
        <f>L59-H59</f>
        <v>-3641.26539756939</v>
      </c>
      <c r="O59" s="100">
        <f>IF((H59)=0,"",(N59/H59))</f>
        <v>-0.07914438382460447</v>
      </c>
      <c r="S59" s="73"/>
    </row>
    <row r="60" spans="2:19" ht="15" hidden="1">
      <c r="B60" s="101" t="s">
        <v>41</v>
      </c>
      <c r="C60" s="22"/>
      <c r="D60" s="22"/>
      <c r="E60" s="22"/>
      <c r="F60" s="102">
        <v>0.13</v>
      </c>
      <c r="G60" s="103"/>
      <c r="H60" s="104">
        <f>H59*F60</f>
        <v>5981.0245378</v>
      </c>
      <c r="I60" s="105"/>
      <c r="J60" s="106">
        <v>0.13</v>
      </c>
      <c r="K60" s="105"/>
      <c r="L60" s="107">
        <f>L59*J60</f>
        <v>5507.660036115979</v>
      </c>
      <c r="M60" s="108"/>
      <c r="N60" s="109">
        <f t="shared" si="10"/>
        <v>-473.364501684021</v>
      </c>
      <c r="O60" s="110">
        <f t="shared" si="11"/>
        <v>-0.07914438382460451</v>
      </c>
      <c r="S60" s="73"/>
    </row>
    <row r="61" spans="2:19" ht="15" hidden="1">
      <c r="B61" s="111" t="s">
        <v>42</v>
      </c>
      <c r="C61" s="22"/>
      <c r="D61" s="22"/>
      <c r="E61" s="22"/>
      <c r="F61" s="112"/>
      <c r="G61" s="103"/>
      <c r="H61" s="104">
        <f>H59+H60</f>
        <v>51988.905597799996</v>
      </c>
      <c r="I61" s="105"/>
      <c r="J61" s="105"/>
      <c r="K61" s="105"/>
      <c r="L61" s="107">
        <f>L59+L60</f>
        <v>47874.27569854659</v>
      </c>
      <c r="M61" s="108"/>
      <c r="N61" s="109">
        <f t="shared" si="10"/>
        <v>-4114.629899253407</v>
      </c>
      <c r="O61" s="110">
        <f t="shared" si="11"/>
        <v>-0.07914438382460438</v>
      </c>
      <c r="S61" s="73"/>
    </row>
    <row r="62" spans="2:15" ht="15.75" customHeight="1" hidden="1">
      <c r="B62" s="251" t="s">
        <v>43</v>
      </c>
      <c r="C62" s="251"/>
      <c r="D62" s="251"/>
      <c r="E62" s="22"/>
      <c r="F62" s="112"/>
      <c r="G62" s="103"/>
      <c r="H62" s="113">
        <f>ROUND(-H61*10%,2)</f>
        <v>-5198.89</v>
      </c>
      <c r="I62" s="105"/>
      <c r="J62" s="105"/>
      <c r="K62" s="105"/>
      <c r="L62" s="114">
        <f>ROUND(-L61*10%,2)</f>
        <v>-4787.43</v>
      </c>
      <c r="M62" s="108"/>
      <c r="N62" s="115">
        <f t="shared" si="10"/>
        <v>411.46000000000004</v>
      </c>
      <c r="O62" s="116">
        <f t="shared" si="11"/>
        <v>-0.0791438172379104</v>
      </c>
    </row>
    <row r="63" spans="2:15" ht="15" hidden="1">
      <c r="B63" s="233" t="s">
        <v>44</v>
      </c>
      <c r="C63" s="233"/>
      <c r="D63" s="233"/>
      <c r="E63" s="117"/>
      <c r="F63" s="118"/>
      <c r="G63" s="119"/>
      <c r="H63" s="120">
        <f>H61+H62</f>
        <v>46790.0155978</v>
      </c>
      <c r="I63" s="121"/>
      <c r="J63" s="121"/>
      <c r="K63" s="121"/>
      <c r="L63" s="122">
        <f>L61+L62</f>
        <v>43086.84569854659</v>
      </c>
      <c r="M63" s="123"/>
      <c r="N63" s="124">
        <f t="shared" si="10"/>
        <v>-3703.1698992534075</v>
      </c>
      <c r="O63" s="125">
        <f t="shared" si="11"/>
        <v>-0.07914444677867398</v>
      </c>
    </row>
    <row r="64" spans="2:15" s="74" customFormat="1" ht="8.25" customHeight="1" hidden="1">
      <c r="B64" s="126"/>
      <c r="C64" s="127"/>
      <c r="D64" s="128"/>
      <c r="E64" s="127"/>
      <c r="F64" s="85"/>
      <c r="G64" s="129"/>
      <c r="H64" s="87"/>
      <c r="I64" s="130"/>
      <c r="J64" s="85"/>
      <c r="K64" s="131"/>
      <c r="L64" s="87"/>
      <c r="M64" s="130"/>
      <c r="N64" s="132"/>
      <c r="O64" s="91"/>
    </row>
    <row r="65" spans="2:15" s="74" customFormat="1" ht="12.75">
      <c r="B65" s="133" t="s">
        <v>45</v>
      </c>
      <c r="C65" s="76"/>
      <c r="D65" s="76"/>
      <c r="E65" s="76"/>
      <c r="F65" s="134"/>
      <c r="G65" s="135"/>
      <c r="H65" s="136">
        <f>SUM(H53,H48,H49:H52)</f>
        <v>46007.88106000001</v>
      </c>
      <c r="I65" s="137"/>
      <c r="J65" s="138"/>
      <c r="K65" s="138"/>
      <c r="L65" s="190">
        <f>SUM(L53,L48,L49:L52)</f>
        <v>42366.61566243061</v>
      </c>
      <c r="M65" s="139"/>
      <c r="N65" s="140">
        <f>L65-H65</f>
        <v>-3641.2653975693975</v>
      </c>
      <c r="O65" s="100">
        <f>IF((H65)=0,"",(N65/H65))</f>
        <v>-0.07914438382460462</v>
      </c>
    </row>
    <row r="66" spans="2:15" s="74" customFormat="1" ht="12.75">
      <c r="B66" s="141" t="s">
        <v>41</v>
      </c>
      <c r="C66" s="76"/>
      <c r="D66" s="76"/>
      <c r="E66" s="76"/>
      <c r="F66" s="142">
        <v>0.13</v>
      </c>
      <c r="G66" s="135"/>
      <c r="H66" s="143">
        <f>H65*F66</f>
        <v>5981.024537800001</v>
      </c>
      <c r="I66" s="144"/>
      <c r="J66" s="145">
        <v>0.13</v>
      </c>
      <c r="K66" s="146"/>
      <c r="L66" s="147">
        <f>L65*J66</f>
        <v>5507.660036115979</v>
      </c>
      <c r="M66" s="148"/>
      <c r="N66" s="149">
        <f>L66-H66</f>
        <v>-473.3645016840219</v>
      </c>
      <c r="O66" s="110">
        <f>IF((H66)=0,"",(N66/H66))</f>
        <v>-0.07914438382460465</v>
      </c>
    </row>
    <row r="67" spans="2:15" s="74" customFormat="1" ht="12.75">
      <c r="B67" s="150" t="s">
        <v>42</v>
      </c>
      <c r="C67" s="76"/>
      <c r="D67" s="76"/>
      <c r="E67" s="76"/>
      <c r="F67" s="151"/>
      <c r="G67" s="152"/>
      <c r="H67" s="143">
        <f>H65+H66</f>
        <v>51988.90559780001</v>
      </c>
      <c r="I67" s="144"/>
      <c r="J67" s="144"/>
      <c r="K67" s="144"/>
      <c r="L67" s="147">
        <f>L65+L66</f>
        <v>47874.27569854659</v>
      </c>
      <c r="M67" s="148"/>
      <c r="N67" s="149">
        <f>L67-H67</f>
        <v>-4114.629899253421</v>
      </c>
      <c r="O67" s="110">
        <f>IF((H67)=0,"",(N67/H67))</f>
        <v>-0.07914438382460465</v>
      </c>
    </row>
    <row r="68" spans="2:15" s="74" customFormat="1" ht="15.75" customHeight="1">
      <c r="B68" s="239" t="s">
        <v>43</v>
      </c>
      <c r="C68" s="239"/>
      <c r="D68" s="239"/>
      <c r="E68" s="76"/>
      <c r="F68" s="151"/>
      <c r="G68" s="152"/>
      <c r="H68" s="153">
        <f>ROUND(-H67*10%,2)</f>
        <v>-5198.89</v>
      </c>
      <c r="I68" s="144"/>
      <c r="J68" s="144"/>
      <c r="K68" s="144"/>
      <c r="L68" s="154">
        <f>ROUND(-L67*10%,2)</f>
        <v>-4787.43</v>
      </c>
      <c r="M68" s="148"/>
      <c r="N68" s="155">
        <f>L68-H68</f>
        <v>411.46000000000004</v>
      </c>
      <c r="O68" s="116">
        <f>IF((H68)=0,"",(N68/H68))</f>
        <v>-0.0791438172379104</v>
      </c>
    </row>
    <row r="69" spans="2:15" s="74" customFormat="1" ht="13.5" thickBot="1">
      <c r="B69" s="244" t="s">
        <v>46</v>
      </c>
      <c r="C69" s="244"/>
      <c r="D69" s="244"/>
      <c r="E69" s="156"/>
      <c r="F69" s="157"/>
      <c r="G69" s="158"/>
      <c r="H69" s="159">
        <f>SUM(H67:H68)</f>
        <v>46790.01559780001</v>
      </c>
      <c r="I69" s="160"/>
      <c r="J69" s="160"/>
      <c r="K69" s="160"/>
      <c r="L69" s="161">
        <f>SUM(L67:L68)</f>
        <v>43086.84569854659</v>
      </c>
      <c r="M69" s="162"/>
      <c r="N69" s="163">
        <f>L69-H69</f>
        <v>-3703.169899253422</v>
      </c>
      <c r="O69" s="164">
        <f>IF((H69)=0,"",(N69/H69))</f>
        <v>-0.07914444677867427</v>
      </c>
    </row>
    <row r="70" spans="2:15" s="74" customFormat="1" ht="8.25" customHeight="1" thickBot="1">
      <c r="B70" s="126"/>
      <c r="C70" s="127"/>
      <c r="D70" s="128"/>
      <c r="E70" s="127"/>
      <c r="F70" s="165"/>
      <c r="G70" s="166"/>
      <c r="H70" s="167"/>
      <c r="I70" s="168"/>
      <c r="J70" s="165"/>
      <c r="K70" s="129"/>
      <c r="L70" s="169"/>
      <c r="M70" s="130"/>
      <c r="N70" s="170"/>
      <c r="O70" s="91"/>
    </row>
    <row r="71" ht="10.5" customHeight="1">
      <c r="L71" s="73"/>
    </row>
    <row r="72" spans="2:10" ht="15">
      <c r="B72" s="13" t="s">
        <v>47</v>
      </c>
      <c r="F72" s="171">
        <v>0.0286</v>
      </c>
      <c r="J72" s="171">
        <v>0.0335</v>
      </c>
    </row>
    <row r="73" ht="10.5" customHeight="1"/>
    <row r="74" ht="15">
      <c r="A74" s="172" t="s">
        <v>48</v>
      </c>
    </row>
    <row r="75" ht="10.5" customHeight="1"/>
    <row r="76" ht="15">
      <c r="A76" s="7" t="s">
        <v>49</v>
      </c>
    </row>
    <row r="77" ht="15">
      <c r="A77" s="7" t="s">
        <v>50</v>
      </c>
    </row>
    <row r="79" ht="15">
      <c r="A79" s="12" t="s">
        <v>51</v>
      </c>
    </row>
    <row r="80" ht="15">
      <c r="A80" s="12" t="s">
        <v>52</v>
      </c>
    </row>
    <row r="82" ht="15">
      <c r="A82" s="7" t="s">
        <v>53</v>
      </c>
    </row>
    <row r="83" ht="15">
      <c r="A83" s="7" t="s">
        <v>54</v>
      </c>
    </row>
    <row r="84" ht="15">
      <c r="A84" s="7" t="s">
        <v>55</v>
      </c>
    </row>
    <row r="85" ht="15">
      <c r="A85" s="7" t="s">
        <v>56</v>
      </c>
    </row>
    <row r="86" ht="15">
      <c r="A86" s="7" t="s">
        <v>57</v>
      </c>
    </row>
    <row r="88" spans="1:2" ht="15">
      <c r="A88" s="173"/>
      <c r="B88" s="7" t="s">
        <v>58</v>
      </c>
    </row>
  </sheetData>
  <sheetProtection/>
  <mergeCells count="17">
    <mergeCell ref="N3:O3"/>
    <mergeCell ref="N5:O5"/>
    <mergeCell ref="N1:O1"/>
    <mergeCell ref="N2:O2"/>
    <mergeCell ref="B69:D69"/>
    <mergeCell ref="D19:D20"/>
    <mergeCell ref="N19:N20"/>
    <mergeCell ref="O19:O20"/>
    <mergeCell ref="B62:D62"/>
    <mergeCell ref="B63:D63"/>
    <mergeCell ref="B68:D68"/>
    <mergeCell ref="B8:O8"/>
    <mergeCell ref="B9:O9"/>
    <mergeCell ref="D12:O12"/>
    <mergeCell ref="F18:H18"/>
    <mergeCell ref="J18:L18"/>
    <mergeCell ref="N18:O18"/>
  </mergeCells>
  <dataValidations count="4">
    <dataValidation type="list" allowBlank="1" showInputMessage="1" showErrorMessage="1" sqref="E46:E47 E38:E44 E21:E36 E49:E55 E58">
      <formula1>'GS 1000-4999 (1,000kW)'!#REF!</formula1>
    </dataValidation>
    <dataValidation type="list" allowBlank="1" showInputMessage="1" showErrorMessage="1" prompt="Select Charge Unit - monthly, per kWh, per kW" sqref="D46:D47 D38:D44 D64 D21:D36 D70 D49:D58">
      <formula1>"Monthly, per kWh, per kW"</formula1>
    </dataValidation>
    <dataValidation type="list" allowBlank="1" showInputMessage="1" showErrorMessage="1" sqref="E70 E64 E56:E57">
      <formula1>'GS 1000-4999 (1,000kW)'!#REF!</formula1>
    </dataValidation>
    <dataValidation type="list" allowBlank="1" showInputMessage="1" showErrorMessage="1" sqref="D14">
      <formula1>"TOU, non-TOU"</formula1>
    </dataValidation>
  </dataValidations>
  <printOptions/>
  <pageMargins left="0.7" right="0.7" top="0.75" bottom="0.75" header="0.3" footer="0.3"/>
  <pageSetup fitToHeight="0" fitToWidth="1" horizontalDpi="600" verticalDpi="600" orientation="portrait" scale="58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8"/>
  <sheetViews>
    <sheetView showGridLines="0" zoomScalePageLayoutView="0" workbookViewId="0" topLeftCell="A1">
      <selection activeCell="B8" sqref="B8:O8"/>
    </sheetView>
  </sheetViews>
  <sheetFormatPr defaultColWidth="9.140625" defaultRowHeight="15"/>
  <cols>
    <col min="1" max="1" width="2.140625" style="7" customWidth="1"/>
    <col min="2" max="2" width="44.57421875" style="7" customWidth="1"/>
    <col min="3" max="3" width="1.28515625" style="7" customWidth="1"/>
    <col min="4" max="4" width="11.28125" style="7" customWidth="1"/>
    <col min="5" max="5" width="1.28515625" style="7" customWidth="1"/>
    <col min="6" max="6" width="12.28125" style="7" customWidth="1"/>
    <col min="7" max="7" width="8.57421875" style="7" customWidth="1"/>
    <col min="8" max="8" width="12.28125" style="7" bestFit="1" customWidth="1"/>
    <col min="9" max="9" width="2.8515625" style="7" customWidth="1"/>
    <col min="10" max="10" width="12.140625" style="7" customWidth="1"/>
    <col min="11" max="11" width="8.57421875" style="7" customWidth="1"/>
    <col min="12" max="12" width="12.57421875" style="7" bestFit="1" customWidth="1"/>
    <col min="13" max="13" width="2.8515625" style="7" customWidth="1"/>
    <col min="14" max="14" width="12.7109375" style="7" bestFit="1" customWidth="1"/>
    <col min="15" max="15" width="13.140625" style="7" customWidth="1"/>
    <col min="16" max="16" width="3.8515625" style="7" customWidth="1"/>
    <col min="17" max="20" width="9.140625" style="7" customWidth="1"/>
    <col min="21" max="16384" width="9.140625" style="7" customWidth="1"/>
  </cols>
  <sheetData>
    <row r="1" spans="1:20" s="2" customFormat="1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234" t="str">
        <f>EBNUMBER</f>
        <v>EB-2013-0116</v>
      </c>
      <c r="O1" s="234"/>
      <c r="P1"/>
      <c r="T1" s="2">
        <v>1</v>
      </c>
    </row>
    <row r="2" spans="1:16" s="2" customFormat="1" ht="1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110</v>
      </c>
      <c r="N2" s="235" t="s">
        <v>111</v>
      </c>
      <c r="O2" s="235"/>
      <c r="P2"/>
    </row>
    <row r="3" spans="3:16" s="2" customFormat="1" ht="15" customHeight="1">
      <c r="C3" s="6"/>
      <c r="D3" s="6"/>
      <c r="E3" s="6"/>
      <c r="L3" s="3" t="s">
        <v>78</v>
      </c>
      <c r="N3" s="236" t="s">
        <v>94</v>
      </c>
      <c r="O3" s="236"/>
      <c r="P3"/>
    </row>
    <row r="4" spans="12:16" s="2" customFormat="1" ht="9" customHeight="1">
      <c r="L4" s="3"/>
      <c r="N4" s="4"/>
      <c r="O4" s="192"/>
      <c r="P4"/>
    </row>
    <row r="5" spans="12:16" s="2" customFormat="1" ht="15">
      <c r="L5" s="3" t="s">
        <v>100</v>
      </c>
      <c r="N5" s="237">
        <v>41695</v>
      </c>
      <c r="O5" s="237"/>
      <c r="P5"/>
    </row>
    <row r="6" spans="14:16" s="2" customFormat="1" ht="15" customHeight="1">
      <c r="N6" s="7"/>
      <c r="O6"/>
      <c r="P6"/>
    </row>
    <row r="7" spans="12:16" ht="7.5" customHeight="1">
      <c r="L7"/>
      <c r="M7"/>
      <c r="N7"/>
      <c r="O7"/>
      <c r="P7"/>
    </row>
    <row r="8" spans="2:16" ht="18.75" customHeight="1">
      <c r="B8" s="238" t="s">
        <v>1</v>
      </c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/>
    </row>
    <row r="9" spans="2:16" ht="18.75" customHeight="1">
      <c r="B9" s="238" t="s">
        <v>2</v>
      </c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/>
    </row>
    <row r="10" spans="12:16" ht="7.5" customHeight="1">
      <c r="L10"/>
      <c r="M10"/>
      <c r="N10"/>
      <c r="O10"/>
      <c r="P10"/>
    </row>
    <row r="11" spans="12:16" ht="7.5" customHeight="1">
      <c r="L11"/>
      <c r="M11"/>
      <c r="N11"/>
      <c r="O11"/>
      <c r="P11"/>
    </row>
    <row r="12" spans="2:15" ht="15.75">
      <c r="B12" s="8" t="s">
        <v>3</v>
      </c>
      <c r="D12" s="240" t="s">
        <v>72</v>
      </c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</row>
    <row r="13" spans="2:15" ht="7.5" customHeight="1">
      <c r="B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2:15" ht="15.75">
      <c r="B14" s="8" t="s">
        <v>4</v>
      </c>
      <c r="D14" s="11" t="s">
        <v>68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2:15" ht="15.75">
      <c r="B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2:9" ht="15">
      <c r="B16" s="12"/>
      <c r="D16" s="13" t="s">
        <v>6</v>
      </c>
      <c r="E16" s="13"/>
      <c r="F16" s="14">
        <v>1800000</v>
      </c>
      <c r="G16" s="13" t="s">
        <v>7</v>
      </c>
      <c r="H16" s="14">
        <v>5000</v>
      </c>
      <c r="I16" s="13" t="s">
        <v>70</v>
      </c>
    </row>
    <row r="17" ht="15">
      <c r="B17" s="12"/>
    </row>
    <row r="18" spans="2:15" ht="15">
      <c r="B18" s="12"/>
      <c r="D18" s="15"/>
      <c r="E18" s="15"/>
      <c r="F18" s="241" t="s">
        <v>8</v>
      </c>
      <c r="G18" s="242"/>
      <c r="H18" s="243"/>
      <c r="J18" s="241" t="s">
        <v>9</v>
      </c>
      <c r="K18" s="242"/>
      <c r="L18" s="243"/>
      <c r="N18" s="241" t="s">
        <v>10</v>
      </c>
      <c r="O18" s="243"/>
    </row>
    <row r="19" spans="2:15" ht="15">
      <c r="B19" s="12"/>
      <c r="D19" s="245" t="s">
        <v>11</v>
      </c>
      <c r="E19" s="16"/>
      <c r="F19" s="17" t="s">
        <v>12</v>
      </c>
      <c r="G19" s="17" t="s">
        <v>13</v>
      </c>
      <c r="H19" s="18" t="s">
        <v>14</v>
      </c>
      <c r="J19" s="17" t="s">
        <v>12</v>
      </c>
      <c r="K19" s="19" t="s">
        <v>13</v>
      </c>
      <c r="L19" s="18" t="s">
        <v>14</v>
      </c>
      <c r="N19" s="247" t="s">
        <v>15</v>
      </c>
      <c r="O19" s="249" t="s">
        <v>16</v>
      </c>
    </row>
    <row r="20" spans="2:15" ht="15">
      <c r="B20" s="12"/>
      <c r="D20" s="246"/>
      <c r="E20" s="16"/>
      <c r="F20" s="20" t="s">
        <v>17</v>
      </c>
      <c r="G20" s="20"/>
      <c r="H20" s="21" t="s">
        <v>17</v>
      </c>
      <c r="J20" s="20" t="s">
        <v>17</v>
      </c>
      <c r="K20" s="21"/>
      <c r="L20" s="21" t="s">
        <v>17</v>
      </c>
      <c r="N20" s="248"/>
      <c r="O20" s="250"/>
    </row>
    <row r="21" spans="2:15" ht="22.5" customHeight="1">
      <c r="B21" s="22" t="s">
        <v>18</v>
      </c>
      <c r="C21" s="22"/>
      <c r="D21" s="23" t="s">
        <v>60</v>
      </c>
      <c r="E21" s="24"/>
      <c r="F21" s="175">
        <f>'[2]2013 Existing Rates'!$C$9</f>
        <v>908.75</v>
      </c>
      <c r="G21" s="26">
        <v>1</v>
      </c>
      <c r="H21" s="27">
        <f>G21*F21</f>
        <v>908.75</v>
      </c>
      <c r="I21" s="28"/>
      <c r="J21" s="174">
        <f>'[3]Rate Schedule '!$E$28</f>
        <v>1060.51</v>
      </c>
      <c r="K21" s="30">
        <v>1</v>
      </c>
      <c r="L21" s="27">
        <f>K21*J21</f>
        <v>1060.51</v>
      </c>
      <c r="M21" s="28"/>
      <c r="N21" s="31">
        <f>L21-H21</f>
        <v>151.76</v>
      </c>
      <c r="O21" s="32">
        <f>IF((H21)=0,"",(N21/H21))</f>
        <v>0.16699862448418157</v>
      </c>
    </row>
    <row r="22" spans="2:15" ht="36.75" customHeight="1">
      <c r="B22" s="65" t="s">
        <v>62</v>
      </c>
      <c r="C22" s="22"/>
      <c r="D22" s="56" t="s">
        <v>60</v>
      </c>
      <c r="E22" s="24"/>
      <c r="F22" s="174"/>
      <c r="G22" s="26">
        <v>1</v>
      </c>
      <c r="H22" s="27">
        <f aca="true" t="shared" si="0" ref="H22:H36">G22*F22</f>
        <v>0</v>
      </c>
      <c r="I22" s="28"/>
      <c r="J22" s="29"/>
      <c r="K22" s="30">
        <v>1</v>
      </c>
      <c r="L22" s="27">
        <f>K22*J22</f>
        <v>0</v>
      </c>
      <c r="M22" s="28"/>
      <c r="N22" s="31">
        <f>L22-H22</f>
        <v>0</v>
      </c>
      <c r="O22" s="32">
        <f>IF((H22)=0,"",(N22/H22))</f>
      </c>
    </row>
    <row r="23" spans="2:15" ht="15" hidden="1">
      <c r="B23" s="176"/>
      <c r="C23" s="22"/>
      <c r="D23" s="56" t="s">
        <v>60</v>
      </c>
      <c r="E23" s="57"/>
      <c r="F23" s="174"/>
      <c r="G23" s="26">
        <v>1</v>
      </c>
      <c r="H23" s="27">
        <f t="shared" si="0"/>
        <v>0</v>
      </c>
      <c r="I23" s="28"/>
      <c r="J23" s="29"/>
      <c r="K23" s="30">
        <v>1</v>
      </c>
      <c r="L23" s="27">
        <f aca="true" t="shared" si="1" ref="L23:L36">K23*J23</f>
        <v>0</v>
      </c>
      <c r="M23" s="28"/>
      <c r="N23" s="31">
        <f aca="true" t="shared" si="2" ref="N23:N63">L23-H23</f>
        <v>0</v>
      </c>
      <c r="O23" s="32">
        <f aca="true" t="shared" si="3" ref="O23:O43">IF((H23)=0,"",(N23/H23))</f>
      </c>
    </row>
    <row r="24" spans="2:15" ht="15" hidden="1">
      <c r="B24" s="176"/>
      <c r="C24" s="22"/>
      <c r="D24" s="56" t="s">
        <v>60</v>
      </c>
      <c r="E24" s="24"/>
      <c r="F24" s="25"/>
      <c r="G24" s="26">
        <v>1</v>
      </c>
      <c r="H24" s="27">
        <f t="shared" si="0"/>
        <v>0</v>
      </c>
      <c r="I24" s="28"/>
      <c r="J24" s="174"/>
      <c r="K24" s="30">
        <v>1</v>
      </c>
      <c r="L24" s="27">
        <f t="shared" si="1"/>
        <v>0</v>
      </c>
      <c r="M24" s="28"/>
      <c r="N24" s="31">
        <f t="shared" si="2"/>
        <v>0</v>
      </c>
      <c r="O24" s="32">
        <f t="shared" si="3"/>
      </c>
    </row>
    <row r="25" spans="2:15" ht="15">
      <c r="B25" s="46" t="s">
        <v>65</v>
      </c>
      <c r="C25" s="22"/>
      <c r="D25" s="23" t="s">
        <v>71</v>
      </c>
      <c r="E25" s="24"/>
      <c r="F25" s="25">
        <v>-0.0161</v>
      </c>
      <c r="G25" s="180">
        <f>$H$16</f>
        <v>5000</v>
      </c>
      <c r="H25" s="27">
        <f t="shared" si="0"/>
        <v>-80.5</v>
      </c>
      <c r="I25" s="28"/>
      <c r="J25" s="29"/>
      <c r="K25" s="180">
        <f>$H$16</f>
        <v>5000</v>
      </c>
      <c r="L25" s="27">
        <f t="shared" si="1"/>
        <v>0</v>
      </c>
      <c r="M25" s="28"/>
      <c r="N25" s="31">
        <f t="shared" si="2"/>
        <v>80.5</v>
      </c>
      <c r="O25" s="32">
        <f t="shared" si="3"/>
        <v>-1</v>
      </c>
    </row>
    <row r="26" spans="2:15" ht="15">
      <c r="B26" s="46" t="s">
        <v>66</v>
      </c>
      <c r="C26" s="22"/>
      <c r="D26" s="23" t="s">
        <v>71</v>
      </c>
      <c r="E26" s="24"/>
      <c r="F26" s="25"/>
      <c r="G26" s="180">
        <f>$H$16</f>
        <v>5000</v>
      </c>
      <c r="H26" s="27">
        <f t="shared" si="0"/>
        <v>0</v>
      </c>
      <c r="I26" s="28"/>
      <c r="J26" s="29">
        <f>'[4]6. Rate Rider Calculations'!$F$78</f>
        <v>-1.0803921404061536</v>
      </c>
      <c r="K26" s="180">
        <f>$H$16</f>
        <v>5000</v>
      </c>
      <c r="L26" s="27">
        <f t="shared" si="1"/>
        <v>-5401.960702030768</v>
      </c>
      <c r="M26" s="28"/>
      <c r="N26" s="31">
        <f t="shared" si="2"/>
        <v>-5401.960702030768</v>
      </c>
      <c r="O26" s="32">
        <f t="shared" si="3"/>
      </c>
    </row>
    <row r="27" spans="2:15" ht="15">
      <c r="B27" s="22" t="s">
        <v>19</v>
      </c>
      <c r="C27" s="22"/>
      <c r="D27" s="23" t="s">
        <v>71</v>
      </c>
      <c r="E27" s="24"/>
      <c r="F27" s="25">
        <f>'[2]2013 Existing Rates'!$D$9</f>
        <v>3.2086</v>
      </c>
      <c r="G27" s="180">
        <f>$H$16</f>
        <v>5000</v>
      </c>
      <c r="H27" s="27">
        <f t="shared" si="0"/>
        <v>16043</v>
      </c>
      <c r="I27" s="28"/>
      <c r="J27" s="29">
        <f>'[3]Rate Schedule '!$E$29</f>
        <v>3.6532</v>
      </c>
      <c r="K27" s="180">
        <f>$H$16</f>
        <v>5000</v>
      </c>
      <c r="L27" s="27">
        <f t="shared" si="1"/>
        <v>18266</v>
      </c>
      <c r="M27" s="28"/>
      <c r="N27" s="31">
        <f t="shared" si="2"/>
        <v>2223</v>
      </c>
      <c r="O27" s="32">
        <f t="shared" si="3"/>
        <v>0.13856510627688087</v>
      </c>
    </row>
    <row r="28" spans="2:15" ht="15" hidden="1">
      <c r="B28" s="22" t="s">
        <v>20</v>
      </c>
      <c r="C28" s="22"/>
      <c r="D28" s="23"/>
      <c r="E28" s="24"/>
      <c r="F28" s="25"/>
      <c r="G28" s="26">
        <f>$F$16</f>
        <v>1800000</v>
      </c>
      <c r="H28" s="27">
        <f t="shared" si="0"/>
        <v>0</v>
      </c>
      <c r="I28" s="28"/>
      <c r="J28" s="29"/>
      <c r="K28" s="26">
        <f aca="true" t="shared" si="4" ref="K28:K36">$F$16</f>
        <v>1800000</v>
      </c>
      <c r="L28" s="27">
        <f t="shared" si="1"/>
        <v>0</v>
      </c>
      <c r="M28" s="28"/>
      <c r="N28" s="31">
        <f t="shared" si="2"/>
        <v>0</v>
      </c>
      <c r="O28" s="32">
        <f t="shared" si="3"/>
      </c>
    </row>
    <row r="29" spans="2:15" ht="15" hidden="1">
      <c r="B29" s="22" t="s">
        <v>21</v>
      </c>
      <c r="C29" s="22"/>
      <c r="D29" s="23"/>
      <c r="E29" s="24"/>
      <c r="F29" s="25"/>
      <c r="G29" s="26">
        <f>$F$16</f>
        <v>1800000</v>
      </c>
      <c r="H29" s="27">
        <f t="shared" si="0"/>
        <v>0</v>
      </c>
      <c r="I29" s="28"/>
      <c r="J29" s="29"/>
      <c r="K29" s="26">
        <f t="shared" si="4"/>
        <v>1800000</v>
      </c>
      <c r="L29" s="27">
        <f t="shared" si="1"/>
        <v>0</v>
      </c>
      <c r="M29" s="28"/>
      <c r="N29" s="31">
        <f t="shared" si="2"/>
        <v>0</v>
      </c>
      <c r="O29" s="32">
        <f t="shared" si="3"/>
      </c>
    </row>
    <row r="30" spans="2:15" ht="15" hidden="1">
      <c r="B30" s="33"/>
      <c r="C30" s="22"/>
      <c r="D30" s="23"/>
      <c r="E30" s="24"/>
      <c r="F30" s="25"/>
      <c r="G30" s="26">
        <f aca="true" t="shared" si="5" ref="G30:G36">$F$16</f>
        <v>1800000</v>
      </c>
      <c r="H30" s="27">
        <f t="shared" si="0"/>
        <v>0</v>
      </c>
      <c r="I30" s="28"/>
      <c r="J30" s="29"/>
      <c r="K30" s="26">
        <f t="shared" si="4"/>
        <v>1800000</v>
      </c>
      <c r="L30" s="27">
        <f t="shared" si="1"/>
        <v>0</v>
      </c>
      <c r="M30" s="28"/>
      <c r="N30" s="31">
        <f t="shared" si="2"/>
        <v>0</v>
      </c>
      <c r="O30" s="32">
        <f t="shared" si="3"/>
      </c>
    </row>
    <row r="31" spans="2:15" ht="15" hidden="1">
      <c r="B31" s="33"/>
      <c r="C31" s="22"/>
      <c r="D31" s="23"/>
      <c r="E31" s="24"/>
      <c r="F31" s="25"/>
      <c r="G31" s="26">
        <f t="shared" si="5"/>
        <v>1800000</v>
      </c>
      <c r="H31" s="27">
        <f t="shared" si="0"/>
        <v>0</v>
      </c>
      <c r="I31" s="28"/>
      <c r="J31" s="29"/>
      <c r="K31" s="26">
        <f t="shared" si="4"/>
        <v>1800000</v>
      </c>
      <c r="L31" s="27">
        <f t="shared" si="1"/>
        <v>0</v>
      </c>
      <c r="M31" s="28"/>
      <c r="N31" s="31">
        <f t="shared" si="2"/>
        <v>0</v>
      </c>
      <c r="O31" s="32">
        <f t="shared" si="3"/>
      </c>
    </row>
    <row r="32" spans="2:15" ht="15" hidden="1">
      <c r="B32" s="33"/>
      <c r="C32" s="22"/>
      <c r="D32" s="23"/>
      <c r="E32" s="24"/>
      <c r="F32" s="25"/>
      <c r="G32" s="26">
        <f t="shared" si="5"/>
        <v>1800000</v>
      </c>
      <c r="H32" s="27">
        <f t="shared" si="0"/>
        <v>0</v>
      </c>
      <c r="I32" s="28"/>
      <c r="J32" s="29"/>
      <c r="K32" s="26">
        <f t="shared" si="4"/>
        <v>1800000</v>
      </c>
      <c r="L32" s="27">
        <f t="shared" si="1"/>
        <v>0</v>
      </c>
      <c r="M32" s="28"/>
      <c r="N32" s="31">
        <f t="shared" si="2"/>
        <v>0</v>
      </c>
      <c r="O32" s="32">
        <f t="shared" si="3"/>
      </c>
    </row>
    <row r="33" spans="2:15" ht="15" hidden="1">
      <c r="B33" s="33"/>
      <c r="C33" s="22"/>
      <c r="D33" s="23"/>
      <c r="E33" s="24"/>
      <c r="F33" s="25"/>
      <c r="G33" s="26">
        <f t="shared" si="5"/>
        <v>1800000</v>
      </c>
      <c r="H33" s="27">
        <f t="shared" si="0"/>
        <v>0</v>
      </c>
      <c r="I33" s="28"/>
      <c r="J33" s="29"/>
      <c r="K33" s="26">
        <f t="shared" si="4"/>
        <v>1800000</v>
      </c>
      <c r="L33" s="27">
        <f t="shared" si="1"/>
        <v>0</v>
      </c>
      <c r="M33" s="28"/>
      <c r="N33" s="31">
        <f t="shared" si="2"/>
        <v>0</v>
      </c>
      <c r="O33" s="32">
        <f t="shared" si="3"/>
      </c>
    </row>
    <row r="34" spans="2:15" ht="15" hidden="1">
      <c r="B34" s="33"/>
      <c r="C34" s="22"/>
      <c r="D34" s="23"/>
      <c r="E34" s="24"/>
      <c r="F34" s="25"/>
      <c r="G34" s="26">
        <f t="shared" si="5"/>
        <v>1800000</v>
      </c>
      <c r="H34" s="27">
        <f t="shared" si="0"/>
        <v>0</v>
      </c>
      <c r="I34" s="28"/>
      <c r="J34" s="29"/>
      <c r="K34" s="26">
        <f t="shared" si="4"/>
        <v>1800000</v>
      </c>
      <c r="L34" s="27">
        <f t="shared" si="1"/>
        <v>0</v>
      </c>
      <c r="M34" s="28"/>
      <c r="N34" s="31">
        <f t="shared" si="2"/>
        <v>0</v>
      </c>
      <c r="O34" s="32">
        <f t="shared" si="3"/>
      </c>
    </row>
    <row r="35" spans="2:15" ht="15" hidden="1">
      <c r="B35" s="33"/>
      <c r="C35" s="22"/>
      <c r="D35" s="23"/>
      <c r="E35" s="24"/>
      <c r="F35" s="25"/>
      <c r="G35" s="26">
        <f t="shared" si="5"/>
        <v>1800000</v>
      </c>
      <c r="H35" s="27">
        <f t="shared" si="0"/>
        <v>0</v>
      </c>
      <c r="I35" s="28"/>
      <c r="J35" s="29"/>
      <c r="K35" s="26">
        <f t="shared" si="4"/>
        <v>1800000</v>
      </c>
      <c r="L35" s="27">
        <f t="shared" si="1"/>
        <v>0</v>
      </c>
      <c r="M35" s="28"/>
      <c r="N35" s="31">
        <f t="shared" si="2"/>
        <v>0</v>
      </c>
      <c r="O35" s="32">
        <f t="shared" si="3"/>
      </c>
    </row>
    <row r="36" spans="2:15" ht="15" hidden="1">
      <c r="B36" s="33"/>
      <c r="C36" s="22"/>
      <c r="D36" s="23"/>
      <c r="E36" s="24"/>
      <c r="F36" s="25"/>
      <c r="G36" s="26">
        <f t="shared" si="5"/>
        <v>1800000</v>
      </c>
      <c r="H36" s="27">
        <f t="shared" si="0"/>
        <v>0</v>
      </c>
      <c r="I36" s="28"/>
      <c r="J36" s="29"/>
      <c r="K36" s="26">
        <f t="shared" si="4"/>
        <v>1800000</v>
      </c>
      <c r="L36" s="27">
        <f t="shared" si="1"/>
        <v>0</v>
      </c>
      <c r="M36" s="28"/>
      <c r="N36" s="31">
        <f t="shared" si="2"/>
        <v>0</v>
      </c>
      <c r="O36" s="32">
        <f t="shared" si="3"/>
      </c>
    </row>
    <row r="37" spans="2:15" s="34" customFormat="1" ht="15">
      <c r="B37" s="35" t="s">
        <v>22</v>
      </c>
      <c r="C37" s="36"/>
      <c r="D37" s="37"/>
      <c r="E37" s="36"/>
      <c r="F37" s="38"/>
      <c r="G37" s="39"/>
      <c r="H37" s="40">
        <f>SUM(H21:H36)</f>
        <v>16871.25</v>
      </c>
      <c r="I37" s="41"/>
      <c r="J37" s="42"/>
      <c r="K37" s="43"/>
      <c r="L37" s="40">
        <f>SUM(L21:L36)</f>
        <v>13924.549297969232</v>
      </c>
      <c r="M37" s="41"/>
      <c r="N37" s="44">
        <f t="shared" si="2"/>
        <v>-2946.7007020307683</v>
      </c>
      <c r="O37" s="45">
        <f t="shared" si="3"/>
        <v>-0.17465811377525484</v>
      </c>
    </row>
    <row r="38" spans="2:15" ht="25.5">
      <c r="B38" s="46" t="s">
        <v>23</v>
      </c>
      <c r="C38" s="22"/>
      <c r="D38" s="56" t="s">
        <v>71</v>
      </c>
      <c r="E38" s="57"/>
      <c r="F38" s="29">
        <v>0.1413</v>
      </c>
      <c r="G38" s="180">
        <f>G27</f>
        <v>5000</v>
      </c>
      <c r="H38" s="27">
        <f aca="true" t="shared" si="6" ref="H38:H44">G38*F38</f>
        <v>706.5</v>
      </c>
      <c r="I38" s="28"/>
      <c r="J38" s="29">
        <f>'[4]6. Rate Rider Calculations'!$F$23</f>
        <v>-0.5615487674009901</v>
      </c>
      <c r="K38" s="180">
        <f>H16</f>
        <v>5000</v>
      </c>
      <c r="L38" s="27">
        <f aca="true" t="shared" si="7" ref="L38:L44">K38*J38</f>
        <v>-2807.743837004951</v>
      </c>
      <c r="M38" s="28"/>
      <c r="N38" s="31">
        <f t="shared" si="2"/>
        <v>-3514.243837004951</v>
      </c>
      <c r="O38" s="32">
        <f t="shared" si="3"/>
        <v>-4.97415971267509</v>
      </c>
    </row>
    <row r="39" spans="2:15" ht="15" hidden="1">
      <c r="B39" s="46"/>
      <c r="C39" s="22"/>
      <c r="D39" s="23" t="s">
        <v>71</v>
      </c>
      <c r="E39" s="24"/>
      <c r="F39" s="25"/>
      <c r="G39" s="180">
        <f>H16</f>
        <v>5000</v>
      </c>
      <c r="H39" s="27">
        <f t="shared" si="6"/>
        <v>0</v>
      </c>
      <c r="I39" s="47"/>
      <c r="J39" s="29"/>
      <c r="K39" s="180">
        <f>H16</f>
        <v>5000</v>
      </c>
      <c r="L39" s="27">
        <f t="shared" si="7"/>
        <v>0</v>
      </c>
      <c r="M39" s="48"/>
      <c r="N39" s="31">
        <f t="shared" si="2"/>
        <v>0</v>
      </c>
      <c r="O39" s="32">
        <f t="shared" si="3"/>
      </c>
    </row>
    <row r="40" spans="2:15" ht="15" hidden="1">
      <c r="B40" s="46"/>
      <c r="C40" s="22"/>
      <c r="D40" s="23" t="s">
        <v>71</v>
      </c>
      <c r="E40" s="24"/>
      <c r="F40" s="25"/>
      <c r="G40" s="180">
        <f>H16</f>
        <v>5000</v>
      </c>
      <c r="H40" s="27">
        <f t="shared" si="6"/>
        <v>0</v>
      </c>
      <c r="I40" s="47"/>
      <c r="J40" s="29"/>
      <c r="K40" s="180">
        <f>H16</f>
        <v>5000</v>
      </c>
      <c r="L40" s="27">
        <f t="shared" si="7"/>
        <v>0</v>
      </c>
      <c r="M40" s="48"/>
      <c r="N40" s="31">
        <f t="shared" si="2"/>
        <v>0</v>
      </c>
      <c r="O40" s="32">
        <f t="shared" si="3"/>
      </c>
    </row>
    <row r="41" spans="2:15" ht="30.75" customHeight="1">
      <c r="B41" s="46" t="s">
        <v>77</v>
      </c>
      <c r="C41" s="22"/>
      <c r="D41" s="23" t="s">
        <v>71</v>
      </c>
      <c r="E41" s="24"/>
      <c r="F41" s="29">
        <v>1.4915</v>
      </c>
      <c r="G41" s="180">
        <f>H16</f>
        <v>5000</v>
      </c>
      <c r="H41" s="27">
        <f t="shared" si="6"/>
        <v>7457.5</v>
      </c>
      <c r="I41" s="47"/>
      <c r="J41" s="29">
        <f>'[4]6. Rate Rider Calculations'!$F$50</f>
        <v>-1.6739397397024387</v>
      </c>
      <c r="K41" s="180">
        <f>H16</f>
        <v>5000</v>
      </c>
      <c r="L41" s="27">
        <f t="shared" si="7"/>
        <v>-8369.698698512193</v>
      </c>
      <c r="M41" s="48"/>
      <c r="N41" s="31">
        <f t="shared" si="2"/>
        <v>-15827.198698512193</v>
      </c>
      <c r="O41" s="32">
        <f t="shared" si="3"/>
        <v>-2.1223196377488693</v>
      </c>
    </row>
    <row r="42" spans="2:15" ht="15">
      <c r="B42" s="49" t="s">
        <v>24</v>
      </c>
      <c r="C42" s="22"/>
      <c r="D42" s="23" t="s">
        <v>71</v>
      </c>
      <c r="E42" s="24"/>
      <c r="F42" s="25">
        <v>0.0228</v>
      </c>
      <c r="G42" s="180">
        <f>H16</f>
        <v>5000</v>
      </c>
      <c r="H42" s="27">
        <f t="shared" si="6"/>
        <v>114</v>
      </c>
      <c r="I42" s="28"/>
      <c r="J42" s="29">
        <f>'[3]Rate Schedule '!$E$30</f>
        <v>0.0453</v>
      </c>
      <c r="K42" s="180">
        <f>H16</f>
        <v>5000</v>
      </c>
      <c r="L42" s="27">
        <f t="shared" si="7"/>
        <v>226.5</v>
      </c>
      <c r="M42" s="28"/>
      <c r="N42" s="31">
        <f t="shared" si="2"/>
        <v>112.5</v>
      </c>
      <c r="O42" s="32">
        <f t="shared" si="3"/>
        <v>0.9868421052631579</v>
      </c>
    </row>
    <row r="43" spans="2:15" s="34" customFormat="1" ht="15">
      <c r="B43" s="182" t="s">
        <v>25</v>
      </c>
      <c r="C43" s="24"/>
      <c r="D43" s="183" t="s">
        <v>61</v>
      </c>
      <c r="E43" s="24"/>
      <c r="F43" s="184">
        <f>IF(ISBLANK(D14)=TRUE,0,IF(D14="TOU",0.64*$F$53+0.18*$F$54+0.18*$F$55,IF(AND(D14="non-TOU",G57&gt;0),F57,F56)))</f>
        <v>0.088</v>
      </c>
      <c r="G43" s="26">
        <f>$F$16*(1+$F$72)-$F$16</f>
        <v>51480</v>
      </c>
      <c r="H43" s="185">
        <f t="shared" si="6"/>
        <v>4530.24</v>
      </c>
      <c r="I43" s="57"/>
      <c r="J43" s="186">
        <f>IF(ISBLANK(D14)=TRUE,0,IF(D14="TOU",0.64*$F$53+0.18*$F$54+0.18*$F$55,IF(AND(D14="non-TOU",K57&gt;0),J57,J56)))</f>
        <v>0.088</v>
      </c>
      <c r="K43" s="26">
        <f>$F$16*(1+$J$72)-$F$16</f>
        <v>60300.00000000023</v>
      </c>
      <c r="L43" s="185">
        <f t="shared" si="7"/>
        <v>5306.400000000021</v>
      </c>
      <c r="M43" s="57"/>
      <c r="N43" s="187">
        <f t="shared" si="2"/>
        <v>776.1600000000208</v>
      </c>
      <c r="O43" s="188">
        <f t="shared" si="3"/>
        <v>0.17132867132867594</v>
      </c>
    </row>
    <row r="44" spans="2:15" ht="15">
      <c r="B44" s="49" t="s">
        <v>26</v>
      </c>
      <c r="C44" s="22"/>
      <c r="D44" s="23" t="s">
        <v>60</v>
      </c>
      <c r="E44" s="24"/>
      <c r="F44" s="179">
        <v>0.79</v>
      </c>
      <c r="G44" s="26">
        <v>0</v>
      </c>
      <c r="H44" s="27">
        <f t="shared" si="6"/>
        <v>0</v>
      </c>
      <c r="I44" s="28"/>
      <c r="J44" s="179">
        <v>0.79</v>
      </c>
      <c r="K44" s="26">
        <v>0</v>
      </c>
      <c r="L44" s="27">
        <f t="shared" si="7"/>
        <v>0</v>
      </c>
      <c r="M44" s="28"/>
      <c r="N44" s="31">
        <f t="shared" si="2"/>
        <v>0</v>
      </c>
      <c r="O44" s="32"/>
    </row>
    <row r="45" spans="2:15" ht="25.5">
      <c r="B45" s="50" t="s">
        <v>27</v>
      </c>
      <c r="C45" s="51"/>
      <c r="D45" s="51"/>
      <c r="E45" s="51"/>
      <c r="F45" s="52"/>
      <c r="G45" s="53"/>
      <c r="H45" s="54">
        <f>SUM(H38:H44)+H37</f>
        <v>29679.489999999998</v>
      </c>
      <c r="I45" s="41"/>
      <c r="J45" s="53"/>
      <c r="K45" s="55"/>
      <c r="L45" s="54">
        <f>SUM(L38:L44)+L37</f>
        <v>8280.006762452107</v>
      </c>
      <c r="M45" s="41"/>
      <c r="N45" s="44">
        <f t="shared" si="2"/>
        <v>-21399.48323754789</v>
      </c>
      <c r="O45" s="45">
        <f aca="true" t="shared" si="8" ref="O45:O63">IF((H45)=0,"",(N45/H45))</f>
        <v>-0.7210192371077768</v>
      </c>
    </row>
    <row r="46" spans="2:15" ht="15">
      <c r="B46" s="28" t="s">
        <v>28</v>
      </c>
      <c r="C46" s="28"/>
      <c r="D46" s="56" t="s">
        <v>71</v>
      </c>
      <c r="E46" s="57"/>
      <c r="F46" s="29">
        <v>2.6676</v>
      </c>
      <c r="G46" s="58">
        <f>H16*(1+F72)</f>
        <v>5143</v>
      </c>
      <c r="H46" s="27">
        <f>G46*F46</f>
        <v>13719.4668</v>
      </c>
      <c r="I46" s="28"/>
      <c r="J46" s="29">
        <f>'[5]13. Final 2014 RTS Rates'!$F$29</f>
        <v>2.871065481932064</v>
      </c>
      <c r="K46" s="59">
        <f>H16*(1+J72)</f>
        <v>5167.5</v>
      </c>
      <c r="L46" s="27">
        <f>K46*J46</f>
        <v>14836.23087788394</v>
      </c>
      <c r="M46" s="28"/>
      <c r="N46" s="31">
        <f t="shared" si="2"/>
        <v>1116.7640778839395</v>
      </c>
      <c r="O46" s="32">
        <f t="shared" si="8"/>
        <v>0.0813999621241796</v>
      </c>
    </row>
    <row r="47" spans="2:15" ht="30">
      <c r="B47" s="60" t="s">
        <v>29</v>
      </c>
      <c r="C47" s="28"/>
      <c r="D47" s="56" t="s">
        <v>71</v>
      </c>
      <c r="E47" s="57"/>
      <c r="F47" s="29">
        <v>1.6295</v>
      </c>
      <c r="G47" s="58">
        <f>G46</f>
        <v>5143</v>
      </c>
      <c r="H47" s="27">
        <f>G47*F47</f>
        <v>8380.5185</v>
      </c>
      <c r="I47" s="28"/>
      <c r="J47" s="29">
        <f>'[5]13. Final 2014 RTS Rates'!$H$29</f>
        <v>1.8788099993840324</v>
      </c>
      <c r="K47" s="59">
        <f>K46</f>
        <v>5167.5</v>
      </c>
      <c r="L47" s="27">
        <f>K47*J47</f>
        <v>9708.750671816988</v>
      </c>
      <c r="M47" s="28"/>
      <c r="N47" s="31">
        <f t="shared" si="2"/>
        <v>1328.2321718169878</v>
      </c>
      <c r="O47" s="32">
        <f t="shared" si="8"/>
        <v>0.15849045280634938</v>
      </c>
    </row>
    <row r="48" spans="2:15" ht="25.5">
      <c r="B48" s="50" t="s">
        <v>30</v>
      </c>
      <c r="C48" s="36"/>
      <c r="D48" s="36"/>
      <c r="E48" s="36"/>
      <c r="F48" s="61"/>
      <c r="G48" s="53"/>
      <c r="H48" s="54">
        <f>SUM(H45:H47)</f>
        <v>51779.4753</v>
      </c>
      <c r="I48" s="62"/>
      <c r="J48" s="63"/>
      <c r="K48" s="64"/>
      <c r="L48" s="54">
        <f>SUM(L45:L47)</f>
        <v>32824.98831215304</v>
      </c>
      <c r="M48" s="62"/>
      <c r="N48" s="44">
        <f t="shared" si="2"/>
        <v>-18954.48698784696</v>
      </c>
      <c r="O48" s="45">
        <f t="shared" si="8"/>
        <v>-0.3660617817779811</v>
      </c>
    </row>
    <row r="49" spans="2:15" ht="30">
      <c r="B49" s="65" t="s">
        <v>31</v>
      </c>
      <c r="C49" s="22"/>
      <c r="D49" s="23" t="s">
        <v>61</v>
      </c>
      <c r="E49" s="24"/>
      <c r="F49" s="66">
        <v>0.0044</v>
      </c>
      <c r="G49" s="58">
        <f>F16*(1+F72)</f>
        <v>1851480</v>
      </c>
      <c r="H49" s="67">
        <f aca="true" t="shared" si="9" ref="H49:H55">G49*F49</f>
        <v>8146.512000000001</v>
      </c>
      <c r="I49" s="28"/>
      <c r="J49" s="68">
        <v>0.0044</v>
      </c>
      <c r="K49" s="59">
        <f>F16*(1+J72)</f>
        <v>1860300.0000000002</v>
      </c>
      <c r="L49" s="67">
        <f aca="true" t="shared" si="10" ref="L49:L55">K49*J49</f>
        <v>8185.3200000000015</v>
      </c>
      <c r="M49" s="28"/>
      <c r="N49" s="31">
        <f t="shared" si="2"/>
        <v>38.8080000000009</v>
      </c>
      <c r="O49" s="69">
        <f t="shared" si="8"/>
        <v>0.0047637565623178234</v>
      </c>
    </row>
    <row r="50" spans="2:15" ht="30">
      <c r="B50" s="65" t="s">
        <v>32</v>
      </c>
      <c r="C50" s="22"/>
      <c r="D50" s="23" t="s">
        <v>61</v>
      </c>
      <c r="E50" s="24"/>
      <c r="F50" s="66">
        <v>0.0012</v>
      </c>
      <c r="G50" s="58">
        <f>G49</f>
        <v>1851480</v>
      </c>
      <c r="H50" s="67">
        <f t="shared" si="9"/>
        <v>2221.776</v>
      </c>
      <c r="I50" s="28"/>
      <c r="J50" s="68">
        <v>0.0012</v>
      </c>
      <c r="K50" s="59">
        <f>K49</f>
        <v>1860300.0000000002</v>
      </c>
      <c r="L50" s="67">
        <f t="shared" si="10"/>
        <v>2232.36</v>
      </c>
      <c r="M50" s="28"/>
      <c r="N50" s="31">
        <f t="shared" si="2"/>
        <v>10.584000000000287</v>
      </c>
      <c r="O50" s="69">
        <f t="shared" si="8"/>
        <v>0.004763756562317843</v>
      </c>
    </row>
    <row r="51" spans="2:15" ht="15">
      <c r="B51" s="22" t="s">
        <v>33</v>
      </c>
      <c r="C51" s="22"/>
      <c r="D51" s="23" t="s">
        <v>60</v>
      </c>
      <c r="E51" s="24"/>
      <c r="F51" s="177">
        <v>0.25</v>
      </c>
      <c r="G51" s="26">
        <v>1</v>
      </c>
      <c r="H51" s="67">
        <f t="shared" si="9"/>
        <v>0.25</v>
      </c>
      <c r="I51" s="28"/>
      <c r="J51" s="178">
        <v>0.25</v>
      </c>
      <c r="K51" s="30">
        <v>1</v>
      </c>
      <c r="L51" s="67">
        <f t="shared" si="10"/>
        <v>0.25</v>
      </c>
      <c r="M51" s="28"/>
      <c r="N51" s="31">
        <f t="shared" si="2"/>
        <v>0</v>
      </c>
      <c r="O51" s="69">
        <f t="shared" si="8"/>
        <v>0</v>
      </c>
    </row>
    <row r="52" spans="2:15" ht="15">
      <c r="B52" s="22" t="s">
        <v>34</v>
      </c>
      <c r="C52" s="22"/>
      <c r="D52" s="23" t="s">
        <v>61</v>
      </c>
      <c r="E52" s="24"/>
      <c r="F52" s="66">
        <v>0.007</v>
      </c>
      <c r="G52" s="70">
        <f>F16</f>
        <v>1800000</v>
      </c>
      <c r="H52" s="67">
        <f t="shared" si="9"/>
        <v>12600</v>
      </c>
      <c r="I52" s="28"/>
      <c r="J52" s="68">
        <f>0.007</f>
        <v>0.007</v>
      </c>
      <c r="K52" s="71">
        <f>F16</f>
        <v>1800000</v>
      </c>
      <c r="L52" s="67">
        <f t="shared" si="10"/>
        <v>12600</v>
      </c>
      <c r="M52" s="28"/>
      <c r="N52" s="31">
        <f t="shared" si="2"/>
        <v>0</v>
      </c>
      <c r="O52" s="69">
        <f t="shared" si="8"/>
        <v>0</v>
      </c>
    </row>
    <row r="53" spans="2:19" ht="15.75" thickBot="1">
      <c r="B53" s="49" t="s">
        <v>76</v>
      </c>
      <c r="C53" s="22"/>
      <c r="D53" s="23" t="s">
        <v>61</v>
      </c>
      <c r="E53" s="24"/>
      <c r="F53" s="66">
        <v>0.0799</v>
      </c>
      <c r="G53" s="70">
        <f>F16</f>
        <v>1800000</v>
      </c>
      <c r="H53" s="189">
        <f t="shared" si="9"/>
        <v>143820</v>
      </c>
      <c r="I53" s="57"/>
      <c r="J53" s="68">
        <v>0.0799</v>
      </c>
      <c r="K53" s="70">
        <f>G53</f>
        <v>1800000</v>
      </c>
      <c r="L53" s="67">
        <f t="shared" si="10"/>
        <v>143820</v>
      </c>
      <c r="M53" s="28"/>
      <c r="N53" s="31">
        <f t="shared" si="2"/>
        <v>0</v>
      </c>
      <c r="O53" s="69">
        <f t="shared" si="8"/>
        <v>0</v>
      </c>
      <c r="S53" s="73"/>
    </row>
    <row r="54" spans="2:19" ht="15.75" hidden="1" thickBot="1">
      <c r="B54" s="49" t="s">
        <v>36</v>
      </c>
      <c r="C54" s="22"/>
      <c r="D54" s="23"/>
      <c r="E54" s="24"/>
      <c r="F54" s="72">
        <v>0.104</v>
      </c>
      <c r="G54" s="58">
        <v>0</v>
      </c>
      <c r="H54" s="67">
        <f t="shared" si="9"/>
        <v>0</v>
      </c>
      <c r="I54" s="28"/>
      <c r="J54" s="66">
        <v>0.104</v>
      </c>
      <c r="K54" s="58">
        <v>0</v>
      </c>
      <c r="L54" s="67">
        <f t="shared" si="10"/>
        <v>0</v>
      </c>
      <c r="M54" s="28"/>
      <c r="N54" s="31">
        <f t="shared" si="2"/>
        <v>0</v>
      </c>
      <c r="O54" s="69">
        <f t="shared" si="8"/>
      </c>
      <c r="S54" s="73"/>
    </row>
    <row r="55" spans="2:19" ht="15.75" hidden="1" thickBot="1">
      <c r="B55" s="12" t="s">
        <v>37</v>
      </c>
      <c r="C55" s="22"/>
      <c r="D55" s="23"/>
      <c r="E55" s="24"/>
      <c r="F55" s="72">
        <v>0.124</v>
      </c>
      <c r="G55" s="58">
        <v>0</v>
      </c>
      <c r="H55" s="67">
        <f t="shared" si="9"/>
        <v>0</v>
      </c>
      <c r="I55" s="28"/>
      <c r="J55" s="66">
        <v>0.124</v>
      </c>
      <c r="K55" s="58">
        <v>0</v>
      </c>
      <c r="L55" s="67">
        <f t="shared" si="10"/>
        <v>0</v>
      </c>
      <c r="M55" s="28"/>
      <c r="N55" s="31">
        <f t="shared" si="2"/>
        <v>0</v>
      </c>
      <c r="O55" s="69">
        <f t="shared" si="8"/>
      </c>
      <c r="S55" s="73"/>
    </row>
    <row r="56" spans="2:15" s="74" customFormat="1" ht="15.75" hidden="1" thickBot="1">
      <c r="B56" s="181" t="s">
        <v>38</v>
      </c>
      <c r="C56" s="76"/>
      <c r="D56" s="77"/>
      <c r="E56" s="78"/>
      <c r="F56" s="72">
        <v>0.075</v>
      </c>
      <c r="G56" s="79">
        <f>IF(AND($T$1=1,F16&gt;=600),600,IF(AND($T$1=1,AND(F16&lt;600,F16&gt;=0)),F16,IF(AND($T$1=2,F16&gt;=1000),1000,IF(AND($T$1=2,AND(F16&lt;1000,F16&gt;=0)),F16))))</f>
        <v>600</v>
      </c>
      <c r="H56" s="67">
        <f>G56*F56</f>
        <v>45</v>
      </c>
      <c r="I56" s="80"/>
      <c r="J56" s="66">
        <v>0.075</v>
      </c>
      <c r="K56" s="79">
        <f>G56</f>
        <v>600</v>
      </c>
      <c r="L56" s="67">
        <f>K56*J56</f>
        <v>45</v>
      </c>
      <c r="M56" s="80"/>
      <c r="N56" s="81">
        <f t="shared" si="2"/>
        <v>0</v>
      </c>
      <c r="O56" s="69">
        <f t="shared" si="8"/>
        <v>0</v>
      </c>
    </row>
    <row r="57" spans="2:15" s="74" customFormat="1" ht="15.75" hidden="1" thickBot="1">
      <c r="B57" s="181" t="s">
        <v>39</v>
      </c>
      <c r="C57" s="76"/>
      <c r="D57" s="77"/>
      <c r="E57" s="78"/>
      <c r="F57" s="72">
        <v>0.088</v>
      </c>
      <c r="G57" s="79">
        <f>IF(AND($T$1=1,F16&gt;=600),F16-600,IF(AND($T$1=1,AND(F16&lt;600,F16&gt;=0)),0,IF(AND($T$1=2,F16&gt;=1000),F16-1000,IF(AND($T$1=2,AND(F16&lt;1000,F16&gt;=0)),0))))</f>
        <v>1799400</v>
      </c>
      <c r="H57" s="67">
        <f>G57*F57</f>
        <v>158347.19999999998</v>
      </c>
      <c r="I57" s="80"/>
      <c r="J57" s="66">
        <v>0.088</v>
      </c>
      <c r="K57" s="79">
        <f>G57</f>
        <v>1799400</v>
      </c>
      <c r="L57" s="67">
        <f>K57*J57</f>
        <v>158347.19999999998</v>
      </c>
      <c r="M57" s="80"/>
      <c r="N57" s="81">
        <f t="shared" si="2"/>
        <v>0</v>
      </c>
      <c r="O57" s="69">
        <f t="shared" si="8"/>
        <v>0</v>
      </c>
    </row>
    <row r="58" spans="2:15" ht="8.25" customHeight="1" thickBot="1">
      <c r="B58" s="82"/>
      <c r="C58" s="83"/>
      <c r="D58" s="84"/>
      <c r="E58" s="83"/>
      <c r="F58" s="85"/>
      <c r="G58" s="86"/>
      <c r="H58" s="87"/>
      <c r="I58" s="88"/>
      <c r="J58" s="85"/>
      <c r="K58" s="89"/>
      <c r="L58" s="87"/>
      <c r="M58" s="88"/>
      <c r="N58" s="90"/>
      <c r="O58" s="91"/>
    </row>
    <row r="59" spans="2:19" ht="15" hidden="1">
      <c r="B59" s="92" t="s">
        <v>40</v>
      </c>
      <c r="C59" s="22"/>
      <c r="D59" s="22"/>
      <c r="E59" s="22"/>
      <c r="F59" s="93"/>
      <c r="G59" s="94"/>
      <c r="H59" s="95">
        <f>SUM(H49:H55,H48)</f>
        <v>218568.0133</v>
      </c>
      <c r="I59" s="96"/>
      <c r="J59" s="97"/>
      <c r="K59" s="97"/>
      <c r="L59" s="95">
        <f>SUM(L49:L55,L48)</f>
        <v>199662.91831215302</v>
      </c>
      <c r="M59" s="98"/>
      <c r="N59" s="99">
        <f>L59-H59</f>
        <v>-18905.09498784697</v>
      </c>
      <c r="O59" s="100">
        <f>IF((H59)=0,"",(N59/H59))</f>
        <v>-0.0864952501622385</v>
      </c>
      <c r="S59" s="73"/>
    </row>
    <row r="60" spans="2:19" ht="15" hidden="1">
      <c r="B60" s="101" t="s">
        <v>41</v>
      </c>
      <c r="C60" s="22"/>
      <c r="D60" s="22"/>
      <c r="E60" s="22"/>
      <c r="F60" s="102">
        <v>0.13</v>
      </c>
      <c r="G60" s="103"/>
      <c r="H60" s="104">
        <f>H59*F60</f>
        <v>28413.841729</v>
      </c>
      <c r="I60" s="105"/>
      <c r="J60" s="106">
        <v>0.13</v>
      </c>
      <c r="K60" s="105"/>
      <c r="L60" s="107">
        <f>L59*J60</f>
        <v>25956.179380579895</v>
      </c>
      <c r="M60" s="108"/>
      <c r="N60" s="109">
        <f t="shared" si="2"/>
        <v>-2457.6623484201045</v>
      </c>
      <c r="O60" s="110">
        <f t="shared" si="8"/>
        <v>-0.08649525016223844</v>
      </c>
      <c r="S60" s="73"/>
    </row>
    <row r="61" spans="2:19" ht="15" hidden="1">
      <c r="B61" s="111" t="s">
        <v>42</v>
      </c>
      <c r="C61" s="22"/>
      <c r="D61" s="22"/>
      <c r="E61" s="22"/>
      <c r="F61" s="112"/>
      <c r="G61" s="103"/>
      <c r="H61" s="104">
        <f>H59+H60</f>
        <v>246981.855029</v>
      </c>
      <c r="I61" s="105"/>
      <c r="J61" s="105"/>
      <c r="K61" s="105"/>
      <c r="L61" s="107">
        <f>L59+L60</f>
        <v>225619.09769273293</v>
      </c>
      <c r="M61" s="108"/>
      <c r="N61" s="109">
        <f t="shared" si="2"/>
        <v>-21362.757336267066</v>
      </c>
      <c r="O61" s="110">
        <f t="shared" si="8"/>
        <v>-0.08649525016223845</v>
      </c>
      <c r="S61" s="73"/>
    </row>
    <row r="62" spans="2:15" ht="15.75" customHeight="1" hidden="1">
      <c r="B62" s="251" t="s">
        <v>43</v>
      </c>
      <c r="C62" s="251"/>
      <c r="D62" s="251"/>
      <c r="E62" s="22"/>
      <c r="F62" s="112"/>
      <c r="G62" s="103"/>
      <c r="H62" s="113">
        <f>ROUND(-H61*10%,2)</f>
        <v>-24698.19</v>
      </c>
      <c r="I62" s="105"/>
      <c r="J62" s="105"/>
      <c r="K62" s="105"/>
      <c r="L62" s="114">
        <f>ROUND(-L61*10%,2)</f>
        <v>-22561.91</v>
      </c>
      <c r="M62" s="108"/>
      <c r="N62" s="115">
        <f t="shared" si="2"/>
        <v>2136.279999999999</v>
      </c>
      <c r="O62" s="116">
        <f t="shared" si="8"/>
        <v>-0.08649540715331767</v>
      </c>
    </row>
    <row r="63" spans="2:15" ht="15" hidden="1">
      <c r="B63" s="233" t="s">
        <v>44</v>
      </c>
      <c r="C63" s="233"/>
      <c r="D63" s="233"/>
      <c r="E63" s="117"/>
      <c r="F63" s="118"/>
      <c r="G63" s="119"/>
      <c r="H63" s="120">
        <f>H61+H62</f>
        <v>222283.665029</v>
      </c>
      <c r="I63" s="121"/>
      <c r="J63" s="121"/>
      <c r="K63" s="121"/>
      <c r="L63" s="122">
        <f>L61+L62</f>
        <v>203057.18769273293</v>
      </c>
      <c r="M63" s="123"/>
      <c r="N63" s="124">
        <f t="shared" si="2"/>
        <v>-19226.477336267068</v>
      </c>
      <c r="O63" s="125">
        <f t="shared" si="8"/>
        <v>-0.08649523271878168</v>
      </c>
    </row>
    <row r="64" spans="2:15" s="74" customFormat="1" ht="8.25" customHeight="1" hidden="1">
      <c r="B64" s="126"/>
      <c r="C64" s="127"/>
      <c r="D64" s="128"/>
      <c r="E64" s="127"/>
      <c r="F64" s="85"/>
      <c r="G64" s="129"/>
      <c r="H64" s="87"/>
      <c r="I64" s="130"/>
      <c r="J64" s="85"/>
      <c r="K64" s="131"/>
      <c r="L64" s="87"/>
      <c r="M64" s="130"/>
      <c r="N64" s="132"/>
      <c r="O64" s="91"/>
    </row>
    <row r="65" spans="2:15" s="74" customFormat="1" ht="12.75">
      <c r="B65" s="133" t="s">
        <v>45</v>
      </c>
      <c r="C65" s="76"/>
      <c r="D65" s="76"/>
      <c r="E65" s="76"/>
      <c r="F65" s="134"/>
      <c r="G65" s="135"/>
      <c r="H65" s="136">
        <f>SUM(H53,H48,H49:H52)</f>
        <v>218568.0133</v>
      </c>
      <c r="I65" s="137"/>
      <c r="J65" s="138"/>
      <c r="K65" s="138"/>
      <c r="L65" s="190">
        <f>SUM(L53,L48,L49:L52)</f>
        <v>199662.91831215302</v>
      </c>
      <c r="M65" s="139"/>
      <c r="N65" s="140">
        <f>L65-H65</f>
        <v>-18905.09498784697</v>
      </c>
      <c r="O65" s="100">
        <f>IF((H65)=0,"",(N65/H65))</f>
        <v>-0.0864952501622385</v>
      </c>
    </row>
    <row r="66" spans="2:15" s="74" customFormat="1" ht="12.75">
      <c r="B66" s="141" t="s">
        <v>41</v>
      </c>
      <c r="C66" s="76"/>
      <c r="D66" s="76"/>
      <c r="E66" s="76"/>
      <c r="F66" s="142">
        <v>0.13</v>
      </c>
      <c r="G66" s="135"/>
      <c r="H66" s="143">
        <f>H65*F66</f>
        <v>28413.841729</v>
      </c>
      <c r="I66" s="144"/>
      <c r="J66" s="145">
        <v>0.13</v>
      </c>
      <c r="K66" s="146"/>
      <c r="L66" s="147">
        <f>L65*J66</f>
        <v>25956.179380579895</v>
      </c>
      <c r="M66" s="148"/>
      <c r="N66" s="149">
        <f>L66-H66</f>
        <v>-2457.6623484201045</v>
      </c>
      <c r="O66" s="110">
        <f>IF((H66)=0,"",(N66/H66))</f>
        <v>-0.08649525016223844</v>
      </c>
    </row>
    <row r="67" spans="2:15" s="74" customFormat="1" ht="12.75">
      <c r="B67" s="150" t="s">
        <v>42</v>
      </c>
      <c r="C67" s="76"/>
      <c r="D67" s="76"/>
      <c r="E67" s="76"/>
      <c r="F67" s="151"/>
      <c r="G67" s="152"/>
      <c r="H67" s="143">
        <f>H65+H66</f>
        <v>246981.855029</v>
      </c>
      <c r="I67" s="144"/>
      <c r="J67" s="144"/>
      <c r="K67" s="144"/>
      <c r="L67" s="147">
        <f>L65+L66</f>
        <v>225619.09769273293</v>
      </c>
      <c r="M67" s="148"/>
      <c r="N67" s="149">
        <f>L67-H67</f>
        <v>-21362.757336267066</v>
      </c>
      <c r="O67" s="110">
        <f>IF((H67)=0,"",(N67/H67))</f>
        <v>-0.08649525016223845</v>
      </c>
    </row>
    <row r="68" spans="2:15" s="74" customFormat="1" ht="15.75" customHeight="1">
      <c r="B68" s="239" t="s">
        <v>43</v>
      </c>
      <c r="C68" s="239"/>
      <c r="D68" s="239"/>
      <c r="E68" s="76"/>
      <c r="F68" s="151"/>
      <c r="G68" s="152"/>
      <c r="H68" s="153">
        <f>ROUND(-H67*10%,2)</f>
        <v>-24698.19</v>
      </c>
      <c r="I68" s="144"/>
      <c r="J68" s="144"/>
      <c r="K68" s="144"/>
      <c r="L68" s="154">
        <f>ROUND(-L67*10%,2)</f>
        <v>-22561.91</v>
      </c>
      <c r="M68" s="148"/>
      <c r="N68" s="155">
        <f>L68-H68</f>
        <v>2136.279999999999</v>
      </c>
      <c r="O68" s="116">
        <f>IF((H68)=0,"",(N68/H68))</f>
        <v>-0.08649540715331767</v>
      </c>
    </row>
    <row r="69" spans="2:15" s="74" customFormat="1" ht="13.5" thickBot="1">
      <c r="B69" s="244" t="s">
        <v>46</v>
      </c>
      <c r="C69" s="244"/>
      <c r="D69" s="244"/>
      <c r="E69" s="156"/>
      <c r="F69" s="157"/>
      <c r="G69" s="158"/>
      <c r="H69" s="159">
        <f>SUM(H67:H68)</f>
        <v>222283.665029</v>
      </c>
      <c r="I69" s="160"/>
      <c r="J69" s="160"/>
      <c r="K69" s="160"/>
      <c r="L69" s="161">
        <f>SUM(L67:L68)</f>
        <v>203057.18769273293</v>
      </c>
      <c r="M69" s="162"/>
      <c r="N69" s="163">
        <f>L69-H69</f>
        <v>-19226.477336267068</v>
      </c>
      <c r="O69" s="164">
        <f>IF((H69)=0,"",(N69/H69))</f>
        <v>-0.08649523271878168</v>
      </c>
    </row>
    <row r="70" spans="2:15" s="74" customFormat="1" ht="8.25" customHeight="1" thickBot="1">
      <c r="B70" s="126"/>
      <c r="C70" s="127"/>
      <c r="D70" s="128"/>
      <c r="E70" s="127"/>
      <c r="F70" s="165"/>
      <c r="G70" s="166"/>
      <c r="H70" s="167"/>
      <c r="I70" s="168"/>
      <c r="J70" s="165"/>
      <c r="K70" s="129"/>
      <c r="L70" s="169"/>
      <c r="M70" s="130"/>
      <c r="N70" s="170"/>
      <c r="O70" s="91"/>
    </row>
    <row r="71" ht="10.5" customHeight="1">
      <c r="L71" s="73"/>
    </row>
    <row r="72" spans="2:10" ht="15">
      <c r="B72" s="13" t="s">
        <v>47</v>
      </c>
      <c r="F72" s="171">
        <v>0.0286</v>
      </c>
      <c r="J72" s="171">
        <v>0.0335</v>
      </c>
    </row>
    <row r="73" ht="10.5" customHeight="1"/>
    <row r="74" ht="15">
      <c r="A74" s="172" t="s">
        <v>48</v>
      </c>
    </row>
    <row r="75" ht="10.5" customHeight="1"/>
    <row r="76" ht="15">
      <c r="A76" s="7" t="s">
        <v>49</v>
      </c>
    </row>
    <row r="77" ht="15">
      <c r="A77" s="7" t="s">
        <v>50</v>
      </c>
    </row>
    <row r="79" ht="15">
      <c r="A79" s="12" t="s">
        <v>51</v>
      </c>
    </row>
    <row r="80" ht="15">
      <c r="A80" s="12" t="s">
        <v>52</v>
      </c>
    </row>
    <row r="82" ht="15">
      <c r="A82" s="7" t="s">
        <v>53</v>
      </c>
    </row>
    <row r="83" ht="15">
      <c r="A83" s="7" t="s">
        <v>54</v>
      </c>
    </row>
    <row r="84" ht="15">
      <c r="A84" s="7" t="s">
        <v>55</v>
      </c>
    </row>
    <row r="85" ht="15">
      <c r="A85" s="7" t="s">
        <v>56</v>
      </c>
    </row>
    <row r="86" ht="15">
      <c r="A86" s="7" t="s">
        <v>57</v>
      </c>
    </row>
    <row r="88" spans="1:2" ht="15">
      <c r="A88" s="173"/>
      <c r="B88" s="7" t="s">
        <v>58</v>
      </c>
    </row>
  </sheetData>
  <sheetProtection/>
  <mergeCells count="17">
    <mergeCell ref="N1:O1"/>
    <mergeCell ref="N2:O2"/>
    <mergeCell ref="N3:O3"/>
    <mergeCell ref="N5:O5"/>
    <mergeCell ref="B69:D69"/>
    <mergeCell ref="D19:D20"/>
    <mergeCell ref="N19:N20"/>
    <mergeCell ref="O19:O20"/>
    <mergeCell ref="B62:D62"/>
    <mergeCell ref="B63:D63"/>
    <mergeCell ref="B68:D68"/>
    <mergeCell ref="B8:O8"/>
    <mergeCell ref="B9:O9"/>
    <mergeCell ref="D12:O12"/>
    <mergeCell ref="F18:H18"/>
    <mergeCell ref="J18:L18"/>
    <mergeCell ref="N18:O18"/>
  </mergeCells>
  <dataValidations count="4">
    <dataValidation type="list" allowBlank="1" showInputMessage="1" showErrorMessage="1" sqref="D14">
      <formula1>"TOU, non-TOU"</formula1>
    </dataValidation>
    <dataValidation type="list" allowBlank="1" showInputMessage="1" showErrorMessage="1" sqref="E70 E64 E56:E57">
      <formula1>'GS 1000-4999 (5,000kW)'!#REF!</formula1>
    </dataValidation>
    <dataValidation type="list" allowBlank="1" showInputMessage="1" showErrorMessage="1" prompt="Select Charge Unit - monthly, per kWh, per kW" sqref="D46:D47 D38:D44 D64 D21:D36 D70 D49:D58">
      <formula1>"Monthly, per kWh, per kW"</formula1>
    </dataValidation>
    <dataValidation type="list" allowBlank="1" showInputMessage="1" showErrorMessage="1" sqref="E46:E47 E38:E44 E21:E36 E49:E55 E58">
      <formula1>'GS 1000-4999 (5,000kW)'!#REF!</formula1>
    </dataValidation>
  </dataValidations>
  <printOptions/>
  <pageMargins left="0.7" right="0.7" top="0.75" bottom="0.75" header="0.3" footer="0.3"/>
  <pageSetup fitToHeight="0" fitToWidth="1" horizontalDpi="600" verticalDpi="600" orientation="portrait" scale="57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88"/>
  <sheetViews>
    <sheetView showGridLines="0" tabSelected="1" zoomScalePageLayoutView="0" workbookViewId="0" topLeftCell="A1">
      <selection activeCell="E7" sqref="E7"/>
    </sheetView>
  </sheetViews>
  <sheetFormatPr defaultColWidth="9.140625" defaultRowHeight="15"/>
  <cols>
    <col min="1" max="1" width="2.140625" style="7" customWidth="1"/>
    <col min="2" max="2" width="44.57421875" style="7" customWidth="1"/>
    <col min="3" max="3" width="1.28515625" style="7" customWidth="1"/>
    <col min="4" max="4" width="11.28125" style="7" customWidth="1"/>
    <col min="5" max="5" width="1.28515625" style="7" customWidth="1"/>
    <col min="6" max="6" width="12.28125" style="7" customWidth="1"/>
    <col min="7" max="7" width="9.00390625" style="7" bestFit="1" customWidth="1"/>
    <col min="8" max="8" width="14.28125" style="7" bestFit="1" customWidth="1"/>
    <col min="9" max="9" width="2.8515625" style="7" customWidth="1"/>
    <col min="10" max="10" width="12.140625" style="7" customWidth="1"/>
    <col min="11" max="11" width="9.00390625" style="7" bestFit="1" customWidth="1"/>
    <col min="12" max="12" width="14.28125" style="7" bestFit="1" customWidth="1"/>
    <col min="13" max="13" width="2.8515625" style="7" customWidth="1"/>
    <col min="14" max="14" width="12.7109375" style="7" bestFit="1" customWidth="1"/>
    <col min="15" max="15" width="9.8515625" style="7" customWidth="1"/>
    <col min="16" max="16" width="3.8515625" style="7" customWidth="1"/>
    <col min="17" max="20" width="9.140625" style="7" customWidth="1"/>
    <col min="21" max="16384" width="9.140625" style="7" customWidth="1"/>
  </cols>
  <sheetData>
    <row r="1" spans="1:20" s="2" customFormat="1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234" t="str">
        <f>EBNUMBER</f>
        <v>EB-2013-0116</v>
      </c>
      <c r="O1" s="234"/>
      <c r="P1"/>
      <c r="T1" s="2">
        <v>1</v>
      </c>
    </row>
    <row r="2" spans="1:16" s="2" customFormat="1" ht="1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110</v>
      </c>
      <c r="N2" s="235" t="s">
        <v>111</v>
      </c>
      <c r="O2" s="235"/>
      <c r="P2"/>
    </row>
    <row r="3" spans="3:16" s="2" customFormat="1" ht="15" customHeight="1">
      <c r="C3" s="6"/>
      <c r="D3" s="6"/>
      <c r="E3" s="6"/>
      <c r="L3" s="3" t="s">
        <v>78</v>
      </c>
      <c r="N3" s="236" t="s">
        <v>95</v>
      </c>
      <c r="O3" s="236"/>
      <c r="P3"/>
    </row>
    <row r="4" spans="12:16" s="2" customFormat="1" ht="9" customHeight="1">
      <c r="L4" s="3"/>
      <c r="N4" s="4"/>
      <c r="O4" s="192"/>
      <c r="P4"/>
    </row>
    <row r="5" spans="12:16" s="2" customFormat="1" ht="15">
      <c r="L5" s="3" t="s">
        <v>100</v>
      </c>
      <c r="N5" s="237">
        <v>41695</v>
      </c>
      <c r="O5" s="237"/>
      <c r="P5"/>
    </row>
    <row r="6" spans="14:16" s="2" customFormat="1" ht="15" customHeight="1">
      <c r="N6" s="7"/>
      <c r="O6"/>
      <c r="P6"/>
    </row>
    <row r="7" spans="12:16" ht="7.5" customHeight="1">
      <c r="L7"/>
      <c r="M7"/>
      <c r="N7"/>
      <c r="O7"/>
      <c r="P7"/>
    </row>
    <row r="8" spans="2:16" ht="18.75" customHeight="1">
      <c r="B8" s="238" t="s">
        <v>1</v>
      </c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/>
    </row>
    <row r="9" spans="2:16" ht="18.75" customHeight="1">
      <c r="B9" s="238" t="s">
        <v>2</v>
      </c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/>
    </row>
    <row r="10" spans="12:16" ht="7.5" customHeight="1">
      <c r="L10"/>
      <c r="M10"/>
      <c r="N10"/>
      <c r="O10"/>
      <c r="P10"/>
    </row>
    <row r="11" spans="12:16" ht="7.5" customHeight="1">
      <c r="L11"/>
      <c r="M11"/>
      <c r="N11"/>
      <c r="O11"/>
      <c r="P11"/>
    </row>
    <row r="12" spans="2:15" ht="15.75">
      <c r="B12" s="8" t="s">
        <v>3</v>
      </c>
      <c r="D12" s="240" t="s">
        <v>73</v>
      </c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</row>
    <row r="13" spans="2:15" ht="7.5" customHeight="1">
      <c r="B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2:15" ht="15.75">
      <c r="B14" s="8" t="s">
        <v>4</v>
      </c>
      <c r="D14" s="11" t="s">
        <v>68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2:15" ht="15.75">
      <c r="B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2:9" ht="15">
      <c r="B16" s="12"/>
      <c r="D16" s="13" t="s">
        <v>6</v>
      </c>
      <c r="E16" s="13"/>
      <c r="F16" s="14">
        <v>13000000</v>
      </c>
      <c r="G16" s="13" t="s">
        <v>7</v>
      </c>
      <c r="H16" s="14">
        <v>25000</v>
      </c>
      <c r="I16" s="13" t="s">
        <v>70</v>
      </c>
    </row>
    <row r="17" ht="15">
      <c r="B17" s="12"/>
    </row>
    <row r="18" spans="2:15" ht="15">
      <c r="B18" s="12"/>
      <c r="D18" s="15"/>
      <c r="E18" s="15"/>
      <c r="F18" s="241" t="s">
        <v>8</v>
      </c>
      <c r="G18" s="242"/>
      <c r="H18" s="243"/>
      <c r="J18" s="241" t="s">
        <v>9</v>
      </c>
      <c r="K18" s="242"/>
      <c r="L18" s="243"/>
      <c r="N18" s="241" t="s">
        <v>10</v>
      </c>
      <c r="O18" s="243"/>
    </row>
    <row r="19" spans="2:15" ht="15">
      <c r="B19" s="12"/>
      <c r="D19" s="245" t="s">
        <v>11</v>
      </c>
      <c r="E19" s="16"/>
      <c r="F19" s="17" t="s">
        <v>12</v>
      </c>
      <c r="G19" s="17" t="s">
        <v>13</v>
      </c>
      <c r="H19" s="18" t="s">
        <v>14</v>
      </c>
      <c r="J19" s="17" t="s">
        <v>12</v>
      </c>
      <c r="K19" s="19" t="s">
        <v>13</v>
      </c>
      <c r="L19" s="18" t="s">
        <v>14</v>
      </c>
      <c r="N19" s="247" t="s">
        <v>15</v>
      </c>
      <c r="O19" s="249" t="s">
        <v>16</v>
      </c>
    </row>
    <row r="20" spans="2:15" ht="15">
      <c r="B20" s="12"/>
      <c r="D20" s="246"/>
      <c r="E20" s="16"/>
      <c r="F20" s="20" t="s">
        <v>17</v>
      </c>
      <c r="G20" s="20"/>
      <c r="H20" s="21" t="s">
        <v>17</v>
      </c>
      <c r="J20" s="20" t="s">
        <v>17</v>
      </c>
      <c r="K20" s="21"/>
      <c r="L20" s="21" t="s">
        <v>17</v>
      </c>
      <c r="N20" s="248"/>
      <c r="O20" s="250"/>
    </row>
    <row r="21" spans="2:15" ht="22.5" customHeight="1">
      <c r="B21" s="22" t="s">
        <v>18</v>
      </c>
      <c r="C21" s="22"/>
      <c r="D21" s="23" t="s">
        <v>60</v>
      </c>
      <c r="E21" s="24"/>
      <c r="F21" s="175">
        <f>'[2]2013 Existing Rates'!$C$10</f>
        <v>7785.09</v>
      </c>
      <c r="G21" s="26">
        <v>1</v>
      </c>
      <c r="H21" s="27">
        <f>G21*F21</f>
        <v>7785.09</v>
      </c>
      <c r="I21" s="28"/>
      <c r="J21" s="174">
        <f>'[3]Rate Schedule '!$E$34</f>
        <v>9085.19</v>
      </c>
      <c r="K21" s="30">
        <v>1</v>
      </c>
      <c r="L21" s="27">
        <f>K21*J21</f>
        <v>9085.19</v>
      </c>
      <c r="M21" s="28"/>
      <c r="N21" s="31">
        <f>L21-H21</f>
        <v>1300.1000000000004</v>
      </c>
      <c r="O21" s="32">
        <f>IF((H21)=0,"",(N21/H21))</f>
        <v>0.16699871163981408</v>
      </c>
    </row>
    <row r="22" spans="2:15" ht="36.75" customHeight="1">
      <c r="B22" s="65" t="s">
        <v>62</v>
      </c>
      <c r="C22" s="22"/>
      <c r="D22" s="56" t="s">
        <v>60</v>
      </c>
      <c r="E22" s="24"/>
      <c r="F22" s="174"/>
      <c r="G22" s="26">
        <v>1</v>
      </c>
      <c r="H22" s="27">
        <f aca="true" t="shared" si="0" ref="H22:H36">G22*F22</f>
        <v>0</v>
      </c>
      <c r="I22" s="28"/>
      <c r="J22" s="29"/>
      <c r="K22" s="30">
        <v>1</v>
      </c>
      <c r="L22" s="27">
        <f>K22*J22</f>
        <v>0</v>
      </c>
      <c r="M22" s="28"/>
      <c r="N22" s="31">
        <f>L22-H22</f>
        <v>0</v>
      </c>
      <c r="O22" s="32">
        <f>IF((H22)=0,"",(N22/H22))</f>
      </c>
    </row>
    <row r="23" spans="2:15" ht="15" hidden="1">
      <c r="B23" s="176"/>
      <c r="C23" s="22"/>
      <c r="D23" s="56" t="s">
        <v>60</v>
      </c>
      <c r="E23" s="57"/>
      <c r="F23" s="174"/>
      <c r="G23" s="26">
        <v>1</v>
      </c>
      <c r="H23" s="27">
        <f t="shared" si="0"/>
        <v>0</v>
      </c>
      <c r="I23" s="28"/>
      <c r="J23" s="29"/>
      <c r="K23" s="30">
        <v>1</v>
      </c>
      <c r="L23" s="27">
        <f aca="true" t="shared" si="1" ref="L23:L36">K23*J23</f>
        <v>0</v>
      </c>
      <c r="M23" s="28"/>
      <c r="N23" s="31">
        <f aca="true" t="shared" si="2" ref="N23:N37">L23-H23</f>
        <v>0</v>
      </c>
      <c r="O23" s="32">
        <f aca="true" t="shared" si="3" ref="O23:O37">IF((H23)=0,"",(N23/H23))</f>
      </c>
    </row>
    <row r="24" spans="2:15" ht="15" hidden="1">
      <c r="B24" s="176"/>
      <c r="C24" s="22"/>
      <c r="D24" s="56" t="s">
        <v>60</v>
      </c>
      <c r="E24" s="24"/>
      <c r="F24" s="25"/>
      <c r="G24" s="26">
        <v>1</v>
      </c>
      <c r="H24" s="27">
        <f t="shared" si="0"/>
        <v>0</v>
      </c>
      <c r="I24" s="28"/>
      <c r="J24" s="174"/>
      <c r="K24" s="30">
        <v>1</v>
      </c>
      <c r="L24" s="27">
        <f t="shared" si="1"/>
        <v>0</v>
      </c>
      <c r="M24" s="28"/>
      <c r="N24" s="31">
        <f t="shared" si="2"/>
        <v>0</v>
      </c>
      <c r="O24" s="32">
        <f t="shared" si="3"/>
      </c>
    </row>
    <row r="25" spans="2:15" ht="15">
      <c r="B25" s="46" t="s">
        <v>65</v>
      </c>
      <c r="C25" s="22"/>
      <c r="D25" s="23" t="s">
        <v>71</v>
      </c>
      <c r="E25" s="24"/>
      <c r="F25" s="25">
        <v>-0.0118</v>
      </c>
      <c r="G25" s="180">
        <f>$H$16</f>
        <v>25000</v>
      </c>
      <c r="H25" s="27">
        <f t="shared" si="0"/>
        <v>-295</v>
      </c>
      <c r="I25" s="28"/>
      <c r="J25" s="29"/>
      <c r="K25" s="180">
        <f>$H$16</f>
        <v>25000</v>
      </c>
      <c r="L25" s="27">
        <f t="shared" si="1"/>
        <v>0</v>
      </c>
      <c r="M25" s="28"/>
      <c r="N25" s="31">
        <f t="shared" si="2"/>
        <v>295</v>
      </c>
      <c r="O25" s="32">
        <f t="shared" si="3"/>
        <v>-1</v>
      </c>
    </row>
    <row r="26" spans="2:15" ht="15">
      <c r="B26" s="46" t="s">
        <v>66</v>
      </c>
      <c r="C26" s="22"/>
      <c r="D26" s="23" t="s">
        <v>71</v>
      </c>
      <c r="E26" s="24"/>
      <c r="F26" s="25"/>
      <c r="G26" s="180">
        <f>$H$16</f>
        <v>25000</v>
      </c>
      <c r="H26" s="27">
        <f t="shared" si="0"/>
        <v>0</v>
      </c>
      <c r="I26" s="28"/>
      <c r="J26" s="29">
        <f>'[4]6. Rate Rider Calculations'!$F$79</f>
        <v>-1.2357321560652414</v>
      </c>
      <c r="K26" s="180">
        <f>$H$16</f>
        <v>25000</v>
      </c>
      <c r="L26" s="27">
        <f t="shared" si="1"/>
        <v>-30893.303901631036</v>
      </c>
      <c r="M26" s="28"/>
      <c r="N26" s="31">
        <f t="shared" si="2"/>
        <v>-30893.303901631036</v>
      </c>
      <c r="O26" s="32">
        <f t="shared" si="3"/>
      </c>
    </row>
    <row r="27" spans="2:15" ht="15">
      <c r="B27" s="22" t="s">
        <v>19</v>
      </c>
      <c r="C27" s="22"/>
      <c r="D27" s="23" t="s">
        <v>71</v>
      </c>
      <c r="E27" s="24"/>
      <c r="F27" s="25">
        <f>'[2]2013 Existing Rates'!$D$10</f>
        <v>2.1619</v>
      </c>
      <c r="G27" s="180">
        <f>$H$16</f>
        <v>25000</v>
      </c>
      <c r="H27" s="27">
        <f t="shared" si="0"/>
        <v>54047.50000000001</v>
      </c>
      <c r="I27" s="28"/>
      <c r="J27" s="29">
        <f>'[3]Rate Schedule '!$E$35</f>
        <v>2.5229</v>
      </c>
      <c r="K27" s="180">
        <f>$H$16</f>
        <v>25000</v>
      </c>
      <c r="L27" s="27">
        <f t="shared" si="1"/>
        <v>63072.5</v>
      </c>
      <c r="M27" s="28"/>
      <c r="N27" s="31">
        <f t="shared" si="2"/>
        <v>9024.999999999993</v>
      </c>
      <c r="O27" s="32">
        <f t="shared" si="3"/>
        <v>0.16698274665803212</v>
      </c>
    </row>
    <row r="28" spans="2:15" ht="15" hidden="1">
      <c r="B28" s="22" t="s">
        <v>20</v>
      </c>
      <c r="C28" s="22"/>
      <c r="D28" s="23"/>
      <c r="E28" s="24"/>
      <c r="F28" s="25"/>
      <c r="G28" s="26">
        <f>$F$16</f>
        <v>13000000</v>
      </c>
      <c r="H28" s="27">
        <f t="shared" si="0"/>
        <v>0</v>
      </c>
      <c r="I28" s="28"/>
      <c r="J28" s="29"/>
      <c r="K28" s="26">
        <f aca="true" t="shared" si="4" ref="K28:K36">$F$16</f>
        <v>13000000</v>
      </c>
      <c r="L28" s="27">
        <f t="shared" si="1"/>
        <v>0</v>
      </c>
      <c r="M28" s="28"/>
      <c r="N28" s="31">
        <f t="shared" si="2"/>
        <v>0</v>
      </c>
      <c r="O28" s="32">
        <f t="shared" si="3"/>
      </c>
    </row>
    <row r="29" spans="2:15" ht="15" hidden="1">
      <c r="B29" s="22" t="s">
        <v>21</v>
      </c>
      <c r="C29" s="22"/>
      <c r="D29" s="23"/>
      <c r="E29" s="24"/>
      <c r="F29" s="25"/>
      <c r="G29" s="26">
        <f>$F$16</f>
        <v>13000000</v>
      </c>
      <c r="H29" s="27">
        <f t="shared" si="0"/>
        <v>0</v>
      </c>
      <c r="I29" s="28"/>
      <c r="J29" s="29"/>
      <c r="K29" s="26">
        <f t="shared" si="4"/>
        <v>13000000</v>
      </c>
      <c r="L29" s="27">
        <f t="shared" si="1"/>
        <v>0</v>
      </c>
      <c r="M29" s="28"/>
      <c r="N29" s="31">
        <f t="shared" si="2"/>
        <v>0</v>
      </c>
      <c r="O29" s="32">
        <f t="shared" si="3"/>
      </c>
    </row>
    <row r="30" spans="2:15" ht="15" hidden="1">
      <c r="B30" s="33"/>
      <c r="C30" s="22"/>
      <c r="D30" s="23"/>
      <c r="E30" s="24"/>
      <c r="F30" s="25"/>
      <c r="G30" s="26">
        <f aca="true" t="shared" si="5" ref="G30:G36">$F$16</f>
        <v>13000000</v>
      </c>
      <c r="H30" s="27">
        <f t="shared" si="0"/>
        <v>0</v>
      </c>
      <c r="I30" s="28"/>
      <c r="J30" s="29"/>
      <c r="K30" s="26">
        <f t="shared" si="4"/>
        <v>13000000</v>
      </c>
      <c r="L30" s="27">
        <f t="shared" si="1"/>
        <v>0</v>
      </c>
      <c r="M30" s="28"/>
      <c r="N30" s="31">
        <f t="shared" si="2"/>
        <v>0</v>
      </c>
      <c r="O30" s="32">
        <f t="shared" si="3"/>
      </c>
    </row>
    <row r="31" spans="2:15" ht="15" hidden="1">
      <c r="B31" s="33"/>
      <c r="C31" s="22"/>
      <c r="D31" s="23"/>
      <c r="E31" s="24"/>
      <c r="F31" s="25"/>
      <c r="G31" s="26">
        <f t="shared" si="5"/>
        <v>13000000</v>
      </c>
      <c r="H31" s="27">
        <f t="shared" si="0"/>
        <v>0</v>
      </c>
      <c r="I31" s="28"/>
      <c r="J31" s="29"/>
      <c r="K31" s="26">
        <f t="shared" si="4"/>
        <v>13000000</v>
      </c>
      <c r="L31" s="27">
        <f t="shared" si="1"/>
        <v>0</v>
      </c>
      <c r="M31" s="28"/>
      <c r="N31" s="31">
        <f t="shared" si="2"/>
        <v>0</v>
      </c>
      <c r="O31" s="32">
        <f t="shared" si="3"/>
      </c>
    </row>
    <row r="32" spans="2:15" ht="15" hidden="1">
      <c r="B32" s="33"/>
      <c r="C32" s="22"/>
      <c r="D32" s="23"/>
      <c r="E32" s="24"/>
      <c r="F32" s="25"/>
      <c r="G32" s="26">
        <f t="shared" si="5"/>
        <v>13000000</v>
      </c>
      <c r="H32" s="27">
        <f t="shared" si="0"/>
        <v>0</v>
      </c>
      <c r="I32" s="28"/>
      <c r="J32" s="29"/>
      <c r="K32" s="26">
        <f t="shared" si="4"/>
        <v>13000000</v>
      </c>
      <c r="L32" s="27">
        <f t="shared" si="1"/>
        <v>0</v>
      </c>
      <c r="M32" s="28"/>
      <c r="N32" s="31">
        <f t="shared" si="2"/>
        <v>0</v>
      </c>
      <c r="O32" s="32">
        <f t="shared" si="3"/>
      </c>
    </row>
    <row r="33" spans="2:15" ht="15" hidden="1">
      <c r="B33" s="33"/>
      <c r="C33" s="22"/>
      <c r="D33" s="23"/>
      <c r="E33" s="24"/>
      <c r="F33" s="25"/>
      <c r="G33" s="26">
        <f t="shared" si="5"/>
        <v>13000000</v>
      </c>
      <c r="H33" s="27">
        <f t="shared" si="0"/>
        <v>0</v>
      </c>
      <c r="I33" s="28"/>
      <c r="J33" s="29"/>
      <c r="K33" s="26">
        <f t="shared" si="4"/>
        <v>13000000</v>
      </c>
      <c r="L33" s="27">
        <f t="shared" si="1"/>
        <v>0</v>
      </c>
      <c r="M33" s="28"/>
      <c r="N33" s="31">
        <f t="shared" si="2"/>
        <v>0</v>
      </c>
      <c r="O33" s="32">
        <f t="shared" si="3"/>
      </c>
    </row>
    <row r="34" spans="2:15" ht="15" hidden="1">
      <c r="B34" s="33"/>
      <c r="C34" s="22"/>
      <c r="D34" s="23"/>
      <c r="E34" s="24"/>
      <c r="F34" s="25"/>
      <c r="G34" s="26">
        <f t="shared" si="5"/>
        <v>13000000</v>
      </c>
      <c r="H34" s="27">
        <f t="shared" si="0"/>
        <v>0</v>
      </c>
      <c r="I34" s="28"/>
      <c r="J34" s="29"/>
      <c r="K34" s="26">
        <f t="shared" si="4"/>
        <v>13000000</v>
      </c>
      <c r="L34" s="27">
        <f t="shared" si="1"/>
        <v>0</v>
      </c>
      <c r="M34" s="28"/>
      <c r="N34" s="31">
        <f t="shared" si="2"/>
        <v>0</v>
      </c>
      <c r="O34" s="32">
        <f t="shared" si="3"/>
      </c>
    </row>
    <row r="35" spans="2:15" ht="15" hidden="1">
      <c r="B35" s="33"/>
      <c r="C35" s="22"/>
      <c r="D35" s="23"/>
      <c r="E35" s="24"/>
      <c r="F35" s="25"/>
      <c r="G35" s="26">
        <f t="shared" si="5"/>
        <v>13000000</v>
      </c>
      <c r="H35" s="27">
        <f t="shared" si="0"/>
        <v>0</v>
      </c>
      <c r="I35" s="28"/>
      <c r="J35" s="29"/>
      <c r="K35" s="26">
        <f t="shared" si="4"/>
        <v>13000000</v>
      </c>
      <c r="L35" s="27">
        <f t="shared" si="1"/>
        <v>0</v>
      </c>
      <c r="M35" s="28"/>
      <c r="N35" s="31">
        <f t="shared" si="2"/>
        <v>0</v>
      </c>
      <c r="O35" s="32">
        <f t="shared" si="3"/>
      </c>
    </row>
    <row r="36" spans="2:15" ht="15" hidden="1">
      <c r="B36" s="33"/>
      <c r="C36" s="22"/>
      <c r="D36" s="23"/>
      <c r="E36" s="24"/>
      <c r="F36" s="25"/>
      <c r="G36" s="26">
        <f t="shared" si="5"/>
        <v>13000000</v>
      </c>
      <c r="H36" s="27">
        <f t="shared" si="0"/>
        <v>0</v>
      </c>
      <c r="I36" s="28"/>
      <c r="J36" s="29"/>
      <c r="K36" s="26">
        <f t="shared" si="4"/>
        <v>13000000</v>
      </c>
      <c r="L36" s="27">
        <f t="shared" si="1"/>
        <v>0</v>
      </c>
      <c r="M36" s="28"/>
      <c r="N36" s="31">
        <f t="shared" si="2"/>
        <v>0</v>
      </c>
      <c r="O36" s="32">
        <f t="shared" si="3"/>
      </c>
    </row>
    <row r="37" spans="2:15" s="34" customFormat="1" ht="15">
      <c r="B37" s="35" t="s">
        <v>22</v>
      </c>
      <c r="C37" s="36"/>
      <c r="D37" s="37"/>
      <c r="E37" s="36"/>
      <c r="F37" s="38"/>
      <c r="G37" s="39"/>
      <c r="H37" s="40">
        <f>SUM(H21:H36)</f>
        <v>61537.59000000001</v>
      </c>
      <c r="I37" s="41"/>
      <c r="J37" s="42"/>
      <c r="K37" s="43"/>
      <c r="L37" s="40">
        <f>SUM(L21:L36)</f>
        <v>41264.38609836897</v>
      </c>
      <c r="M37" s="41"/>
      <c r="N37" s="44">
        <f t="shared" si="2"/>
        <v>-20273.203901631045</v>
      </c>
      <c r="O37" s="45">
        <f t="shared" si="3"/>
        <v>-0.32944422915539984</v>
      </c>
    </row>
    <row r="38" spans="2:15" ht="25.5">
      <c r="B38" s="46" t="s">
        <v>23</v>
      </c>
      <c r="C38" s="22"/>
      <c r="D38" s="56" t="s">
        <v>71</v>
      </c>
      <c r="E38" s="57"/>
      <c r="F38" s="29">
        <v>0.1616</v>
      </c>
      <c r="G38" s="180">
        <f>G27</f>
        <v>25000</v>
      </c>
      <c r="H38" s="27">
        <f aca="true" t="shared" si="6" ref="H38:H44">G38*F38</f>
        <v>4040</v>
      </c>
      <c r="I38" s="28"/>
      <c r="J38" s="29">
        <f>'[4]6. Rate Rider Calculations'!$F$24</f>
        <v>-0.5829917306354213</v>
      </c>
      <c r="K38" s="180">
        <f>H16</f>
        <v>25000</v>
      </c>
      <c r="L38" s="27">
        <f aca="true" t="shared" si="7" ref="L38:L44">K38*J38</f>
        <v>-14574.793265885533</v>
      </c>
      <c r="M38" s="28"/>
      <c r="N38" s="31">
        <f aca="true" t="shared" si="8" ref="N38:N44">L38-H38</f>
        <v>-18614.793265885535</v>
      </c>
      <c r="O38" s="32">
        <f aca="true" t="shared" si="9" ref="O38:O43">IF((H38)=0,"",(N38/H38))</f>
        <v>-4.607622095516222</v>
      </c>
    </row>
    <row r="39" spans="2:15" ht="15" hidden="1">
      <c r="B39" s="46"/>
      <c r="C39" s="22"/>
      <c r="D39" s="23" t="s">
        <v>71</v>
      </c>
      <c r="E39" s="24"/>
      <c r="F39" s="25"/>
      <c r="G39" s="180">
        <f>H16</f>
        <v>25000</v>
      </c>
      <c r="H39" s="27">
        <f t="shared" si="6"/>
        <v>0</v>
      </c>
      <c r="I39" s="47"/>
      <c r="J39" s="29"/>
      <c r="K39" s="180">
        <f>H16</f>
        <v>25000</v>
      </c>
      <c r="L39" s="27">
        <f t="shared" si="7"/>
        <v>0</v>
      </c>
      <c r="M39" s="48"/>
      <c r="N39" s="31">
        <f t="shared" si="8"/>
        <v>0</v>
      </c>
      <c r="O39" s="32">
        <f t="shared" si="9"/>
      </c>
    </row>
    <row r="40" spans="2:15" ht="15" hidden="1">
      <c r="B40" s="46"/>
      <c r="C40" s="22"/>
      <c r="D40" s="23" t="s">
        <v>71</v>
      </c>
      <c r="E40" s="24"/>
      <c r="F40" s="25"/>
      <c r="G40" s="180">
        <f>H16</f>
        <v>25000</v>
      </c>
      <c r="H40" s="27">
        <f t="shared" si="6"/>
        <v>0</v>
      </c>
      <c r="I40" s="47"/>
      <c r="J40" s="29"/>
      <c r="K40" s="180">
        <f>H16</f>
        <v>25000</v>
      </c>
      <c r="L40" s="27">
        <f t="shared" si="7"/>
        <v>0</v>
      </c>
      <c r="M40" s="48"/>
      <c r="N40" s="31">
        <f t="shared" si="8"/>
        <v>0</v>
      </c>
      <c r="O40" s="32">
        <f t="shared" si="9"/>
      </c>
    </row>
    <row r="41" spans="2:15" ht="29.25" customHeight="1">
      <c r="B41" s="46" t="s">
        <v>77</v>
      </c>
      <c r="C41" s="22"/>
      <c r="D41" s="23" t="s">
        <v>71</v>
      </c>
      <c r="E41" s="24"/>
      <c r="F41" s="29">
        <v>1.706</v>
      </c>
      <c r="G41" s="180">
        <f>H16</f>
        <v>25000</v>
      </c>
      <c r="H41" s="27">
        <f>G41*F41</f>
        <v>42650</v>
      </c>
      <c r="I41" s="47"/>
      <c r="J41" s="29">
        <f>'[4]6. Rate Rider Calculations'!$F$51</f>
        <v>-1.9146207069667809</v>
      </c>
      <c r="K41" s="180">
        <f>H16</f>
        <v>25000</v>
      </c>
      <c r="L41" s="27">
        <f t="shared" si="7"/>
        <v>-47865.517674169525</v>
      </c>
      <c r="M41" s="48"/>
      <c r="N41" s="31">
        <f t="shared" si="8"/>
        <v>-90515.51767416953</v>
      </c>
      <c r="O41" s="32">
        <f t="shared" si="9"/>
        <v>-2.1222864636382073</v>
      </c>
    </row>
    <row r="42" spans="2:15" ht="15">
      <c r="B42" s="49" t="s">
        <v>24</v>
      </c>
      <c r="C42" s="22"/>
      <c r="D42" s="23" t="s">
        <v>71</v>
      </c>
      <c r="E42" s="24"/>
      <c r="F42" s="25">
        <v>0.0232</v>
      </c>
      <c r="G42" s="180">
        <f>H16</f>
        <v>25000</v>
      </c>
      <c r="H42" s="27">
        <f t="shared" si="6"/>
        <v>580</v>
      </c>
      <c r="I42" s="28"/>
      <c r="J42" s="29">
        <f>'[3]Rate Schedule '!$E$36</f>
        <v>0.0453</v>
      </c>
      <c r="K42" s="180">
        <f>H16</f>
        <v>25000</v>
      </c>
      <c r="L42" s="27">
        <f t="shared" si="7"/>
        <v>1132.5</v>
      </c>
      <c r="M42" s="28"/>
      <c r="N42" s="31">
        <f t="shared" si="8"/>
        <v>552.5</v>
      </c>
      <c r="O42" s="32">
        <f t="shared" si="9"/>
        <v>0.9525862068965517</v>
      </c>
    </row>
    <row r="43" spans="2:15" s="34" customFormat="1" ht="15">
      <c r="B43" s="182" t="s">
        <v>25</v>
      </c>
      <c r="C43" s="24"/>
      <c r="D43" s="183" t="s">
        <v>61</v>
      </c>
      <c r="E43" s="24"/>
      <c r="F43" s="184">
        <f>IF(ISBLANK(D14)=TRUE,0,IF(D14="TOU",0.64*$F$53+0.18*$F$54+0.18*$F$55,IF(AND(D14="non-TOU",G57&gt;0),F57,F56)))</f>
        <v>0.088</v>
      </c>
      <c r="G43" s="26">
        <f>$F$16*(1+$F$72)-$F$16</f>
        <v>3900</v>
      </c>
      <c r="H43" s="185">
        <f t="shared" si="6"/>
        <v>343.2</v>
      </c>
      <c r="I43" s="57"/>
      <c r="J43" s="186">
        <f>IF(ISBLANK(D14)=TRUE,0,IF(D14="TOU",0.64*$F$53+0.18*$F$54+0.18*$F$55,IF(AND(D14="non-TOU",K57&gt;0),J57,J56)))</f>
        <v>0.088</v>
      </c>
      <c r="K43" s="26">
        <f>$F$16*(1+$J$72)-$F$16</f>
        <v>5850</v>
      </c>
      <c r="L43" s="185">
        <f t="shared" si="7"/>
        <v>514.8</v>
      </c>
      <c r="M43" s="57"/>
      <c r="N43" s="187">
        <f t="shared" si="8"/>
        <v>171.59999999999997</v>
      </c>
      <c r="O43" s="188">
        <f t="shared" si="9"/>
        <v>0.49999999999999994</v>
      </c>
    </row>
    <row r="44" spans="2:15" ht="15">
      <c r="B44" s="49" t="s">
        <v>26</v>
      </c>
      <c r="C44" s="22"/>
      <c r="D44" s="23" t="s">
        <v>60</v>
      </c>
      <c r="E44" s="24"/>
      <c r="F44" s="179">
        <v>0.79</v>
      </c>
      <c r="G44" s="26">
        <v>0</v>
      </c>
      <c r="H44" s="27">
        <f t="shared" si="6"/>
        <v>0</v>
      </c>
      <c r="I44" s="28"/>
      <c r="J44" s="179">
        <v>0.79</v>
      </c>
      <c r="K44" s="26">
        <v>0</v>
      </c>
      <c r="L44" s="27">
        <f t="shared" si="7"/>
        <v>0</v>
      </c>
      <c r="M44" s="28"/>
      <c r="N44" s="31">
        <f t="shared" si="8"/>
        <v>0</v>
      </c>
      <c r="O44" s="32"/>
    </row>
    <row r="45" spans="2:15" ht="25.5">
      <c r="B45" s="50" t="s">
        <v>27</v>
      </c>
      <c r="C45" s="51"/>
      <c r="D45" s="51"/>
      <c r="E45" s="51"/>
      <c r="F45" s="52"/>
      <c r="G45" s="53"/>
      <c r="H45" s="54">
        <f>SUM(H38:H44)+H37</f>
        <v>109150.79000000001</v>
      </c>
      <c r="I45" s="41"/>
      <c r="J45" s="53"/>
      <c r="K45" s="55"/>
      <c r="L45" s="54">
        <f>SUM(L38:L44)+L37</f>
        <v>-19528.62484168609</v>
      </c>
      <c r="M45" s="41"/>
      <c r="N45" s="44">
        <f aca="true" t="shared" si="10" ref="N45:N63">L45-H45</f>
        <v>-128679.4148416861</v>
      </c>
      <c r="O45" s="45">
        <f aca="true" t="shared" si="11" ref="O45:O63">IF((H45)=0,"",(N45/H45))</f>
        <v>-1.1789141868939848</v>
      </c>
    </row>
    <row r="46" spans="2:15" ht="15">
      <c r="B46" s="28" t="s">
        <v>28</v>
      </c>
      <c r="C46" s="28"/>
      <c r="D46" s="56" t="s">
        <v>71</v>
      </c>
      <c r="E46" s="57"/>
      <c r="F46" s="29">
        <v>2.5279</v>
      </c>
      <c r="G46" s="58">
        <f>H16*(1+F72)</f>
        <v>25007.5</v>
      </c>
      <c r="H46" s="27">
        <f>G46*F46</f>
        <v>63216.45924999999</v>
      </c>
      <c r="I46" s="28"/>
      <c r="J46" s="29">
        <f>'[5]13. Final 2014 RTS Rates'!$F$30</f>
        <v>2.7207101633588477</v>
      </c>
      <c r="K46" s="59">
        <f>H16*(1+J72)</f>
        <v>25011.25</v>
      </c>
      <c r="L46" s="27">
        <f>K46*J46</f>
        <v>68048.36207330898</v>
      </c>
      <c r="M46" s="28"/>
      <c r="N46" s="31">
        <f t="shared" si="10"/>
        <v>4831.902823308985</v>
      </c>
      <c r="O46" s="32">
        <f t="shared" si="11"/>
        <v>0.07643425273472565</v>
      </c>
    </row>
    <row r="47" spans="2:15" ht="30">
      <c r="B47" s="60" t="s">
        <v>29</v>
      </c>
      <c r="C47" s="28"/>
      <c r="D47" s="56" t="s">
        <v>71</v>
      </c>
      <c r="E47" s="57"/>
      <c r="F47" s="29">
        <v>1.6586</v>
      </c>
      <c r="G47" s="58">
        <f>G46</f>
        <v>25007.5</v>
      </c>
      <c r="H47" s="27">
        <f>G47*F47</f>
        <v>41477.4395</v>
      </c>
      <c r="I47" s="28"/>
      <c r="J47" s="29">
        <f>'[5]13. Final 2014 RTS Rates'!$H$30</f>
        <v>1.9123622368691975</v>
      </c>
      <c r="K47" s="59">
        <f>K46</f>
        <v>25011.25</v>
      </c>
      <c r="L47" s="27">
        <f>K47*J47</f>
        <v>47830.569996894716</v>
      </c>
      <c r="M47" s="28"/>
      <c r="N47" s="31">
        <f t="shared" si="10"/>
        <v>6353.130496894715</v>
      </c>
      <c r="O47" s="32">
        <f t="shared" si="11"/>
        <v>0.15317074953227802</v>
      </c>
    </row>
    <row r="48" spans="2:15" ht="25.5">
      <c r="B48" s="50" t="s">
        <v>30</v>
      </c>
      <c r="C48" s="36"/>
      <c r="D48" s="36"/>
      <c r="E48" s="36"/>
      <c r="F48" s="61"/>
      <c r="G48" s="53"/>
      <c r="H48" s="54">
        <f>SUM(H45:H47)</f>
        <v>213844.68875</v>
      </c>
      <c r="I48" s="62"/>
      <c r="J48" s="63"/>
      <c r="K48" s="64"/>
      <c r="L48" s="54">
        <f>SUM(L45:L47)</f>
        <v>96350.3072285176</v>
      </c>
      <c r="M48" s="62"/>
      <c r="N48" s="44">
        <f t="shared" si="10"/>
        <v>-117494.3815214824</v>
      </c>
      <c r="O48" s="45">
        <f t="shared" si="11"/>
        <v>-0.5494379224860799</v>
      </c>
    </row>
    <row r="49" spans="2:15" ht="30">
      <c r="B49" s="65" t="s">
        <v>31</v>
      </c>
      <c r="C49" s="22"/>
      <c r="D49" s="23" t="s">
        <v>61</v>
      </c>
      <c r="E49" s="24"/>
      <c r="F49" s="66">
        <v>0.0044</v>
      </c>
      <c r="G49" s="58">
        <f>F16*(1+F72)</f>
        <v>13003900</v>
      </c>
      <c r="H49" s="67">
        <f aca="true" t="shared" si="12" ref="H49:H55">G49*F49</f>
        <v>57217.16</v>
      </c>
      <c r="I49" s="28"/>
      <c r="J49" s="68">
        <v>0.0044</v>
      </c>
      <c r="K49" s="59">
        <f>F16*(1+J72)</f>
        <v>13005850</v>
      </c>
      <c r="L49" s="67">
        <f aca="true" t="shared" si="13" ref="L49:L55">K49*J49</f>
        <v>57225.740000000005</v>
      </c>
      <c r="M49" s="28"/>
      <c r="N49" s="31">
        <f t="shared" si="10"/>
        <v>8.580000000001746</v>
      </c>
      <c r="O49" s="69">
        <f t="shared" si="11"/>
        <v>0.0001499550134959817</v>
      </c>
    </row>
    <row r="50" spans="2:15" ht="15">
      <c r="B50" s="65" t="s">
        <v>32</v>
      </c>
      <c r="C50" s="22"/>
      <c r="D50" s="23" t="s">
        <v>61</v>
      </c>
      <c r="E50" s="24"/>
      <c r="F50" s="66">
        <v>0.0012</v>
      </c>
      <c r="G50" s="58">
        <f>G49</f>
        <v>13003900</v>
      </c>
      <c r="H50" s="67">
        <f t="shared" si="12"/>
        <v>15604.679999999998</v>
      </c>
      <c r="I50" s="28"/>
      <c r="J50" s="68">
        <v>0.0012</v>
      </c>
      <c r="K50" s="59">
        <f>K49</f>
        <v>13005850</v>
      </c>
      <c r="L50" s="67">
        <f t="shared" si="13"/>
        <v>15607.019999999999</v>
      </c>
      <c r="M50" s="28"/>
      <c r="N50" s="31">
        <f t="shared" si="10"/>
        <v>2.3400000000001455</v>
      </c>
      <c r="O50" s="69">
        <f t="shared" si="11"/>
        <v>0.00014995501349596054</v>
      </c>
    </row>
    <row r="51" spans="2:15" ht="15">
      <c r="B51" s="22" t="s">
        <v>33</v>
      </c>
      <c r="C51" s="22"/>
      <c r="D51" s="23" t="s">
        <v>60</v>
      </c>
      <c r="E51" s="24"/>
      <c r="F51" s="177">
        <v>0.25</v>
      </c>
      <c r="G51" s="26">
        <v>1</v>
      </c>
      <c r="H51" s="67">
        <f t="shared" si="12"/>
        <v>0.25</v>
      </c>
      <c r="I51" s="28"/>
      <c r="J51" s="178">
        <v>0.25</v>
      </c>
      <c r="K51" s="30">
        <v>1</v>
      </c>
      <c r="L51" s="67">
        <f t="shared" si="13"/>
        <v>0.25</v>
      </c>
      <c r="M51" s="28"/>
      <c r="N51" s="31">
        <f t="shared" si="10"/>
        <v>0</v>
      </c>
      <c r="O51" s="69">
        <f t="shared" si="11"/>
        <v>0</v>
      </c>
    </row>
    <row r="52" spans="2:15" ht="15">
      <c r="B52" s="22" t="s">
        <v>34</v>
      </c>
      <c r="C52" s="22"/>
      <c r="D52" s="23" t="s">
        <v>61</v>
      </c>
      <c r="E52" s="24"/>
      <c r="F52" s="66">
        <v>0.007</v>
      </c>
      <c r="G52" s="70">
        <f>F16</f>
        <v>13000000</v>
      </c>
      <c r="H52" s="67">
        <f t="shared" si="12"/>
        <v>91000</v>
      </c>
      <c r="I52" s="28"/>
      <c r="J52" s="68">
        <f>0.007</f>
        <v>0.007</v>
      </c>
      <c r="K52" s="71">
        <f>F16</f>
        <v>13000000</v>
      </c>
      <c r="L52" s="67">
        <f t="shared" si="13"/>
        <v>91000</v>
      </c>
      <c r="M52" s="28"/>
      <c r="N52" s="31">
        <f t="shared" si="10"/>
        <v>0</v>
      </c>
      <c r="O52" s="69">
        <f t="shared" si="11"/>
        <v>0</v>
      </c>
    </row>
    <row r="53" spans="2:19" ht="15.75" thickBot="1">
      <c r="B53" s="49" t="s">
        <v>76</v>
      </c>
      <c r="C53" s="22"/>
      <c r="D53" s="23" t="s">
        <v>61</v>
      </c>
      <c r="E53" s="24"/>
      <c r="F53" s="66">
        <v>0.0799</v>
      </c>
      <c r="G53" s="70">
        <f>F16</f>
        <v>13000000</v>
      </c>
      <c r="H53" s="67">
        <f t="shared" si="12"/>
        <v>1038700</v>
      </c>
      <c r="I53" s="28"/>
      <c r="J53" s="66">
        <f>F53</f>
        <v>0.0799</v>
      </c>
      <c r="K53" s="70">
        <f>G53</f>
        <v>13000000</v>
      </c>
      <c r="L53" s="67">
        <f t="shared" si="13"/>
        <v>1038700</v>
      </c>
      <c r="M53" s="28"/>
      <c r="N53" s="31">
        <f t="shared" si="10"/>
        <v>0</v>
      </c>
      <c r="O53" s="69">
        <f t="shared" si="11"/>
        <v>0</v>
      </c>
      <c r="S53" s="73"/>
    </row>
    <row r="54" spans="2:19" ht="15" hidden="1">
      <c r="B54" s="49" t="s">
        <v>36</v>
      </c>
      <c r="C54" s="22"/>
      <c r="D54" s="23"/>
      <c r="E54" s="24"/>
      <c r="F54" s="72">
        <v>0.104</v>
      </c>
      <c r="G54" s="58">
        <v>0</v>
      </c>
      <c r="H54" s="67">
        <f t="shared" si="12"/>
        <v>0</v>
      </c>
      <c r="I54" s="28"/>
      <c r="J54" s="66">
        <v>0.104</v>
      </c>
      <c r="K54" s="58">
        <v>0</v>
      </c>
      <c r="L54" s="67">
        <f t="shared" si="13"/>
        <v>0</v>
      </c>
      <c r="M54" s="28"/>
      <c r="N54" s="31">
        <f t="shared" si="10"/>
        <v>0</v>
      </c>
      <c r="O54" s="69">
        <f t="shared" si="11"/>
      </c>
      <c r="S54" s="73"/>
    </row>
    <row r="55" spans="2:19" ht="15" hidden="1">
      <c r="B55" s="12" t="s">
        <v>37</v>
      </c>
      <c r="C55" s="22"/>
      <c r="D55" s="23"/>
      <c r="E55" s="24"/>
      <c r="F55" s="72">
        <v>0.124</v>
      </c>
      <c r="G55" s="58">
        <v>0</v>
      </c>
      <c r="H55" s="67">
        <f t="shared" si="12"/>
        <v>0</v>
      </c>
      <c r="I55" s="28"/>
      <c r="J55" s="66">
        <v>0.124</v>
      </c>
      <c r="K55" s="58">
        <v>0</v>
      </c>
      <c r="L55" s="67">
        <f t="shared" si="13"/>
        <v>0</v>
      </c>
      <c r="M55" s="28"/>
      <c r="N55" s="31">
        <f t="shared" si="10"/>
        <v>0</v>
      </c>
      <c r="O55" s="69">
        <f t="shared" si="11"/>
      </c>
      <c r="S55" s="73"/>
    </row>
    <row r="56" spans="2:15" s="74" customFormat="1" ht="15" hidden="1">
      <c r="B56" s="181" t="s">
        <v>38</v>
      </c>
      <c r="C56" s="76"/>
      <c r="D56" s="77"/>
      <c r="E56" s="78"/>
      <c r="F56" s="72">
        <v>0.075</v>
      </c>
      <c r="G56" s="79">
        <f>IF(AND($T$1=1,F16&gt;=600),600,IF(AND($T$1=1,AND(F16&lt;600,F16&gt;=0)),F16,IF(AND($T$1=2,F16&gt;=1000),1000,IF(AND($T$1=2,AND(F16&lt;1000,F16&gt;=0)),F16))))</f>
        <v>600</v>
      </c>
      <c r="H56" s="67">
        <f>G56*F56</f>
        <v>45</v>
      </c>
      <c r="I56" s="80"/>
      <c r="J56" s="66">
        <v>0.075</v>
      </c>
      <c r="K56" s="79">
        <f>G56</f>
        <v>600</v>
      </c>
      <c r="L56" s="67">
        <f>K56*J56</f>
        <v>45</v>
      </c>
      <c r="M56" s="80"/>
      <c r="N56" s="81">
        <f t="shared" si="10"/>
        <v>0</v>
      </c>
      <c r="O56" s="69">
        <f t="shared" si="11"/>
        <v>0</v>
      </c>
    </row>
    <row r="57" spans="2:15" s="74" customFormat="1" ht="15.75" hidden="1" thickBot="1">
      <c r="B57" s="181" t="s">
        <v>39</v>
      </c>
      <c r="C57" s="76"/>
      <c r="D57" s="77"/>
      <c r="E57" s="78"/>
      <c r="F57" s="72">
        <v>0.088</v>
      </c>
      <c r="G57" s="79">
        <f>IF(AND($T$1=1,F16&gt;=600),F16-600,IF(AND($T$1=1,AND(F16&lt;600,F16&gt;=0)),0,IF(AND($T$1=2,F16&gt;=1000),F16-1000,IF(AND($T$1=2,AND(F16&lt;1000,F16&gt;=0)),0))))</f>
        <v>12999400</v>
      </c>
      <c r="H57" s="67">
        <f>G57*F57</f>
        <v>1143947.2</v>
      </c>
      <c r="I57" s="80"/>
      <c r="J57" s="66">
        <v>0.088</v>
      </c>
      <c r="K57" s="79">
        <f>G57</f>
        <v>12999400</v>
      </c>
      <c r="L57" s="67">
        <f>K57*J57</f>
        <v>1143947.2</v>
      </c>
      <c r="M57" s="80"/>
      <c r="N57" s="81">
        <f t="shared" si="10"/>
        <v>0</v>
      </c>
      <c r="O57" s="69">
        <f t="shared" si="11"/>
        <v>0</v>
      </c>
    </row>
    <row r="58" spans="2:15" ht="8.25" customHeight="1" thickBot="1">
      <c r="B58" s="82"/>
      <c r="C58" s="83"/>
      <c r="D58" s="84"/>
      <c r="E58" s="83"/>
      <c r="F58" s="85"/>
      <c r="G58" s="86"/>
      <c r="H58" s="87"/>
      <c r="I58" s="88"/>
      <c r="J58" s="85"/>
      <c r="K58" s="89"/>
      <c r="L58" s="87"/>
      <c r="M58" s="88"/>
      <c r="N58" s="90"/>
      <c r="O58" s="91"/>
    </row>
    <row r="59" spans="2:19" ht="15" hidden="1">
      <c r="B59" s="92" t="s">
        <v>40</v>
      </c>
      <c r="C59" s="22"/>
      <c r="D59" s="22"/>
      <c r="E59" s="22"/>
      <c r="F59" s="93"/>
      <c r="G59" s="94"/>
      <c r="H59" s="95">
        <f>SUM(H49:H55,H48)</f>
        <v>1416366.77875</v>
      </c>
      <c r="I59" s="96"/>
      <c r="J59" s="97"/>
      <c r="K59" s="97"/>
      <c r="L59" s="95">
        <f>SUM(L49:L55,L48)</f>
        <v>1298883.3172285175</v>
      </c>
      <c r="M59" s="98"/>
      <c r="N59" s="99">
        <f>L59-H59</f>
        <v>-117483.46152148256</v>
      </c>
      <c r="O59" s="100">
        <f>IF((H59)=0,"",(N59/H59))</f>
        <v>-0.08294706094784741</v>
      </c>
      <c r="S59" s="73"/>
    </row>
    <row r="60" spans="2:19" ht="15" hidden="1">
      <c r="B60" s="101" t="s">
        <v>41</v>
      </c>
      <c r="C60" s="22"/>
      <c r="D60" s="22"/>
      <c r="E60" s="22"/>
      <c r="F60" s="102">
        <v>0.13</v>
      </c>
      <c r="G60" s="103"/>
      <c r="H60" s="104">
        <f>H59*F60</f>
        <v>184127.68123750002</v>
      </c>
      <c r="I60" s="105"/>
      <c r="J60" s="106">
        <v>0.13</v>
      </c>
      <c r="K60" s="105"/>
      <c r="L60" s="107">
        <f>L59*J60</f>
        <v>168854.83123970727</v>
      </c>
      <c r="M60" s="108"/>
      <c r="N60" s="109">
        <f t="shared" si="10"/>
        <v>-15272.849997792742</v>
      </c>
      <c r="O60" s="110">
        <f t="shared" si="11"/>
        <v>-0.08294706094784746</v>
      </c>
      <c r="S60" s="73"/>
    </row>
    <row r="61" spans="2:19" ht="15" hidden="1">
      <c r="B61" s="111" t="s">
        <v>42</v>
      </c>
      <c r="C61" s="22"/>
      <c r="D61" s="22"/>
      <c r="E61" s="22"/>
      <c r="F61" s="112"/>
      <c r="G61" s="103"/>
      <c r="H61" s="104">
        <f>H59+H60</f>
        <v>1600494.4599875</v>
      </c>
      <c r="I61" s="105"/>
      <c r="J61" s="105"/>
      <c r="K61" s="105"/>
      <c r="L61" s="107">
        <f>L59+L60</f>
        <v>1467738.1484682248</v>
      </c>
      <c r="M61" s="108"/>
      <c r="N61" s="109">
        <f t="shared" si="10"/>
        <v>-132756.3115192752</v>
      </c>
      <c r="O61" s="110">
        <f t="shared" si="11"/>
        <v>-0.08294706094784735</v>
      </c>
      <c r="S61" s="73"/>
    </row>
    <row r="62" spans="2:15" ht="15.75" customHeight="1" hidden="1">
      <c r="B62" s="251" t="s">
        <v>43</v>
      </c>
      <c r="C62" s="251"/>
      <c r="D62" s="251"/>
      <c r="E62" s="22"/>
      <c r="F62" s="112"/>
      <c r="G62" s="103"/>
      <c r="H62" s="113">
        <f>ROUND(-H61*10%,2)</f>
        <v>-160049.45</v>
      </c>
      <c r="I62" s="105"/>
      <c r="J62" s="105"/>
      <c r="K62" s="105"/>
      <c r="L62" s="114">
        <f>ROUND(-L61*10%,2)</f>
        <v>-146773.81</v>
      </c>
      <c r="M62" s="108"/>
      <c r="N62" s="115">
        <f t="shared" si="10"/>
        <v>13275.640000000014</v>
      </c>
      <c r="O62" s="116">
        <f t="shared" si="11"/>
        <v>-0.08294711415753077</v>
      </c>
    </row>
    <row r="63" spans="2:15" ht="15" hidden="1">
      <c r="B63" s="233" t="s">
        <v>44</v>
      </c>
      <c r="C63" s="233"/>
      <c r="D63" s="233"/>
      <c r="E63" s="117"/>
      <c r="F63" s="118"/>
      <c r="G63" s="119"/>
      <c r="H63" s="120">
        <f>H61+H62</f>
        <v>1440445.0099875</v>
      </c>
      <c r="I63" s="121"/>
      <c r="J63" s="121"/>
      <c r="K63" s="121"/>
      <c r="L63" s="122">
        <f>L61+L62</f>
        <v>1320964.3384682247</v>
      </c>
      <c r="M63" s="123"/>
      <c r="N63" s="124">
        <f t="shared" si="10"/>
        <v>-119480.67151927529</v>
      </c>
      <c r="O63" s="125">
        <f t="shared" si="11"/>
        <v>-0.08294705503566022</v>
      </c>
    </row>
    <row r="64" spans="2:15" s="74" customFormat="1" ht="8.25" customHeight="1" hidden="1">
      <c r="B64" s="126"/>
      <c r="C64" s="127"/>
      <c r="D64" s="128"/>
      <c r="E64" s="127"/>
      <c r="F64" s="85"/>
      <c r="G64" s="129"/>
      <c r="H64" s="87"/>
      <c r="I64" s="130"/>
      <c r="J64" s="85"/>
      <c r="K64" s="131"/>
      <c r="L64" s="87"/>
      <c r="M64" s="130"/>
      <c r="N64" s="132"/>
      <c r="O64" s="91"/>
    </row>
    <row r="65" spans="2:15" s="74" customFormat="1" ht="12.75">
      <c r="B65" s="133" t="s">
        <v>45</v>
      </c>
      <c r="C65" s="76"/>
      <c r="D65" s="76"/>
      <c r="E65" s="76"/>
      <c r="F65" s="134"/>
      <c r="G65" s="135"/>
      <c r="H65" s="136">
        <f>SUM(H53,H48,H49:H52)</f>
        <v>1416366.7787499998</v>
      </c>
      <c r="I65" s="137"/>
      <c r="J65" s="138"/>
      <c r="K65" s="138"/>
      <c r="L65" s="190">
        <f>SUM(L53,L48,L49:L52)</f>
        <v>1298883.3172285177</v>
      </c>
      <c r="M65" s="139"/>
      <c r="N65" s="140">
        <f>L65-H65</f>
        <v>-117483.4615214821</v>
      </c>
      <c r="O65" s="100">
        <f>IF((H65)=0,"",(N65/H65))</f>
        <v>-0.0829470609478471</v>
      </c>
    </row>
    <row r="66" spans="2:15" s="74" customFormat="1" ht="12.75">
      <c r="B66" s="141" t="s">
        <v>41</v>
      </c>
      <c r="C66" s="76"/>
      <c r="D66" s="76"/>
      <c r="E66" s="76"/>
      <c r="F66" s="142">
        <v>0.13</v>
      </c>
      <c r="G66" s="135"/>
      <c r="H66" s="143">
        <f>H65*F66</f>
        <v>184127.6812375</v>
      </c>
      <c r="I66" s="144"/>
      <c r="J66" s="145">
        <v>0.13</v>
      </c>
      <c r="K66" s="146"/>
      <c r="L66" s="147">
        <f>L65*J66</f>
        <v>168854.8312397073</v>
      </c>
      <c r="M66" s="148"/>
      <c r="N66" s="149">
        <f>L66-H66</f>
        <v>-15272.849997792684</v>
      </c>
      <c r="O66" s="110">
        <f>IF((H66)=0,"",(N66/H66))</f>
        <v>-0.08294706094784715</v>
      </c>
    </row>
    <row r="67" spans="2:15" s="74" customFormat="1" ht="12.75">
      <c r="B67" s="150" t="s">
        <v>42</v>
      </c>
      <c r="C67" s="76"/>
      <c r="D67" s="76"/>
      <c r="E67" s="76"/>
      <c r="F67" s="151"/>
      <c r="G67" s="152"/>
      <c r="H67" s="143">
        <f>H65+H66</f>
        <v>1600494.4599874998</v>
      </c>
      <c r="I67" s="144"/>
      <c r="J67" s="144"/>
      <c r="K67" s="144"/>
      <c r="L67" s="147">
        <f>L65+L66</f>
        <v>1467738.148468225</v>
      </c>
      <c r="M67" s="148"/>
      <c r="N67" s="149">
        <f>L67-H67</f>
        <v>-132756.31151927472</v>
      </c>
      <c r="O67" s="110">
        <f>IF((H67)=0,"",(N67/H67))</f>
        <v>-0.08294706094784707</v>
      </c>
    </row>
    <row r="68" spans="2:15" s="74" customFormat="1" ht="15.75" customHeight="1">
      <c r="B68" s="239" t="s">
        <v>43</v>
      </c>
      <c r="C68" s="239"/>
      <c r="D68" s="239"/>
      <c r="E68" s="76"/>
      <c r="F68" s="151"/>
      <c r="G68" s="152"/>
      <c r="H68" s="153">
        <f>ROUND(-H67*10%,2)</f>
        <v>-160049.45</v>
      </c>
      <c r="I68" s="144"/>
      <c r="J68" s="144"/>
      <c r="K68" s="144"/>
      <c r="L68" s="154">
        <f>ROUND(-L67*10%,2)</f>
        <v>-146773.81</v>
      </c>
      <c r="M68" s="148"/>
      <c r="N68" s="155">
        <f>L68-H68</f>
        <v>13275.640000000014</v>
      </c>
      <c r="O68" s="116">
        <f>IF((H68)=0,"",(N68/H68))</f>
        <v>-0.08294711415753077</v>
      </c>
    </row>
    <row r="69" spans="2:15" s="74" customFormat="1" ht="13.5" thickBot="1">
      <c r="B69" s="244" t="s">
        <v>46</v>
      </c>
      <c r="C69" s="244"/>
      <c r="D69" s="244"/>
      <c r="E69" s="156"/>
      <c r="F69" s="157"/>
      <c r="G69" s="158"/>
      <c r="H69" s="159">
        <f>SUM(H67:H68)</f>
        <v>1440445.0099874998</v>
      </c>
      <c r="I69" s="160"/>
      <c r="J69" s="160"/>
      <c r="K69" s="160"/>
      <c r="L69" s="161">
        <f>SUM(L67:L68)</f>
        <v>1320964.338468225</v>
      </c>
      <c r="M69" s="162"/>
      <c r="N69" s="163">
        <f>L69-H69</f>
        <v>-119480.67151927482</v>
      </c>
      <c r="O69" s="164">
        <f>IF((H69)=0,"",(N69/H69))</f>
        <v>-0.0829470550356599</v>
      </c>
    </row>
    <row r="70" spans="2:15" s="74" customFormat="1" ht="8.25" customHeight="1" thickBot="1">
      <c r="B70" s="126"/>
      <c r="C70" s="127"/>
      <c r="D70" s="128"/>
      <c r="E70" s="127"/>
      <c r="F70" s="165"/>
      <c r="G70" s="166"/>
      <c r="H70" s="167"/>
      <c r="I70" s="168"/>
      <c r="J70" s="165"/>
      <c r="K70" s="129"/>
      <c r="L70" s="169"/>
      <c r="M70" s="130"/>
      <c r="N70" s="170"/>
      <c r="O70" s="91"/>
    </row>
    <row r="71" ht="10.5" customHeight="1">
      <c r="L71" s="73"/>
    </row>
    <row r="72" spans="2:10" ht="15">
      <c r="B72" s="13" t="s">
        <v>47</v>
      </c>
      <c r="F72" s="171">
        <v>0.0003</v>
      </c>
      <c r="J72" s="199">
        <v>0.00045</v>
      </c>
    </row>
    <row r="73" ht="10.5" customHeight="1"/>
    <row r="74" ht="15">
      <c r="A74" s="172" t="s">
        <v>48</v>
      </c>
    </row>
    <row r="75" ht="10.5" customHeight="1"/>
    <row r="76" ht="15">
      <c r="A76" s="7" t="s">
        <v>49</v>
      </c>
    </row>
    <row r="77" ht="15">
      <c r="A77" s="7" t="s">
        <v>50</v>
      </c>
    </row>
    <row r="79" ht="15">
      <c r="A79" s="12" t="s">
        <v>51</v>
      </c>
    </row>
    <row r="80" ht="15">
      <c r="A80" s="12" t="s">
        <v>52</v>
      </c>
    </row>
    <row r="82" ht="15">
      <c r="A82" s="7" t="s">
        <v>53</v>
      </c>
    </row>
    <row r="83" ht="15">
      <c r="A83" s="7" t="s">
        <v>54</v>
      </c>
    </row>
    <row r="84" ht="15">
      <c r="A84" s="7" t="s">
        <v>55</v>
      </c>
    </row>
    <row r="85" ht="15">
      <c r="A85" s="7" t="s">
        <v>56</v>
      </c>
    </row>
    <row r="86" ht="15">
      <c r="A86" s="7" t="s">
        <v>57</v>
      </c>
    </row>
    <row r="88" spans="1:2" ht="15">
      <c r="A88" s="173"/>
      <c r="B88" s="7" t="s">
        <v>58</v>
      </c>
    </row>
  </sheetData>
  <sheetProtection/>
  <mergeCells count="17">
    <mergeCell ref="N1:O1"/>
    <mergeCell ref="N2:O2"/>
    <mergeCell ref="N3:O3"/>
    <mergeCell ref="N5:O5"/>
    <mergeCell ref="B69:D69"/>
    <mergeCell ref="D19:D20"/>
    <mergeCell ref="N19:N20"/>
    <mergeCell ref="O19:O20"/>
    <mergeCell ref="B62:D62"/>
    <mergeCell ref="B63:D63"/>
    <mergeCell ref="B68:D68"/>
    <mergeCell ref="B8:O8"/>
    <mergeCell ref="B9:O9"/>
    <mergeCell ref="D12:O12"/>
    <mergeCell ref="F18:H18"/>
    <mergeCell ref="J18:L18"/>
    <mergeCell ref="N18:O18"/>
  </mergeCells>
  <dataValidations count="4">
    <dataValidation type="list" allowBlank="1" showInputMessage="1" showErrorMessage="1" sqref="E46:E47 E38:E44 E21:E36 E49:E55 E58">
      <formula1>'LU (25,000kW)'!#REF!</formula1>
    </dataValidation>
    <dataValidation type="list" allowBlank="1" showInputMessage="1" showErrorMessage="1" prompt="Select Charge Unit - monthly, per kWh, per kW" sqref="D46:D47 D38:D44 D64 D21:D36 D70 D49:D58">
      <formula1>"Monthly, per kWh, per kW"</formula1>
    </dataValidation>
    <dataValidation type="list" allowBlank="1" showInputMessage="1" showErrorMessage="1" sqref="E70 E64 E56:E57">
      <formula1>'LU (25,000kW)'!#REF!</formula1>
    </dataValidation>
    <dataValidation type="list" allowBlank="1" showInputMessage="1" showErrorMessage="1" sqref="D14">
      <formula1>"TOU, non-TOU"</formula1>
    </dataValidation>
  </dataValidations>
  <printOptions/>
  <pageMargins left="0.7" right="0.7" top="0.75" bottom="0.75" header="0.3" footer="0.3"/>
  <pageSetup fitToHeight="0" fitToWidth="1" horizontalDpi="600" verticalDpi="600" orientation="portrait" scale="56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88"/>
  <sheetViews>
    <sheetView showGridLines="0" zoomScalePageLayoutView="0" workbookViewId="0" topLeftCell="A1">
      <selection activeCell="L5" sqref="L5:O5"/>
    </sheetView>
  </sheetViews>
  <sheetFormatPr defaultColWidth="9.140625" defaultRowHeight="15"/>
  <cols>
    <col min="1" max="1" width="2.140625" style="7" customWidth="1"/>
    <col min="2" max="2" width="44.57421875" style="7" customWidth="1"/>
    <col min="3" max="3" width="1.28515625" style="7" customWidth="1"/>
    <col min="4" max="4" width="11.28125" style="7" customWidth="1"/>
    <col min="5" max="5" width="1.28515625" style="7" customWidth="1"/>
    <col min="6" max="6" width="12.28125" style="7" customWidth="1"/>
    <col min="7" max="7" width="9.00390625" style="7" bestFit="1" customWidth="1"/>
    <col min="8" max="8" width="14.28125" style="7" bestFit="1" customWidth="1"/>
    <col min="9" max="9" width="2.8515625" style="7" customWidth="1"/>
    <col min="10" max="10" width="12.140625" style="7" customWidth="1"/>
    <col min="11" max="11" width="9.00390625" style="7" bestFit="1" customWidth="1"/>
    <col min="12" max="12" width="14.28125" style="7" bestFit="1" customWidth="1"/>
    <col min="13" max="13" width="2.8515625" style="7" customWidth="1"/>
    <col min="14" max="14" width="12.7109375" style="7" bestFit="1" customWidth="1"/>
    <col min="15" max="15" width="10.8515625" style="7" bestFit="1" customWidth="1"/>
    <col min="16" max="16" width="3.8515625" style="7" customWidth="1"/>
    <col min="17" max="20" width="9.140625" style="7" customWidth="1"/>
    <col min="21" max="16384" width="9.140625" style="7" customWidth="1"/>
  </cols>
  <sheetData>
    <row r="1" spans="1:20" s="2" customFormat="1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234" t="str">
        <f>EBNUMBER</f>
        <v>EB-2013-0116</v>
      </c>
      <c r="O1" s="234"/>
      <c r="P1"/>
      <c r="T1" s="2">
        <v>1</v>
      </c>
    </row>
    <row r="2" spans="1:16" s="2" customFormat="1" ht="1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110</v>
      </c>
      <c r="N2" s="235" t="s">
        <v>111</v>
      </c>
      <c r="O2" s="235"/>
      <c r="P2"/>
    </row>
    <row r="3" spans="3:16" s="2" customFormat="1" ht="15" customHeight="1">
      <c r="C3" s="6"/>
      <c r="D3" s="6"/>
      <c r="E3" s="6"/>
      <c r="L3" s="3" t="s">
        <v>78</v>
      </c>
      <c r="N3" s="236" t="s">
        <v>96</v>
      </c>
      <c r="O3" s="236"/>
      <c r="P3"/>
    </row>
    <row r="4" spans="12:16" s="2" customFormat="1" ht="9" customHeight="1">
      <c r="L4" s="3"/>
      <c r="N4" s="4"/>
      <c r="O4" s="192"/>
      <c r="P4"/>
    </row>
    <row r="5" spans="12:16" s="2" customFormat="1" ht="15">
      <c r="L5" s="3" t="s">
        <v>100</v>
      </c>
      <c r="N5" s="237">
        <v>41695</v>
      </c>
      <c r="O5" s="237"/>
      <c r="P5"/>
    </row>
    <row r="6" spans="14:16" s="2" customFormat="1" ht="15" customHeight="1">
      <c r="N6" s="7"/>
      <c r="O6"/>
      <c r="P6"/>
    </row>
    <row r="7" spans="12:16" ht="7.5" customHeight="1">
      <c r="L7"/>
      <c r="M7"/>
      <c r="N7"/>
      <c r="O7"/>
      <c r="P7"/>
    </row>
    <row r="8" spans="2:16" ht="18.75" customHeight="1">
      <c r="B8" s="238" t="s">
        <v>1</v>
      </c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/>
    </row>
    <row r="9" spans="2:16" ht="18.75" customHeight="1">
      <c r="B9" s="238" t="s">
        <v>2</v>
      </c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/>
    </row>
    <row r="10" spans="12:16" ht="7.5" customHeight="1">
      <c r="L10"/>
      <c r="M10"/>
      <c r="N10"/>
      <c r="O10"/>
      <c r="P10"/>
    </row>
    <row r="11" spans="12:16" ht="7.5" customHeight="1">
      <c r="L11"/>
      <c r="M11"/>
      <c r="N11"/>
      <c r="O11"/>
      <c r="P11"/>
    </row>
    <row r="12" spans="2:15" ht="15.75">
      <c r="B12" s="8" t="s">
        <v>3</v>
      </c>
      <c r="D12" s="240" t="s">
        <v>74</v>
      </c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</row>
    <row r="13" spans="2:15" ht="7.5" customHeight="1">
      <c r="B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2:15" ht="15.75">
      <c r="B14" s="8" t="s">
        <v>4</v>
      </c>
      <c r="D14" s="11" t="s">
        <v>68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2:15" ht="15.75">
      <c r="B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2:9" ht="15">
      <c r="B16" s="12"/>
      <c r="D16" s="13" t="s">
        <v>6</v>
      </c>
      <c r="E16" s="13"/>
      <c r="F16" s="14">
        <v>150</v>
      </c>
      <c r="G16" s="13" t="s">
        <v>7</v>
      </c>
      <c r="H16" s="14">
        <v>1</v>
      </c>
      <c r="I16" s="13" t="s">
        <v>70</v>
      </c>
    </row>
    <row r="17" ht="15">
      <c r="B17" s="12"/>
    </row>
    <row r="18" spans="2:15" ht="15">
      <c r="B18" s="12"/>
      <c r="D18" s="15"/>
      <c r="E18" s="15"/>
      <c r="F18" s="241" t="s">
        <v>8</v>
      </c>
      <c r="G18" s="242"/>
      <c r="H18" s="243"/>
      <c r="J18" s="241" t="s">
        <v>9</v>
      </c>
      <c r="K18" s="242"/>
      <c r="L18" s="243"/>
      <c r="N18" s="241" t="s">
        <v>10</v>
      </c>
      <c r="O18" s="243"/>
    </row>
    <row r="19" spans="2:15" ht="15">
      <c r="B19" s="12"/>
      <c r="D19" s="245" t="s">
        <v>11</v>
      </c>
      <c r="E19" s="16"/>
      <c r="F19" s="17" t="s">
        <v>12</v>
      </c>
      <c r="G19" s="17" t="s">
        <v>13</v>
      </c>
      <c r="H19" s="18" t="s">
        <v>14</v>
      </c>
      <c r="J19" s="17" t="s">
        <v>12</v>
      </c>
      <c r="K19" s="19" t="s">
        <v>13</v>
      </c>
      <c r="L19" s="18" t="s">
        <v>14</v>
      </c>
      <c r="N19" s="247" t="s">
        <v>15</v>
      </c>
      <c r="O19" s="249" t="s">
        <v>16</v>
      </c>
    </row>
    <row r="20" spans="2:15" ht="15">
      <c r="B20" s="12"/>
      <c r="D20" s="246"/>
      <c r="E20" s="16"/>
      <c r="F20" s="20" t="s">
        <v>17</v>
      </c>
      <c r="G20" s="20"/>
      <c r="H20" s="21" t="s">
        <v>17</v>
      </c>
      <c r="J20" s="20" t="s">
        <v>17</v>
      </c>
      <c r="K20" s="21"/>
      <c r="L20" s="21" t="s">
        <v>17</v>
      </c>
      <c r="N20" s="248"/>
      <c r="O20" s="250"/>
    </row>
    <row r="21" spans="2:15" ht="22.5" customHeight="1">
      <c r="B21" s="22" t="s">
        <v>18</v>
      </c>
      <c r="C21" s="22"/>
      <c r="D21" s="23" t="s">
        <v>60</v>
      </c>
      <c r="E21" s="24"/>
      <c r="F21" s="175">
        <f>'[2]2013 Existing Rates'!$B$11</f>
        <v>2.04</v>
      </c>
      <c r="G21" s="26">
        <v>1</v>
      </c>
      <c r="H21" s="27">
        <f>G21*F21</f>
        <v>2.04</v>
      </c>
      <c r="I21" s="28"/>
      <c r="J21" s="174">
        <f>'[3]Rate Schedule '!$E$52</f>
        <v>2.5941</v>
      </c>
      <c r="K21" s="30">
        <v>1</v>
      </c>
      <c r="L21" s="27">
        <f>K21*J21</f>
        <v>2.5941</v>
      </c>
      <c r="M21" s="28"/>
      <c r="N21" s="31">
        <f>L21-H21</f>
        <v>0.5541</v>
      </c>
      <c r="O21" s="32">
        <f>IF((H21)=0,"",(N21/H21))</f>
        <v>0.2716176470588235</v>
      </c>
    </row>
    <row r="22" spans="2:15" ht="36.75" customHeight="1">
      <c r="B22" s="65" t="s">
        <v>62</v>
      </c>
      <c r="C22" s="22"/>
      <c r="D22" s="56" t="s">
        <v>60</v>
      </c>
      <c r="E22" s="24"/>
      <c r="F22" s="174"/>
      <c r="G22" s="26">
        <v>1</v>
      </c>
      <c r="H22" s="27">
        <f aca="true" t="shared" si="0" ref="H22:H36">G22*F22</f>
        <v>0</v>
      </c>
      <c r="I22" s="28"/>
      <c r="J22" s="29"/>
      <c r="K22" s="30">
        <v>1</v>
      </c>
      <c r="L22" s="27">
        <f>K22*J22</f>
        <v>0</v>
      </c>
      <c r="M22" s="28"/>
      <c r="N22" s="31">
        <f>L22-H22</f>
        <v>0</v>
      </c>
      <c r="O22" s="32">
        <f>IF((H22)=0,"",(N22/H22))</f>
      </c>
    </row>
    <row r="23" spans="2:15" ht="15" hidden="1">
      <c r="B23" s="176"/>
      <c r="C23" s="22"/>
      <c r="D23" s="56" t="s">
        <v>60</v>
      </c>
      <c r="E23" s="57"/>
      <c r="F23" s="174"/>
      <c r="G23" s="26">
        <v>1</v>
      </c>
      <c r="H23" s="27">
        <f t="shared" si="0"/>
        <v>0</v>
      </c>
      <c r="I23" s="28"/>
      <c r="J23" s="29"/>
      <c r="K23" s="30">
        <v>1</v>
      </c>
      <c r="L23" s="27">
        <f aca="true" t="shared" si="1" ref="L23:L36">K23*J23</f>
        <v>0</v>
      </c>
      <c r="M23" s="28"/>
      <c r="N23" s="31">
        <f aca="true" t="shared" si="2" ref="N23:N37">L23-H23</f>
        <v>0</v>
      </c>
      <c r="O23" s="32">
        <f aca="true" t="shared" si="3" ref="O23:O37">IF((H23)=0,"",(N23/H23))</f>
      </c>
    </row>
    <row r="24" spans="2:15" ht="15" hidden="1">
      <c r="B24" s="176"/>
      <c r="C24" s="22"/>
      <c r="D24" s="56" t="s">
        <v>60</v>
      </c>
      <c r="E24" s="24"/>
      <c r="F24" s="25"/>
      <c r="G24" s="26">
        <v>1</v>
      </c>
      <c r="H24" s="27">
        <f t="shared" si="0"/>
        <v>0</v>
      </c>
      <c r="I24" s="28"/>
      <c r="J24" s="174"/>
      <c r="K24" s="30">
        <v>1</v>
      </c>
      <c r="L24" s="27">
        <f t="shared" si="1"/>
        <v>0</v>
      </c>
      <c r="M24" s="28"/>
      <c r="N24" s="31">
        <f t="shared" si="2"/>
        <v>0</v>
      </c>
      <c r="O24" s="32">
        <f t="shared" si="3"/>
      </c>
    </row>
    <row r="25" spans="2:15" ht="15">
      <c r="B25" s="46" t="s">
        <v>65</v>
      </c>
      <c r="C25" s="22"/>
      <c r="D25" s="23" t="s">
        <v>71</v>
      </c>
      <c r="E25" s="24"/>
      <c r="F25" s="25">
        <v>-0.1105</v>
      </c>
      <c r="G25" s="180">
        <f>$H$16</f>
        <v>1</v>
      </c>
      <c r="H25" s="27">
        <f t="shared" si="0"/>
        <v>-0.1105</v>
      </c>
      <c r="I25" s="28"/>
      <c r="J25" s="29"/>
      <c r="K25" s="180">
        <f>$H$16</f>
        <v>1</v>
      </c>
      <c r="L25" s="27">
        <f t="shared" si="1"/>
        <v>0</v>
      </c>
      <c r="M25" s="28"/>
      <c r="N25" s="31">
        <f t="shared" si="2"/>
        <v>0.1105</v>
      </c>
      <c r="O25" s="32">
        <f t="shared" si="3"/>
        <v>-1</v>
      </c>
    </row>
    <row r="26" spans="2:15" ht="15">
      <c r="B26" s="46" t="s">
        <v>66</v>
      </c>
      <c r="C26" s="22"/>
      <c r="D26" s="23" t="s">
        <v>71</v>
      </c>
      <c r="E26" s="24"/>
      <c r="F26" s="25"/>
      <c r="G26" s="180">
        <f>$H$16</f>
        <v>1</v>
      </c>
      <c r="H26" s="27">
        <f t="shared" si="0"/>
        <v>0</v>
      </c>
      <c r="I26" s="28"/>
      <c r="J26" s="29">
        <f>'[4]6. Rate Rider Calculations'!$F$80</f>
        <v>-0.9396329748884613</v>
      </c>
      <c r="K26" s="180">
        <f>$H$16</f>
        <v>1</v>
      </c>
      <c r="L26" s="27">
        <f t="shared" si="1"/>
        <v>-0.9396329748884613</v>
      </c>
      <c r="M26" s="28"/>
      <c r="N26" s="31">
        <f t="shared" si="2"/>
        <v>-0.9396329748884613</v>
      </c>
      <c r="O26" s="32">
        <f t="shared" si="3"/>
      </c>
    </row>
    <row r="27" spans="2:15" ht="15">
      <c r="B27" s="22" t="s">
        <v>19</v>
      </c>
      <c r="C27" s="22"/>
      <c r="D27" s="23" t="s">
        <v>71</v>
      </c>
      <c r="E27" s="24"/>
      <c r="F27" s="25">
        <f>'[2]2013 Existing Rates'!$D$11</f>
        <v>13.011</v>
      </c>
      <c r="G27" s="180">
        <f>$H$16</f>
        <v>1</v>
      </c>
      <c r="H27" s="27">
        <f t="shared" si="0"/>
        <v>13.011</v>
      </c>
      <c r="I27" s="28"/>
      <c r="J27" s="29">
        <f>'[3]Rate Schedule '!$E$53</f>
        <v>16.5449</v>
      </c>
      <c r="K27" s="180">
        <f>$H$16</f>
        <v>1</v>
      </c>
      <c r="L27" s="27">
        <f t="shared" si="1"/>
        <v>16.5449</v>
      </c>
      <c r="M27" s="28"/>
      <c r="N27" s="31">
        <f t="shared" si="2"/>
        <v>3.533899999999999</v>
      </c>
      <c r="O27" s="32">
        <f t="shared" si="3"/>
        <v>0.271608638844055</v>
      </c>
    </row>
    <row r="28" spans="2:15" ht="15" hidden="1">
      <c r="B28" s="22" t="s">
        <v>20</v>
      </c>
      <c r="C28" s="22"/>
      <c r="D28" s="23"/>
      <c r="E28" s="24"/>
      <c r="F28" s="25"/>
      <c r="G28" s="26">
        <f>$F$16</f>
        <v>150</v>
      </c>
      <c r="H28" s="27">
        <f t="shared" si="0"/>
        <v>0</v>
      </c>
      <c r="I28" s="28"/>
      <c r="J28" s="29"/>
      <c r="K28" s="26">
        <f aca="true" t="shared" si="4" ref="K28:K36">$F$16</f>
        <v>150</v>
      </c>
      <c r="L28" s="27">
        <f t="shared" si="1"/>
        <v>0</v>
      </c>
      <c r="M28" s="28"/>
      <c r="N28" s="31">
        <f t="shared" si="2"/>
        <v>0</v>
      </c>
      <c r="O28" s="32">
        <f t="shared" si="3"/>
      </c>
    </row>
    <row r="29" spans="2:15" ht="15" hidden="1">
      <c r="B29" s="22" t="s">
        <v>21</v>
      </c>
      <c r="C29" s="22"/>
      <c r="D29" s="23"/>
      <c r="E29" s="24"/>
      <c r="F29" s="25"/>
      <c r="G29" s="26">
        <f>$F$16</f>
        <v>150</v>
      </c>
      <c r="H29" s="27">
        <f t="shared" si="0"/>
        <v>0</v>
      </c>
      <c r="I29" s="28"/>
      <c r="J29" s="29"/>
      <c r="K29" s="26">
        <f t="shared" si="4"/>
        <v>150</v>
      </c>
      <c r="L29" s="27">
        <f t="shared" si="1"/>
        <v>0</v>
      </c>
      <c r="M29" s="28"/>
      <c r="N29" s="31">
        <f t="shared" si="2"/>
        <v>0</v>
      </c>
      <c r="O29" s="32">
        <f t="shared" si="3"/>
      </c>
    </row>
    <row r="30" spans="2:15" ht="15" hidden="1">
      <c r="B30" s="33"/>
      <c r="C30" s="22"/>
      <c r="D30" s="23"/>
      <c r="E30" s="24"/>
      <c r="F30" s="25"/>
      <c r="G30" s="26">
        <f aca="true" t="shared" si="5" ref="G30:G36">$F$16</f>
        <v>150</v>
      </c>
      <c r="H30" s="27">
        <f t="shared" si="0"/>
        <v>0</v>
      </c>
      <c r="I30" s="28"/>
      <c r="J30" s="29"/>
      <c r="K30" s="26">
        <f t="shared" si="4"/>
        <v>150</v>
      </c>
      <c r="L30" s="27">
        <f t="shared" si="1"/>
        <v>0</v>
      </c>
      <c r="M30" s="28"/>
      <c r="N30" s="31">
        <f t="shared" si="2"/>
        <v>0</v>
      </c>
      <c r="O30" s="32">
        <f t="shared" si="3"/>
      </c>
    </row>
    <row r="31" spans="2:15" ht="15" hidden="1">
      <c r="B31" s="33"/>
      <c r="C31" s="22"/>
      <c r="D31" s="23"/>
      <c r="E31" s="24"/>
      <c r="F31" s="25"/>
      <c r="G31" s="26">
        <f t="shared" si="5"/>
        <v>150</v>
      </c>
      <c r="H31" s="27">
        <f t="shared" si="0"/>
        <v>0</v>
      </c>
      <c r="I31" s="28"/>
      <c r="J31" s="29"/>
      <c r="K31" s="26">
        <f t="shared" si="4"/>
        <v>150</v>
      </c>
      <c r="L31" s="27">
        <f t="shared" si="1"/>
        <v>0</v>
      </c>
      <c r="M31" s="28"/>
      <c r="N31" s="31">
        <f t="shared" si="2"/>
        <v>0</v>
      </c>
      <c r="O31" s="32">
        <f t="shared" si="3"/>
      </c>
    </row>
    <row r="32" spans="2:15" ht="15" hidden="1">
      <c r="B32" s="33"/>
      <c r="C32" s="22"/>
      <c r="D32" s="23"/>
      <c r="E32" s="24"/>
      <c r="F32" s="25"/>
      <c r="G32" s="26">
        <f t="shared" si="5"/>
        <v>150</v>
      </c>
      <c r="H32" s="27">
        <f t="shared" si="0"/>
        <v>0</v>
      </c>
      <c r="I32" s="28"/>
      <c r="J32" s="29"/>
      <c r="K32" s="26">
        <f t="shared" si="4"/>
        <v>150</v>
      </c>
      <c r="L32" s="27">
        <f t="shared" si="1"/>
        <v>0</v>
      </c>
      <c r="M32" s="28"/>
      <c r="N32" s="31">
        <f t="shared" si="2"/>
        <v>0</v>
      </c>
      <c r="O32" s="32">
        <f t="shared" si="3"/>
      </c>
    </row>
    <row r="33" spans="2:15" ht="15" hidden="1">
      <c r="B33" s="33"/>
      <c r="C33" s="22"/>
      <c r="D33" s="23"/>
      <c r="E33" s="24"/>
      <c r="F33" s="25"/>
      <c r="G33" s="26">
        <f t="shared" si="5"/>
        <v>150</v>
      </c>
      <c r="H33" s="27">
        <f t="shared" si="0"/>
        <v>0</v>
      </c>
      <c r="I33" s="28"/>
      <c r="J33" s="29"/>
      <c r="K33" s="26">
        <f t="shared" si="4"/>
        <v>150</v>
      </c>
      <c r="L33" s="27">
        <f t="shared" si="1"/>
        <v>0</v>
      </c>
      <c r="M33" s="28"/>
      <c r="N33" s="31">
        <f t="shared" si="2"/>
        <v>0</v>
      </c>
      <c r="O33" s="32">
        <f t="shared" si="3"/>
      </c>
    </row>
    <row r="34" spans="2:15" ht="15" hidden="1">
      <c r="B34" s="33"/>
      <c r="C34" s="22"/>
      <c r="D34" s="23"/>
      <c r="E34" s="24"/>
      <c r="F34" s="25"/>
      <c r="G34" s="26">
        <f t="shared" si="5"/>
        <v>150</v>
      </c>
      <c r="H34" s="27">
        <f t="shared" si="0"/>
        <v>0</v>
      </c>
      <c r="I34" s="28"/>
      <c r="J34" s="29"/>
      <c r="K34" s="26">
        <f t="shared" si="4"/>
        <v>150</v>
      </c>
      <c r="L34" s="27">
        <f t="shared" si="1"/>
        <v>0</v>
      </c>
      <c r="M34" s="28"/>
      <c r="N34" s="31">
        <f t="shared" si="2"/>
        <v>0</v>
      </c>
      <c r="O34" s="32">
        <f t="shared" si="3"/>
      </c>
    </row>
    <row r="35" spans="2:15" ht="15" hidden="1">
      <c r="B35" s="33"/>
      <c r="C35" s="22"/>
      <c r="D35" s="23"/>
      <c r="E35" s="24"/>
      <c r="F35" s="25"/>
      <c r="G35" s="26">
        <f t="shared" si="5"/>
        <v>150</v>
      </c>
      <c r="H35" s="27">
        <f t="shared" si="0"/>
        <v>0</v>
      </c>
      <c r="I35" s="28"/>
      <c r="J35" s="29"/>
      <c r="K35" s="26">
        <f t="shared" si="4"/>
        <v>150</v>
      </c>
      <c r="L35" s="27">
        <f t="shared" si="1"/>
        <v>0</v>
      </c>
      <c r="M35" s="28"/>
      <c r="N35" s="31">
        <f t="shared" si="2"/>
        <v>0</v>
      </c>
      <c r="O35" s="32">
        <f t="shared" si="3"/>
      </c>
    </row>
    <row r="36" spans="2:15" ht="15" hidden="1">
      <c r="B36" s="33"/>
      <c r="C36" s="22"/>
      <c r="D36" s="23"/>
      <c r="E36" s="24"/>
      <c r="F36" s="25"/>
      <c r="G36" s="26">
        <f t="shared" si="5"/>
        <v>150</v>
      </c>
      <c r="H36" s="27">
        <f t="shared" si="0"/>
        <v>0</v>
      </c>
      <c r="I36" s="28"/>
      <c r="J36" s="29"/>
      <c r="K36" s="26">
        <f t="shared" si="4"/>
        <v>150</v>
      </c>
      <c r="L36" s="27">
        <f t="shared" si="1"/>
        <v>0</v>
      </c>
      <c r="M36" s="28"/>
      <c r="N36" s="31">
        <f t="shared" si="2"/>
        <v>0</v>
      </c>
      <c r="O36" s="32">
        <f t="shared" si="3"/>
      </c>
    </row>
    <row r="37" spans="2:15" s="34" customFormat="1" ht="15">
      <c r="B37" s="35" t="s">
        <v>22</v>
      </c>
      <c r="C37" s="36"/>
      <c r="D37" s="37"/>
      <c r="E37" s="36"/>
      <c r="F37" s="38"/>
      <c r="G37" s="39"/>
      <c r="H37" s="40">
        <f>SUM(H21:H36)</f>
        <v>14.9405</v>
      </c>
      <c r="I37" s="41"/>
      <c r="J37" s="42"/>
      <c r="K37" s="43"/>
      <c r="L37" s="40">
        <f>SUM(L21:L36)</f>
        <v>18.19936702511154</v>
      </c>
      <c r="M37" s="41"/>
      <c r="N37" s="44">
        <f t="shared" si="2"/>
        <v>3.258867025111538</v>
      </c>
      <c r="O37" s="45">
        <f t="shared" si="3"/>
        <v>0.2181230229986639</v>
      </c>
    </row>
    <row r="38" spans="2:15" ht="25.5">
      <c r="B38" s="46" t="s">
        <v>23</v>
      </c>
      <c r="C38" s="22"/>
      <c r="D38" s="56" t="s">
        <v>71</v>
      </c>
      <c r="E38" s="57"/>
      <c r="F38" s="29">
        <v>0.1229</v>
      </c>
      <c r="G38" s="180">
        <f>G27</f>
        <v>1</v>
      </c>
      <c r="H38" s="27">
        <f aca="true" t="shared" si="6" ref="H38:H44">G38*F38</f>
        <v>0.1229</v>
      </c>
      <c r="I38" s="28"/>
      <c r="J38" s="29">
        <f>'[4]6. Rate Rider Calculations'!$F$25</f>
        <v>0.11390569376356258</v>
      </c>
      <c r="K38" s="180">
        <f>H16</f>
        <v>1</v>
      </c>
      <c r="L38" s="27">
        <f aca="true" t="shared" si="7" ref="L38:L44">K38*J38</f>
        <v>0.11390569376356258</v>
      </c>
      <c r="M38" s="28"/>
      <c r="N38" s="31">
        <f aca="true" t="shared" si="8" ref="N38:N44">L38-H38</f>
        <v>-0.008994306236437419</v>
      </c>
      <c r="O38" s="32">
        <f aca="true" t="shared" si="9" ref="O38:O43">IF((H38)=0,"",(N38/H38))</f>
        <v>-0.07318394008492611</v>
      </c>
    </row>
    <row r="39" spans="2:15" ht="15" hidden="1">
      <c r="B39" s="46"/>
      <c r="C39" s="22"/>
      <c r="D39" s="23" t="s">
        <v>71</v>
      </c>
      <c r="E39" s="24"/>
      <c r="F39" s="25"/>
      <c r="G39" s="180">
        <f>H16</f>
        <v>1</v>
      </c>
      <c r="H39" s="27">
        <f t="shared" si="6"/>
        <v>0</v>
      </c>
      <c r="I39" s="47"/>
      <c r="J39" s="29"/>
      <c r="K39" s="180">
        <f>H16</f>
        <v>1</v>
      </c>
      <c r="L39" s="27">
        <f t="shared" si="7"/>
        <v>0</v>
      </c>
      <c r="M39" s="48"/>
      <c r="N39" s="31">
        <f t="shared" si="8"/>
        <v>0</v>
      </c>
      <c r="O39" s="32">
        <f t="shared" si="9"/>
      </c>
    </row>
    <row r="40" spans="2:15" ht="15" hidden="1">
      <c r="B40" s="46"/>
      <c r="C40" s="22"/>
      <c r="D40" s="23" t="s">
        <v>71</v>
      </c>
      <c r="E40" s="24"/>
      <c r="F40" s="25"/>
      <c r="G40" s="180">
        <f>H16</f>
        <v>1</v>
      </c>
      <c r="H40" s="27">
        <f t="shared" si="6"/>
        <v>0</v>
      </c>
      <c r="I40" s="47"/>
      <c r="J40" s="29"/>
      <c r="K40" s="180">
        <f>H16</f>
        <v>1</v>
      </c>
      <c r="L40" s="27">
        <f t="shared" si="7"/>
        <v>0</v>
      </c>
      <c r="M40" s="48"/>
      <c r="N40" s="31">
        <f t="shared" si="8"/>
        <v>0</v>
      </c>
      <c r="O40" s="32">
        <f t="shared" si="9"/>
      </c>
    </row>
    <row r="41" spans="2:15" ht="30" customHeight="1">
      <c r="B41" s="46" t="s">
        <v>77</v>
      </c>
      <c r="C41" s="22"/>
      <c r="D41" s="23" t="s">
        <v>71</v>
      </c>
      <c r="E41" s="24"/>
      <c r="F41" s="29">
        <v>1.2972</v>
      </c>
      <c r="G41" s="180">
        <f>H16</f>
        <v>1</v>
      </c>
      <c r="H41" s="27">
        <f t="shared" si="6"/>
        <v>1.2972</v>
      </c>
      <c r="I41" s="47"/>
      <c r="J41" s="29">
        <f>'[4]6. Rate Rider Calculations'!$F$52</f>
        <v>-1.4558500738531106</v>
      </c>
      <c r="K41" s="180">
        <f>H16</f>
        <v>1</v>
      </c>
      <c r="L41" s="27">
        <f t="shared" si="7"/>
        <v>-1.4558500738531106</v>
      </c>
      <c r="M41" s="48"/>
      <c r="N41" s="31">
        <f t="shared" si="8"/>
        <v>-2.7530500738531103</v>
      </c>
      <c r="O41" s="32">
        <f t="shared" si="9"/>
        <v>-2.1223019379071157</v>
      </c>
    </row>
    <row r="42" spans="2:15" ht="15">
      <c r="B42" s="49" t="s">
        <v>24</v>
      </c>
      <c r="C42" s="22"/>
      <c r="D42" s="23" t="s">
        <v>71</v>
      </c>
      <c r="E42" s="24"/>
      <c r="F42" s="25">
        <v>0.0146</v>
      </c>
      <c r="G42" s="180">
        <f>H16</f>
        <v>1</v>
      </c>
      <c r="H42" s="27">
        <f t="shared" si="6"/>
        <v>0.0146</v>
      </c>
      <c r="I42" s="28"/>
      <c r="J42" s="29">
        <f>'[3]Rate Schedule '!$E$54</f>
        <v>0.029</v>
      </c>
      <c r="K42" s="180">
        <f>H16</f>
        <v>1</v>
      </c>
      <c r="L42" s="27">
        <f t="shared" si="7"/>
        <v>0.029</v>
      </c>
      <c r="M42" s="28"/>
      <c r="N42" s="31">
        <f t="shared" si="8"/>
        <v>0.014400000000000001</v>
      </c>
      <c r="O42" s="32">
        <f t="shared" si="9"/>
        <v>0.9863013698630138</v>
      </c>
    </row>
    <row r="43" spans="2:15" s="34" customFormat="1" ht="15">
      <c r="B43" s="182" t="s">
        <v>25</v>
      </c>
      <c r="C43" s="24"/>
      <c r="D43" s="183" t="s">
        <v>61</v>
      </c>
      <c r="E43" s="24"/>
      <c r="F43" s="184">
        <f>IF(ISBLANK(D14)=TRUE,0,IF(D14="TOU",0.64*$F$53+0.18*$F$54+0.18*$F$55,IF(AND(D14="non-TOU",G57&gt;0),F57,F56)))</f>
        <v>0.075</v>
      </c>
      <c r="G43" s="26">
        <f>$F$16*(1+$F$72)-$F$16</f>
        <v>4.289999999999992</v>
      </c>
      <c r="H43" s="185">
        <f t="shared" si="6"/>
        <v>0.32174999999999937</v>
      </c>
      <c r="I43" s="57"/>
      <c r="J43" s="186">
        <f>IF(ISBLANK(D14)=TRUE,0,IF(D14="TOU",0.64*$F$53+0.18*$F$54+0.18*$F$55,IF(AND(D14="non-TOU",K57&gt;0),J57,J56)))</f>
        <v>0.075</v>
      </c>
      <c r="K43" s="26">
        <f>$F$16*(1+$J$72)-$F$16</f>
        <v>5.025000000000006</v>
      </c>
      <c r="L43" s="185">
        <f t="shared" si="7"/>
        <v>0.3768750000000004</v>
      </c>
      <c r="M43" s="57"/>
      <c r="N43" s="187">
        <f t="shared" si="8"/>
        <v>0.055125000000001034</v>
      </c>
      <c r="O43" s="188">
        <f t="shared" si="9"/>
        <v>0.17132867132867488</v>
      </c>
    </row>
    <row r="44" spans="2:15" ht="15">
      <c r="B44" s="49" t="s">
        <v>26</v>
      </c>
      <c r="C44" s="22"/>
      <c r="D44" s="23" t="s">
        <v>60</v>
      </c>
      <c r="E44" s="24"/>
      <c r="F44" s="179">
        <v>0.79</v>
      </c>
      <c r="G44" s="26">
        <v>0</v>
      </c>
      <c r="H44" s="27">
        <f t="shared" si="6"/>
        <v>0</v>
      </c>
      <c r="I44" s="28"/>
      <c r="J44" s="179">
        <v>0.79</v>
      </c>
      <c r="K44" s="26">
        <v>0</v>
      </c>
      <c r="L44" s="27">
        <f t="shared" si="7"/>
        <v>0</v>
      </c>
      <c r="M44" s="28"/>
      <c r="N44" s="31">
        <f t="shared" si="8"/>
        <v>0</v>
      </c>
      <c r="O44" s="32"/>
    </row>
    <row r="45" spans="2:15" ht="25.5">
      <c r="B45" s="50" t="s">
        <v>27</v>
      </c>
      <c r="C45" s="51"/>
      <c r="D45" s="51"/>
      <c r="E45" s="51"/>
      <c r="F45" s="52"/>
      <c r="G45" s="53"/>
      <c r="H45" s="54">
        <f>SUM(H38:H44)+H37</f>
        <v>16.69695</v>
      </c>
      <c r="I45" s="41"/>
      <c r="J45" s="53"/>
      <c r="K45" s="55"/>
      <c r="L45" s="54">
        <f>SUM(L38:L44)+L37</f>
        <v>17.26329764502199</v>
      </c>
      <c r="M45" s="41"/>
      <c r="N45" s="44">
        <f aca="true" t="shared" si="10" ref="N45:N63">L45-H45</f>
        <v>0.5663476450219882</v>
      </c>
      <c r="O45" s="45">
        <f aca="true" t="shared" si="11" ref="O45:O63">IF((H45)=0,"",(N45/H45))</f>
        <v>0.033919227465015356</v>
      </c>
    </row>
    <row r="46" spans="2:15" ht="15">
      <c r="B46" s="28" t="s">
        <v>28</v>
      </c>
      <c r="C46" s="28"/>
      <c r="D46" s="56" t="s">
        <v>71</v>
      </c>
      <c r="E46" s="57"/>
      <c r="F46" s="29">
        <v>1.7651</v>
      </c>
      <c r="G46" s="58">
        <f>H16*(1+F72)</f>
        <v>1.0286</v>
      </c>
      <c r="H46" s="27">
        <f>G46*F46</f>
        <v>1.8155818599999998</v>
      </c>
      <c r="I46" s="28"/>
      <c r="J46" s="29">
        <f>'[5]13. Final 2014 RTS Rates'!$F$32</f>
        <v>1.899729225580404</v>
      </c>
      <c r="K46" s="59">
        <f>H16*(1+J72)</f>
        <v>1.0335</v>
      </c>
      <c r="L46" s="27">
        <f>K46*J46</f>
        <v>1.9633701546373477</v>
      </c>
      <c r="M46" s="28"/>
      <c r="N46" s="31">
        <f t="shared" si="10"/>
        <v>0.14778829463734788</v>
      </c>
      <c r="O46" s="32">
        <f t="shared" si="11"/>
        <v>0.0813999621241798</v>
      </c>
    </row>
    <row r="47" spans="2:15" ht="30">
      <c r="B47" s="60" t="s">
        <v>29</v>
      </c>
      <c r="C47" s="28"/>
      <c r="D47" s="56" t="s">
        <v>71</v>
      </c>
      <c r="E47" s="57"/>
      <c r="F47" s="29">
        <v>1.0434</v>
      </c>
      <c r="G47" s="58">
        <f>G46</f>
        <v>1.0286</v>
      </c>
      <c r="H47" s="27">
        <f>G47*F47</f>
        <v>1.07324124</v>
      </c>
      <c r="I47" s="28"/>
      <c r="J47" s="29">
        <f>'[5]13. Final 2014 RTS Rates'!$H$32</f>
        <v>1.2030379584886777</v>
      </c>
      <c r="K47" s="59">
        <f>K46</f>
        <v>1.0335</v>
      </c>
      <c r="L47" s="27">
        <f>K47*J47</f>
        <v>1.2433397300980484</v>
      </c>
      <c r="M47" s="28"/>
      <c r="N47" s="31">
        <f t="shared" si="10"/>
        <v>0.17009849009804845</v>
      </c>
      <c r="O47" s="32">
        <f t="shared" si="11"/>
        <v>0.1584904528063499</v>
      </c>
    </row>
    <row r="48" spans="2:15" ht="25.5">
      <c r="B48" s="50" t="s">
        <v>30</v>
      </c>
      <c r="C48" s="36"/>
      <c r="D48" s="36"/>
      <c r="E48" s="36"/>
      <c r="F48" s="61"/>
      <c r="G48" s="53"/>
      <c r="H48" s="54">
        <f>SUM(H45:H47)</f>
        <v>19.5857731</v>
      </c>
      <c r="I48" s="62"/>
      <c r="J48" s="63"/>
      <c r="K48" s="64"/>
      <c r="L48" s="54">
        <f>SUM(L45:L47)</f>
        <v>20.47000752975739</v>
      </c>
      <c r="M48" s="62"/>
      <c r="N48" s="44">
        <f t="shared" si="10"/>
        <v>0.8842344297573881</v>
      </c>
      <c r="O48" s="45">
        <f t="shared" si="11"/>
        <v>0.045146771855402945</v>
      </c>
    </row>
    <row r="49" spans="2:15" ht="30">
      <c r="B49" s="65" t="s">
        <v>31</v>
      </c>
      <c r="C49" s="22"/>
      <c r="D49" s="23" t="s">
        <v>61</v>
      </c>
      <c r="E49" s="24"/>
      <c r="F49" s="66">
        <v>0.0044</v>
      </c>
      <c r="G49" s="58">
        <f>F16*(1+F72)</f>
        <v>154.29</v>
      </c>
      <c r="H49" s="67">
        <f aca="true" t="shared" si="12" ref="H49:H55">G49*F49</f>
        <v>0.678876</v>
      </c>
      <c r="I49" s="28"/>
      <c r="J49" s="68">
        <v>0.0044</v>
      </c>
      <c r="K49" s="59">
        <f>F16*(1+J72)</f>
        <v>155.025</v>
      </c>
      <c r="L49" s="67">
        <f aca="true" t="shared" si="13" ref="L49:L55">K49*J49</f>
        <v>0.6821100000000001</v>
      </c>
      <c r="M49" s="28"/>
      <c r="N49" s="31">
        <f t="shared" si="10"/>
        <v>0.00323400000000007</v>
      </c>
      <c r="O49" s="69">
        <f t="shared" si="11"/>
        <v>0.0047637565623178165</v>
      </c>
    </row>
    <row r="50" spans="2:15" ht="30">
      <c r="B50" s="65" t="s">
        <v>32</v>
      </c>
      <c r="C50" s="22"/>
      <c r="D50" s="23" t="s">
        <v>61</v>
      </c>
      <c r="E50" s="24"/>
      <c r="F50" s="66">
        <v>0.0012</v>
      </c>
      <c r="G50" s="58">
        <f>G49</f>
        <v>154.29</v>
      </c>
      <c r="H50" s="67">
        <f t="shared" si="12"/>
        <v>0.18514799999999998</v>
      </c>
      <c r="I50" s="28"/>
      <c r="J50" s="68">
        <v>0.0012</v>
      </c>
      <c r="K50" s="59">
        <f>K49</f>
        <v>155.025</v>
      </c>
      <c r="L50" s="67">
        <f t="shared" si="13"/>
        <v>0.18603</v>
      </c>
      <c r="M50" s="28"/>
      <c r="N50" s="31">
        <f t="shared" si="10"/>
        <v>0.0008820000000000217</v>
      </c>
      <c r="O50" s="69">
        <f t="shared" si="11"/>
        <v>0.004763756562317831</v>
      </c>
    </row>
    <row r="51" spans="2:15" ht="15">
      <c r="B51" s="22" t="s">
        <v>33</v>
      </c>
      <c r="C51" s="22"/>
      <c r="D51" s="23" t="s">
        <v>60</v>
      </c>
      <c r="E51" s="24"/>
      <c r="F51" s="177">
        <v>0.25</v>
      </c>
      <c r="G51" s="26">
        <v>1</v>
      </c>
      <c r="H51" s="67">
        <f t="shared" si="12"/>
        <v>0.25</v>
      </c>
      <c r="I51" s="28"/>
      <c r="J51" s="178">
        <v>0.25</v>
      </c>
      <c r="K51" s="30">
        <v>1</v>
      </c>
      <c r="L51" s="67">
        <f t="shared" si="13"/>
        <v>0.25</v>
      </c>
      <c r="M51" s="28"/>
      <c r="N51" s="31">
        <f t="shared" si="10"/>
        <v>0</v>
      </c>
      <c r="O51" s="69">
        <f t="shared" si="11"/>
        <v>0</v>
      </c>
    </row>
    <row r="52" spans="2:15" ht="15">
      <c r="B52" s="22" t="s">
        <v>34</v>
      </c>
      <c r="C52" s="22"/>
      <c r="D52" s="23" t="s">
        <v>61</v>
      </c>
      <c r="E52" s="24"/>
      <c r="F52" s="66">
        <v>0.007</v>
      </c>
      <c r="G52" s="70">
        <f>F16</f>
        <v>150</v>
      </c>
      <c r="H52" s="67">
        <f t="shared" si="12"/>
        <v>1.05</v>
      </c>
      <c r="I52" s="28"/>
      <c r="J52" s="68">
        <f>0.007</f>
        <v>0.007</v>
      </c>
      <c r="K52" s="71">
        <f>F16</f>
        <v>150</v>
      </c>
      <c r="L52" s="67">
        <f t="shared" si="13"/>
        <v>1.05</v>
      </c>
      <c r="M52" s="28"/>
      <c r="N52" s="31">
        <f t="shared" si="10"/>
        <v>0</v>
      </c>
      <c r="O52" s="69">
        <f t="shared" si="11"/>
        <v>0</v>
      </c>
    </row>
    <row r="53" spans="2:19" ht="15.75" thickBot="1">
      <c r="B53" s="49" t="s">
        <v>76</v>
      </c>
      <c r="C53" s="22"/>
      <c r="D53" s="23" t="s">
        <v>61</v>
      </c>
      <c r="E53" s="24"/>
      <c r="F53" s="66">
        <v>0.0799</v>
      </c>
      <c r="G53" s="70">
        <f>F16</f>
        <v>150</v>
      </c>
      <c r="H53" s="67">
        <f t="shared" si="12"/>
        <v>11.985</v>
      </c>
      <c r="I53" s="28"/>
      <c r="J53" s="66">
        <v>0.0799</v>
      </c>
      <c r="K53" s="70">
        <f>F16</f>
        <v>150</v>
      </c>
      <c r="L53" s="67">
        <f t="shared" si="13"/>
        <v>11.985</v>
      </c>
      <c r="M53" s="28"/>
      <c r="N53" s="31">
        <f t="shared" si="10"/>
        <v>0</v>
      </c>
      <c r="O53" s="69">
        <f t="shared" si="11"/>
        <v>0</v>
      </c>
      <c r="S53" s="73"/>
    </row>
    <row r="54" spans="2:19" ht="15" hidden="1">
      <c r="B54" s="49" t="s">
        <v>36</v>
      </c>
      <c r="C54" s="22"/>
      <c r="D54" s="23"/>
      <c r="E54" s="24"/>
      <c r="F54" s="72">
        <v>0.104</v>
      </c>
      <c r="G54" s="70">
        <v>0</v>
      </c>
      <c r="H54" s="67">
        <f t="shared" si="12"/>
        <v>0</v>
      </c>
      <c r="I54" s="28"/>
      <c r="J54" s="66">
        <v>0.104</v>
      </c>
      <c r="K54" s="70">
        <v>0</v>
      </c>
      <c r="L54" s="67">
        <f t="shared" si="13"/>
        <v>0</v>
      </c>
      <c r="M54" s="28"/>
      <c r="N54" s="31">
        <f t="shared" si="10"/>
        <v>0</v>
      </c>
      <c r="O54" s="69">
        <f t="shared" si="11"/>
      </c>
      <c r="S54" s="73"/>
    </row>
    <row r="55" spans="2:19" ht="15" hidden="1">
      <c r="B55" s="12" t="s">
        <v>37</v>
      </c>
      <c r="C55" s="22"/>
      <c r="D55" s="23"/>
      <c r="E55" s="24"/>
      <c r="F55" s="72">
        <v>0.124</v>
      </c>
      <c r="G55" s="70">
        <v>0</v>
      </c>
      <c r="H55" s="67">
        <f t="shared" si="12"/>
        <v>0</v>
      </c>
      <c r="I55" s="28"/>
      <c r="J55" s="66">
        <v>0.124</v>
      </c>
      <c r="K55" s="70">
        <v>0</v>
      </c>
      <c r="L55" s="67">
        <f t="shared" si="13"/>
        <v>0</v>
      </c>
      <c r="M55" s="28"/>
      <c r="N55" s="31">
        <f t="shared" si="10"/>
        <v>0</v>
      </c>
      <c r="O55" s="69">
        <f t="shared" si="11"/>
      </c>
      <c r="S55" s="73"/>
    </row>
    <row r="56" spans="2:15" s="74" customFormat="1" ht="15" hidden="1">
      <c r="B56" s="181" t="s">
        <v>38</v>
      </c>
      <c r="C56" s="76"/>
      <c r="D56" s="77"/>
      <c r="E56" s="78"/>
      <c r="F56" s="72">
        <v>0.075</v>
      </c>
      <c r="G56" s="79">
        <f>IF(AND($T$1=1,F16&gt;=600),600,IF(AND($T$1=1,AND(F16&lt;600,F16&gt;=0)),F16,IF(AND($T$1=2,F16&gt;=1000),1000,IF(AND($T$1=2,AND(F16&lt;1000,F16&gt;=0)),F16))))</f>
        <v>150</v>
      </c>
      <c r="H56" s="67">
        <f>G56*F56</f>
        <v>11.25</v>
      </c>
      <c r="I56" s="80"/>
      <c r="J56" s="66">
        <v>0.075</v>
      </c>
      <c r="K56" s="79">
        <f>G56</f>
        <v>150</v>
      </c>
      <c r="L56" s="67">
        <f>K56*J56</f>
        <v>11.25</v>
      </c>
      <c r="M56" s="80"/>
      <c r="N56" s="81">
        <f t="shared" si="10"/>
        <v>0</v>
      </c>
      <c r="O56" s="69">
        <f t="shared" si="11"/>
        <v>0</v>
      </c>
    </row>
    <row r="57" spans="2:15" s="74" customFormat="1" ht="15.75" hidden="1" thickBot="1">
      <c r="B57" s="181" t="s">
        <v>39</v>
      </c>
      <c r="C57" s="76"/>
      <c r="D57" s="77"/>
      <c r="E57" s="78"/>
      <c r="F57" s="72">
        <v>0.088</v>
      </c>
      <c r="G57" s="79">
        <f>IF(AND($T$1=1,F16&gt;=600),F16-600,IF(AND($T$1=1,AND(F16&lt;600,F16&gt;=0)),0,IF(AND($T$1=2,F16&gt;=1000),F16-1000,IF(AND($T$1=2,AND(F16&lt;1000,F16&gt;=0)),0))))</f>
        <v>0</v>
      </c>
      <c r="H57" s="67">
        <f>G57*F57</f>
        <v>0</v>
      </c>
      <c r="I57" s="80"/>
      <c r="J57" s="66">
        <v>0.088</v>
      </c>
      <c r="K57" s="79">
        <f>G57</f>
        <v>0</v>
      </c>
      <c r="L57" s="67">
        <f>K57*J57</f>
        <v>0</v>
      </c>
      <c r="M57" s="80"/>
      <c r="N57" s="81">
        <f t="shared" si="10"/>
        <v>0</v>
      </c>
      <c r="O57" s="69">
        <f t="shared" si="11"/>
      </c>
    </row>
    <row r="58" spans="2:15" ht="8.25" customHeight="1" thickBot="1">
      <c r="B58" s="82"/>
      <c r="C58" s="83"/>
      <c r="D58" s="84"/>
      <c r="E58" s="83"/>
      <c r="F58" s="85"/>
      <c r="G58" s="86"/>
      <c r="H58" s="87"/>
      <c r="I58" s="88"/>
      <c r="J58" s="85"/>
      <c r="K58" s="89"/>
      <c r="L58" s="87"/>
      <c r="M58" s="88"/>
      <c r="N58" s="90"/>
      <c r="O58" s="91"/>
    </row>
    <row r="59" spans="2:19" ht="15" hidden="1">
      <c r="B59" s="92" t="s">
        <v>40</v>
      </c>
      <c r="C59" s="22"/>
      <c r="D59" s="22"/>
      <c r="E59" s="22"/>
      <c r="F59" s="93"/>
      <c r="G59" s="94"/>
      <c r="H59" s="95">
        <f>SUM(H49:H55,H48)</f>
        <v>33.7347971</v>
      </c>
      <c r="I59" s="96"/>
      <c r="J59" s="97"/>
      <c r="K59" s="97"/>
      <c r="L59" s="95">
        <f>SUM(L49:L55,L48)</f>
        <v>34.62314752975739</v>
      </c>
      <c r="M59" s="98"/>
      <c r="N59" s="99">
        <f>L59-H59</f>
        <v>0.8883504297573879</v>
      </c>
      <c r="O59" s="100">
        <f>IF((H59)=0,"",(N59/H59))</f>
        <v>0.026333356241155154</v>
      </c>
      <c r="S59" s="73"/>
    </row>
    <row r="60" spans="2:19" ht="15" hidden="1">
      <c r="B60" s="101" t="s">
        <v>41</v>
      </c>
      <c r="C60" s="22"/>
      <c r="D60" s="22"/>
      <c r="E60" s="22"/>
      <c r="F60" s="102">
        <v>0.13</v>
      </c>
      <c r="G60" s="103"/>
      <c r="H60" s="104">
        <f>H59*F60</f>
        <v>4.385523623</v>
      </c>
      <c r="I60" s="105"/>
      <c r="J60" s="106">
        <v>0.13</v>
      </c>
      <c r="K60" s="105"/>
      <c r="L60" s="107">
        <f>L59*J60</f>
        <v>4.501009178868461</v>
      </c>
      <c r="M60" s="108"/>
      <c r="N60" s="109">
        <f t="shared" si="10"/>
        <v>0.1154855558684611</v>
      </c>
      <c r="O60" s="110">
        <f t="shared" si="11"/>
        <v>0.02633335624115531</v>
      </c>
      <c r="S60" s="73"/>
    </row>
    <row r="61" spans="2:19" ht="15" hidden="1">
      <c r="B61" s="111" t="s">
        <v>42</v>
      </c>
      <c r="C61" s="22"/>
      <c r="D61" s="22"/>
      <c r="E61" s="22"/>
      <c r="F61" s="112"/>
      <c r="G61" s="103"/>
      <c r="H61" s="104">
        <f>H59+H60</f>
        <v>38.120320723</v>
      </c>
      <c r="I61" s="105"/>
      <c r="J61" s="105"/>
      <c r="K61" s="105"/>
      <c r="L61" s="107">
        <f>L59+L60</f>
        <v>39.12415670862585</v>
      </c>
      <c r="M61" s="108"/>
      <c r="N61" s="109">
        <f t="shared" si="10"/>
        <v>1.003835985625848</v>
      </c>
      <c r="O61" s="110">
        <f t="shared" si="11"/>
        <v>0.02633335624115515</v>
      </c>
      <c r="S61" s="73"/>
    </row>
    <row r="62" spans="2:15" ht="15.75" customHeight="1" hidden="1">
      <c r="B62" s="251" t="s">
        <v>43</v>
      </c>
      <c r="C62" s="251"/>
      <c r="D62" s="251"/>
      <c r="E62" s="22"/>
      <c r="F62" s="112"/>
      <c r="G62" s="103"/>
      <c r="H62" s="113">
        <f>ROUND(-H61*10%,2)</f>
        <v>-3.81</v>
      </c>
      <c r="I62" s="105"/>
      <c r="J62" s="105"/>
      <c r="K62" s="105"/>
      <c r="L62" s="114">
        <f>ROUND(-L61*10%,2)</f>
        <v>-3.91</v>
      </c>
      <c r="M62" s="108"/>
      <c r="N62" s="115">
        <f t="shared" si="10"/>
        <v>-0.10000000000000009</v>
      </c>
      <c r="O62" s="116">
        <f t="shared" si="11"/>
        <v>0.02624671916010501</v>
      </c>
    </row>
    <row r="63" spans="2:15" ht="15" hidden="1">
      <c r="B63" s="233" t="s">
        <v>44</v>
      </c>
      <c r="C63" s="233"/>
      <c r="D63" s="233"/>
      <c r="E63" s="117"/>
      <c r="F63" s="118"/>
      <c r="G63" s="119"/>
      <c r="H63" s="120">
        <f>H61+H62</f>
        <v>34.310320723</v>
      </c>
      <c r="I63" s="121"/>
      <c r="J63" s="121"/>
      <c r="K63" s="121"/>
      <c r="L63" s="122">
        <f>L61+L62</f>
        <v>35.21415670862585</v>
      </c>
      <c r="M63" s="123"/>
      <c r="N63" s="124">
        <f t="shared" si="10"/>
        <v>0.9038359856258538</v>
      </c>
      <c r="O63" s="125">
        <f t="shared" si="11"/>
        <v>0.026342976882170775</v>
      </c>
    </row>
    <row r="64" spans="2:15" s="74" customFormat="1" ht="8.25" customHeight="1" hidden="1">
      <c r="B64" s="126"/>
      <c r="C64" s="127"/>
      <c r="D64" s="128"/>
      <c r="E64" s="127"/>
      <c r="F64" s="85"/>
      <c r="G64" s="129"/>
      <c r="H64" s="87"/>
      <c r="I64" s="130"/>
      <c r="J64" s="85"/>
      <c r="K64" s="131"/>
      <c r="L64" s="87"/>
      <c r="M64" s="130"/>
      <c r="N64" s="132"/>
      <c r="O64" s="91"/>
    </row>
    <row r="65" spans="2:15" s="74" customFormat="1" ht="12.75">
      <c r="B65" s="133" t="s">
        <v>45</v>
      </c>
      <c r="C65" s="76"/>
      <c r="D65" s="76"/>
      <c r="E65" s="76"/>
      <c r="F65" s="134"/>
      <c r="G65" s="135"/>
      <c r="H65" s="136">
        <f>SUM(H53,H48,H49:H52)</f>
        <v>33.734797099999994</v>
      </c>
      <c r="I65" s="137"/>
      <c r="J65" s="138"/>
      <c r="K65" s="138"/>
      <c r="L65" s="190">
        <f>SUM(L53,L48,L49:L52)</f>
        <v>34.62314752975739</v>
      </c>
      <c r="M65" s="139"/>
      <c r="N65" s="140">
        <f>L65-H65</f>
        <v>0.888350429757395</v>
      </c>
      <c r="O65" s="100">
        <f>IF((H65)=0,"",(N65/H65))</f>
        <v>0.026333356241155372</v>
      </c>
    </row>
    <row r="66" spans="2:15" s="74" customFormat="1" ht="12.75">
      <c r="B66" s="141" t="s">
        <v>41</v>
      </c>
      <c r="C66" s="76"/>
      <c r="D66" s="76"/>
      <c r="E66" s="76"/>
      <c r="F66" s="142">
        <v>0.13</v>
      </c>
      <c r="G66" s="135"/>
      <c r="H66" s="143">
        <f>H65*F66</f>
        <v>4.385523622999999</v>
      </c>
      <c r="I66" s="144"/>
      <c r="J66" s="145">
        <v>0.13</v>
      </c>
      <c r="K66" s="146"/>
      <c r="L66" s="147">
        <f>L65*J66</f>
        <v>4.501009178868461</v>
      </c>
      <c r="M66" s="148"/>
      <c r="N66" s="149">
        <f>L66-H66</f>
        <v>0.11548555586846199</v>
      </c>
      <c r="O66" s="110">
        <f>IF((H66)=0,"",(N66/H66))</f>
        <v>0.026333356241155518</v>
      </c>
    </row>
    <row r="67" spans="2:15" s="74" customFormat="1" ht="12.75">
      <c r="B67" s="150" t="s">
        <v>42</v>
      </c>
      <c r="C67" s="76"/>
      <c r="D67" s="76"/>
      <c r="E67" s="76"/>
      <c r="F67" s="151"/>
      <c r="G67" s="152"/>
      <c r="H67" s="143">
        <f>H65+H66</f>
        <v>38.12032072299999</v>
      </c>
      <c r="I67" s="144"/>
      <c r="J67" s="144"/>
      <c r="K67" s="144"/>
      <c r="L67" s="147">
        <f>L65+L66</f>
        <v>39.12415670862585</v>
      </c>
      <c r="M67" s="148"/>
      <c r="N67" s="149">
        <f>L67-H67</f>
        <v>1.0038359856258552</v>
      </c>
      <c r="O67" s="110">
        <f>IF((H67)=0,"",(N67/H67))</f>
        <v>0.026333356241155344</v>
      </c>
    </row>
    <row r="68" spans="2:15" s="74" customFormat="1" ht="15.75" customHeight="1">
      <c r="B68" s="239" t="s">
        <v>43</v>
      </c>
      <c r="C68" s="239"/>
      <c r="D68" s="239"/>
      <c r="E68" s="76"/>
      <c r="F68" s="151"/>
      <c r="G68" s="152"/>
      <c r="H68" s="153">
        <f>ROUND(-H67*10%,2)</f>
        <v>-3.81</v>
      </c>
      <c r="I68" s="144"/>
      <c r="J68" s="144"/>
      <c r="K68" s="144"/>
      <c r="L68" s="154">
        <f>ROUND(-L67*10%,2)</f>
        <v>-3.91</v>
      </c>
      <c r="M68" s="148"/>
      <c r="N68" s="155">
        <f>L68-H68</f>
        <v>-0.10000000000000009</v>
      </c>
      <c r="O68" s="116">
        <f>IF((H68)=0,"",(N68/H68))</f>
        <v>0.02624671916010501</v>
      </c>
    </row>
    <row r="69" spans="2:15" s="74" customFormat="1" ht="13.5" thickBot="1">
      <c r="B69" s="244" t="s">
        <v>46</v>
      </c>
      <c r="C69" s="244"/>
      <c r="D69" s="244"/>
      <c r="E69" s="156"/>
      <c r="F69" s="157"/>
      <c r="G69" s="158"/>
      <c r="H69" s="159">
        <f>SUM(H67:H68)</f>
        <v>34.31032072299999</v>
      </c>
      <c r="I69" s="160"/>
      <c r="J69" s="160"/>
      <c r="K69" s="160"/>
      <c r="L69" s="161">
        <f>SUM(L67:L68)</f>
        <v>35.21415670862585</v>
      </c>
      <c r="M69" s="162"/>
      <c r="N69" s="163">
        <f>L69-H69</f>
        <v>0.9038359856258609</v>
      </c>
      <c r="O69" s="164">
        <f>IF((H69)=0,"",(N69/H69))</f>
        <v>0.026342976882170986</v>
      </c>
    </row>
    <row r="70" spans="2:15" s="74" customFormat="1" ht="8.25" customHeight="1" thickBot="1">
      <c r="B70" s="126"/>
      <c r="C70" s="127"/>
      <c r="D70" s="128"/>
      <c r="E70" s="127"/>
      <c r="F70" s="165"/>
      <c r="G70" s="166"/>
      <c r="H70" s="167"/>
      <c r="I70" s="168"/>
      <c r="J70" s="165"/>
      <c r="K70" s="129"/>
      <c r="L70" s="169"/>
      <c r="M70" s="130"/>
      <c r="N70" s="170"/>
      <c r="O70" s="91"/>
    </row>
    <row r="71" ht="10.5" customHeight="1">
      <c r="L71" s="73"/>
    </row>
    <row r="72" spans="2:10" ht="15">
      <c r="B72" s="13" t="s">
        <v>47</v>
      </c>
      <c r="F72" s="171">
        <v>0.0286</v>
      </c>
      <c r="J72" s="171">
        <v>0.0335</v>
      </c>
    </row>
    <row r="73" ht="10.5" customHeight="1"/>
    <row r="74" ht="15">
      <c r="A74" s="172" t="s">
        <v>48</v>
      </c>
    </row>
    <row r="75" ht="10.5" customHeight="1"/>
    <row r="76" ht="15">
      <c r="A76" s="7" t="s">
        <v>49</v>
      </c>
    </row>
    <row r="77" ht="15">
      <c r="A77" s="7" t="s">
        <v>50</v>
      </c>
    </row>
    <row r="79" ht="15">
      <c r="A79" s="12" t="s">
        <v>51</v>
      </c>
    </row>
    <row r="80" ht="15">
      <c r="A80" s="12" t="s">
        <v>52</v>
      </c>
    </row>
    <row r="82" ht="15">
      <c r="A82" s="7" t="s">
        <v>53</v>
      </c>
    </row>
    <row r="83" ht="15">
      <c r="A83" s="7" t="s">
        <v>54</v>
      </c>
    </row>
    <row r="84" ht="15">
      <c r="A84" s="7" t="s">
        <v>55</v>
      </c>
    </row>
    <row r="85" ht="15">
      <c r="A85" s="7" t="s">
        <v>56</v>
      </c>
    </row>
    <row r="86" ht="15">
      <c r="A86" s="7" t="s">
        <v>57</v>
      </c>
    </row>
    <row r="88" spans="1:2" ht="15">
      <c r="A88" s="173"/>
      <c r="B88" s="7" t="s">
        <v>58</v>
      </c>
    </row>
  </sheetData>
  <sheetProtection/>
  <mergeCells count="17">
    <mergeCell ref="N1:O1"/>
    <mergeCell ref="N2:O2"/>
    <mergeCell ref="N3:O3"/>
    <mergeCell ref="N5:O5"/>
    <mergeCell ref="B69:D69"/>
    <mergeCell ref="D19:D20"/>
    <mergeCell ref="N19:N20"/>
    <mergeCell ref="O19:O20"/>
    <mergeCell ref="B62:D62"/>
    <mergeCell ref="B63:D63"/>
    <mergeCell ref="B68:D68"/>
    <mergeCell ref="B8:O8"/>
    <mergeCell ref="B9:O9"/>
    <mergeCell ref="D12:O12"/>
    <mergeCell ref="F18:H18"/>
    <mergeCell ref="J18:L18"/>
    <mergeCell ref="N18:O18"/>
  </mergeCells>
  <dataValidations count="4">
    <dataValidation type="list" allowBlank="1" showInputMessage="1" showErrorMessage="1" sqref="D14">
      <formula1>"TOU, non-TOU"</formula1>
    </dataValidation>
    <dataValidation type="list" allowBlank="1" showInputMessage="1" showErrorMessage="1" sqref="E70 E64 E56:E57">
      <formula1>'ST (1kW)'!#REF!</formula1>
    </dataValidation>
    <dataValidation type="list" allowBlank="1" showInputMessage="1" showErrorMessage="1" prompt="Select Charge Unit - monthly, per kWh, per kW" sqref="D46:D47 D38:D44 D64 D21:D36 D70 D49:D58">
      <formula1>"Monthly, per kWh, per kW"</formula1>
    </dataValidation>
    <dataValidation type="list" allowBlank="1" showInputMessage="1" showErrorMessage="1" sqref="E46:E47 E38:E44 E21:E36 E49:E55 E58">
      <formula1>'ST (1kW)'!#REF!</formula1>
    </dataValidation>
  </dataValidations>
  <printOptions/>
  <pageMargins left="0.7" right="0.7" top="0.75" bottom="0.75" header="0.3" footer="0.3"/>
  <pageSetup fitToHeight="0" fitToWidth="1" horizontalDpi="600" verticalDpi="600" orientation="portrait" scale="56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88"/>
  <sheetViews>
    <sheetView showGridLines="0" zoomScalePageLayoutView="0" workbookViewId="0" topLeftCell="A1">
      <selection activeCell="L2" sqref="L2:O2"/>
    </sheetView>
  </sheetViews>
  <sheetFormatPr defaultColWidth="9.140625" defaultRowHeight="15"/>
  <cols>
    <col min="1" max="1" width="2.140625" style="7" customWidth="1"/>
    <col min="2" max="2" width="44.57421875" style="7" customWidth="1"/>
    <col min="3" max="3" width="1.28515625" style="7" customWidth="1"/>
    <col min="4" max="4" width="11.28125" style="7" customWidth="1"/>
    <col min="5" max="5" width="1.28515625" style="7" customWidth="1"/>
    <col min="6" max="6" width="12.28125" style="7" customWidth="1"/>
    <col min="7" max="7" width="9.00390625" style="7" bestFit="1" customWidth="1"/>
    <col min="8" max="8" width="14.28125" style="7" bestFit="1" customWidth="1"/>
    <col min="9" max="9" width="2.8515625" style="7" customWidth="1"/>
    <col min="10" max="10" width="12.140625" style="7" customWidth="1"/>
    <col min="11" max="11" width="9.00390625" style="7" bestFit="1" customWidth="1"/>
    <col min="12" max="12" width="14.28125" style="7" bestFit="1" customWidth="1"/>
    <col min="13" max="13" width="2.8515625" style="7" customWidth="1"/>
    <col min="14" max="14" width="12.7109375" style="7" bestFit="1" customWidth="1"/>
    <col min="15" max="15" width="10.8515625" style="7" bestFit="1" customWidth="1"/>
    <col min="16" max="16" width="3.8515625" style="7" customWidth="1"/>
    <col min="17" max="20" width="9.140625" style="7" customWidth="1"/>
    <col min="21" max="16384" width="9.140625" style="7" customWidth="1"/>
  </cols>
  <sheetData>
    <row r="1" spans="1:20" s="2" customFormat="1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234" t="str">
        <f>EBNUMBER</f>
        <v>EB-2013-0116</v>
      </c>
      <c r="O1" s="234"/>
      <c r="P1"/>
      <c r="T1" s="2">
        <v>1</v>
      </c>
    </row>
    <row r="2" spans="1:16" s="2" customFormat="1" ht="1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110</v>
      </c>
      <c r="N2" s="235" t="s">
        <v>111</v>
      </c>
      <c r="O2" s="235"/>
      <c r="P2"/>
    </row>
    <row r="3" spans="3:16" s="2" customFormat="1" ht="15" customHeight="1">
      <c r="C3" s="6"/>
      <c r="D3" s="6"/>
      <c r="E3" s="6"/>
      <c r="L3" s="3" t="s">
        <v>78</v>
      </c>
      <c r="N3" s="236" t="s">
        <v>97</v>
      </c>
      <c r="O3" s="236"/>
      <c r="P3"/>
    </row>
    <row r="4" spans="12:16" s="2" customFormat="1" ht="9" customHeight="1">
      <c r="L4" s="3"/>
      <c r="N4" s="4"/>
      <c r="O4" s="192"/>
      <c r="P4"/>
    </row>
    <row r="5" spans="12:16" s="2" customFormat="1" ht="15">
      <c r="L5" s="3" t="s">
        <v>100</v>
      </c>
      <c r="N5" s="237">
        <v>41695</v>
      </c>
      <c r="O5" s="237"/>
      <c r="P5"/>
    </row>
    <row r="6" spans="14:16" s="2" customFormat="1" ht="15" customHeight="1">
      <c r="N6" s="7"/>
      <c r="O6"/>
      <c r="P6"/>
    </row>
    <row r="7" spans="12:16" ht="7.5" customHeight="1">
      <c r="L7"/>
      <c r="M7"/>
      <c r="N7"/>
      <c r="O7"/>
      <c r="P7"/>
    </row>
    <row r="8" spans="2:16" ht="18.75" customHeight="1">
      <c r="B8" s="238" t="s">
        <v>1</v>
      </c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/>
    </row>
    <row r="9" spans="2:16" ht="18.75" customHeight="1">
      <c r="B9" s="238" t="s">
        <v>2</v>
      </c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/>
    </row>
    <row r="10" spans="12:16" ht="7.5" customHeight="1">
      <c r="L10"/>
      <c r="M10"/>
      <c r="N10"/>
      <c r="O10"/>
      <c r="P10"/>
    </row>
    <row r="11" spans="12:16" ht="7.5" customHeight="1">
      <c r="L11"/>
      <c r="M11"/>
      <c r="N11"/>
      <c r="O11"/>
      <c r="P11"/>
    </row>
    <row r="12" spans="2:15" ht="15.75">
      <c r="B12" s="8" t="s">
        <v>3</v>
      </c>
      <c r="D12" s="240" t="s">
        <v>75</v>
      </c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</row>
    <row r="13" spans="2:15" ht="7.5" customHeight="1">
      <c r="B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2:15" ht="15.75">
      <c r="B14" s="8" t="s">
        <v>4</v>
      </c>
      <c r="D14" s="11" t="s">
        <v>68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2:15" ht="15.75">
      <c r="B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2:9" ht="15">
      <c r="B16" s="12"/>
      <c r="D16" s="13" t="s">
        <v>6</v>
      </c>
      <c r="E16" s="13"/>
      <c r="F16" s="14">
        <v>150</v>
      </c>
      <c r="G16" s="13" t="s">
        <v>7</v>
      </c>
      <c r="H16" s="14"/>
      <c r="I16" s="13"/>
    </row>
    <row r="17" ht="15">
      <c r="B17" s="12"/>
    </row>
    <row r="18" spans="2:15" ht="15">
      <c r="B18" s="12"/>
      <c r="D18" s="15"/>
      <c r="E18" s="15"/>
      <c r="F18" s="241" t="s">
        <v>8</v>
      </c>
      <c r="G18" s="242"/>
      <c r="H18" s="243"/>
      <c r="J18" s="241" t="s">
        <v>9</v>
      </c>
      <c r="K18" s="242"/>
      <c r="L18" s="243"/>
      <c r="N18" s="241" t="s">
        <v>10</v>
      </c>
      <c r="O18" s="243"/>
    </row>
    <row r="19" spans="2:15" ht="15">
      <c r="B19" s="12"/>
      <c r="D19" s="245" t="s">
        <v>11</v>
      </c>
      <c r="E19" s="16"/>
      <c r="F19" s="17" t="s">
        <v>12</v>
      </c>
      <c r="G19" s="17" t="s">
        <v>13</v>
      </c>
      <c r="H19" s="18" t="s">
        <v>14</v>
      </c>
      <c r="J19" s="17" t="s">
        <v>12</v>
      </c>
      <c r="K19" s="19" t="s">
        <v>13</v>
      </c>
      <c r="L19" s="18" t="s">
        <v>14</v>
      </c>
      <c r="N19" s="247" t="s">
        <v>15</v>
      </c>
      <c r="O19" s="249" t="s">
        <v>16</v>
      </c>
    </row>
    <row r="20" spans="2:15" ht="15">
      <c r="B20" s="12"/>
      <c r="D20" s="246"/>
      <c r="E20" s="16"/>
      <c r="F20" s="20" t="s">
        <v>17</v>
      </c>
      <c r="G20" s="20"/>
      <c r="H20" s="21" t="s">
        <v>17</v>
      </c>
      <c r="J20" s="20" t="s">
        <v>17</v>
      </c>
      <c r="K20" s="21"/>
      <c r="L20" s="21" t="s">
        <v>17</v>
      </c>
      <c r="N20" s="248"/>
      <c r="O20" s="250"/>
    </row>
    <row r="21" spans="2:15" ht="22.5" customHeight="1">
      <c r="B21" s="22" t="s">
        <v>18</v>
      </c>
      <c r="C21" s="22"/>
      <c r="D21" s="23" t="s">
        <v>60</v>
      </c>
      <c r="E21" s="24"/>
      <c r="F21" s="175">
        <f>'[2]2013 Existing Rates'!$B$12</f>
        <v>7.07</v>
      </c>
      <c r="G21" s="26">
        <v>1</v>
      </c>
      <c r="H21" s="27">
        <f>G21*F21</f>
        <v>7.07</v>
      </c>
      <c r="I21" s="28"/>
      <c r="J21" s="174">
        <f>'[3]Rate Schedule '!$E$58</f>
        <v>5.6674</v>
      </c>
      <c r="K21" s="30">
        <v>1</v>
      </c>
      <c r="L21" s="27">
        <f>K21*J21</f>
        <v>5.6674</v>
      </c>
      <c r="M21" s="28"/>
      <c r="N21" s="31">
        <f>L21-H21</f>
        <v>-1.4026000000000005</v>
      </c>
      <c r="O21" s="32">
        <f>IF((H21)=0,"",(N21/H21))</f>
        <v>-0.19838755304101846</v>
      </c>
    </row>
    <row r="22" spans="2:15" ht="36.75" customHeight="1">
      <c r="B22" s="65" t="s">
        <v>62</v>
      </c>
      <c r="C22" s="22"/>
      <c r="D22" s="56" t="s">
        <v>60</v>
      </c>
      <c r="E22" s="24"/>
      <c r="F22" s="174"/>
      <c r="G22" s="26">
        <v>1</v>
      </c>
      <c r="H22" s="27">
        <f aca="true" t="shared" si="0" ref="H22:H36">G22*F22</f>
        <v>0</v>
      </c>
      <c r="I22" s="28"/>
      <c r="J22" s="29"/>
      <c r="K22" s="30">
        <v>1</v>
      </c>
      <c r="L22" s="27">
        <f>K22*J22</f>
        <v>0</v>
      </c>
      <c r="M22" s="28"/>
      <c r="N22" s="31">
        <f>L22-H22</f>
        <v>0</v>
      </c>
      <c r="O22" s="32">
        <f>IF((H22)=0,"",(N22/H22))</f>
      </c>
    </row>
    <row r="23" spans="2:15" ht="15" hidden="1">
      <c r="B23" s="176"/>
      <c r="C23" s="22"/>
      <c r="D23" s="56" t="s">
        <v>60</v>
      </c>
      <c r="E23" s="57"/>
      <c r="F23" s="174"/>
      <c r="G23" s="26">
        <v>1</v>
      </c>
      <c r="H23" s="27">
        <f t="shared" si="0"/>
        <v>0</v>
      </c>
      <c r="I23" s="28"/>
      <c r="J23" s="29"/>
      <c r="K23" s="30">
        <v>1</v>
      </c>
      <c r="L23" s="27">
        <f aca="true" t="shared" si="1" ref="L23:L36">K23*J23</f>
        <v>0</v>
      </c>
      <c r="M23" s="28"/>
      <c r="N23" s="31">
        <f aca="true" t="shared" si="2" ref="N23:N37">L23-H23</f>
        <v>0</v>
      </c>
      <c r="O23" s="32">
        <f aca="true" t="shared" si="3" ref="O23:O37">IF((H23)=0,"",(N23/H23))</f>
      </c>
    </row>
    <row r="24" spans="2:15" ht="15" hidden="1">
      <c r="B24" s="176"/>
      <c r="C24" s="22"/>
      <c r="D24" s="56" t="s">
        <v>60</v>
      </c>
      <c r="E24" s="24"/>
      <c r="F24" s="25"/>
      <c r="G24" s="26">
        <v>1</v>
      </c>
      <c r="H24" s="27">
        <f t="shared" si="0"/>
        <v>0</v>
      </c>
      <c r="I24" s="28"/>
      <c r="J24" s="174"/>
      <c r="K24" s="30">
        <v>1</v>
      </c>
      <c r="L24" s="27">
        <f t="shared" si="1"/>
        <v>0</v>
      </c>
      <c r="M24" s="28"/>
      <c r="N24" s="31">
        <f t="shared" si="2"/>
        <v>0</v>
      </c>
      <c r="O24" s="32">
        <f t="shared" si="3"/>
      </c>
    </row>
    <row r="25" spans="2:15" ht="15">
      <c r="B25" s="46" t="s">
        <v>65</v>
      </c>
      <c r="C25" s="22"/>
      <c r="D25" s="23" t="s">
        <v>61</v>
      </c>
      <c r="E25" s="24"/>
      <c r="F25" s="25">
        <v>-0.0002</v>
      </c>
      <c r="G25" s="180">
        <f>$F$16</f>
        <v>150</v>
      </c>
      <c r="H25" s="27">
        <f t="shared" si="0"/>
        <v>-0.030000000000000002</v>
      </c>
      <c r="I25" s="28"/>
      <c r="J25" s="29"/>
      <c r="K25" s="180">
        <f>$F$16</f>
        <v>150</v>
      </c>
      <c r="L25" s="27">
        <f t="shared" si="1"/>
        <v>0</v>
      </c>
      <c r="M25" s="28"/>
      <c r="N25" s="31">
        <f t="shared" si="2"/>
        <v>0.030000000000000002</v>
      </c>
      <c r="O25" s="32">
        <f t="shared" si="3"/>
        <v>-1</v>
      </c>
    </row>
    <row r="26" spans="2:15" ht="15">
      <c r="B26" s="46" t="s">
        <v>66</v>
      </c>
      <c r="C26" s="22"/>
      <c r="D26" s="23" t="s">
        <v>61</v>
      </c>
      <c r="E26" s="24"/>
      <c r="F26" s="25"/>
      <c r="G26" s="180">
        <f>$F$16</f>
        <v>150</v>
      </c>
      <c r="H26" s="27">
        <f t="shared" si="0"/>
        <v>0</v>
      </c>
      <c r="I26" s="28"/>
      <c r="J26" s="29">
        <f>'[4]6. Rate Rider Calculations'!$F$81</f>
        <v>-0.0023955525753637952</v>
      </c>
      <c r="K26" s="180">
        <f>$F$16</f>
        <v>150</v>
      </c>
      <c r="L26" s="27">
        <f t="shared" si="1"/>
        <v>-0.3593328863045693</v>
      </c>
      <c r="M26" s="28"/>
      <c r="N26" s="31">
        <f t="shared" si="2"/>
        <v>-0.3593328863045693</v>
      </c>
      <c r="O26" s="32">
        <f t="shared" si="3"/>
      </c>
    </row>
    <row r="27" spans="2:15" ht="15">
      <c r="B27" s="22" t="s">
        <v>19</v>
      </c>
      <c r="C27" s="22"/>
      <c r="D27" s="23" t="s">
        <v>61</v>
      </c>
      <c r="E27" s="24"/>
      <c r="F27" s="25">
        <f>'[2]2013 Existing Rates'!$E$12</f>
        <v>0.0151</v>
      </c>
      <c r="G27" s="180">
        <f>$F$16</f>
        <v>150</v>
      </c>
      <c r="H27" s="27">
        <f t="shared" si="0"/>
        <v>2.265</v>
      </c>
      <c r="I27" s="28"/>
      <c r="J27" s="29">
        <f>'[3]Rate Schedule '!$E$59</f>
        <v>0.0121</v>
      </c>
      <c r="K27" s="180">
        <f>$F$16</f>
        <v>150</v>
      </c>
      <c r="L27" s="27">
        <f t="shared" si="1"/>
        <v>1.815</v>
      </c>
      <c r="M27" s="28"/>
      <c r="N27" s="31">
        <f t="shared" si="2"/>
        <v>-0.4500000000000002</v>
      </c>
      <c r="O27" s="32">
        <f t="shared" si="3"/>
        <v>-0.1986754966887418</v>
      </c>
    </row>
    <row r="28" spans="2:15" ht="15" hidden="1">
      <c r="B28" s="22" t="s">
        <v>20</v>
      </c>
      <c r="C28" s="22"/>
      <c r="D28" s="23"/>
      <c r="E28" s="24"/>
      <c r="F28" s="25"/>
      <c r="G28" s="26">
        <f>$F$16</f>
        <v>150</v>
      </c>
      <c r="H28" s="27">
        <f t="shared" si="0"/>
        <v>0</v>
      </c>
      <c r="I28" s="28"/>
      <c r="J28" s="29"/>
      <c r="K28" s="26">
        <f aca="true" t="shared" si="4" ref="K28:K36">$F$16</f>
        <v>150</v>
      </c>
      <c r="L28" s="27">
        <f t="shared" si="1"/>
        <v>0</v>
      </c>
      <c r="M28" s="28"/>
      <c r="N28" s="31">
        <f t="shared" si="2"/>
        <v>0</v>
      </c>
      <c r="O28" s="32">
        <f t="shared" si="3"/>
      </c>
    </row>
    <row r="29" spans="2:15" ht="15" hidden="1">
      <c r="B29" s="22" t="s">
        <v>21</v>
      </c>
      <c r="C29" s="22"/>
      <c r="D29" s="23"/>
      <c r="E29" s="24"/>
      <c r="F29" s="25"/>
      <c r="G29" s="26">
        <f>$F$16</f>
        <v>150</v>
      </c>
      <c r="H29" s="27">
        <f t="shared" si="0"/>
        <v>0</v>
      </c>
      <c r="I29" s="28"/>
      <c r="J29" s="29"/>
      <c r="K29" s="26">
        <f t="shared" si="4"/>
        <v>150</v>
      </c>
      <c r="L29" s="27">
        <f t="shared" si="1"/>
        <v>0</v>
      </c>
      <c r="M29" s="28"/>
      <c r="N29" s="31">
        <f t="shared" si="2"/>
        <v>0</v>
      </c>
      <c r="O29" s="32">
        <f t="shared" si="3"/>
      </c>
    </row>
    <row r="30" spans="2:15" ht="15" hidden="1">
      <c r="B30" s="33"/>
      <c r="C30" s="22"/>
      <c r="D30" s="23"/>
      <c r="E30" s="24"/>
      <c r="F30" s="25"/>
      <c r="G30" s="26">
        <f aca="true" t="shared" si="5" ref="G30:G36">$F$16</f>
        <v>150</v>
      </c>
      <c r="H30" s="27">
        <f t="shared" si="0"/>
        <v>0</v>
      </c>
      <c r="I30" s="28"/>
      <c r="J30" s="29"/>
      <c r="K30" s="26">
        <f t="shared" si="4"/>
        <v>150</v>
      </c>
      <c r="L30" s="27">
        <f t="shared" si="1"/>
        <v>0</v>
      </c>
      <c r="M30" s="28"/>
      <c r="N30" s="31">
        <f t="shared" si="2"/>
        <v>0</v>
      </c>
      <c r="O30" s="32">
        <f t="shared" si="3"/>
      </c>
    </row>
    <row r="31" spans="2:15" ht="15" hidden="1">
      <c r="B31" s="33"/>
      <c r="C31" s="22"/>
      <c r="D31" s="23"/>
      <c r="E31" s="24"/>
      <c r="F31" s="25"/>
      <c r="G31" s="26">
        <f t="shared" si="5"/>
        <v>150</v>
      </c>
      <c r="H31" s="27">
        <f t="shared" si="0"/>
        <v>0</v>
      </c>
      <c r="I31" s="28"/>
      <c r="J31" s="29"/>
      <c r="K31" s="26">
        <f t="shared" si="4"/>
        <v>150</v>
      </c>
      <c r="L31" s="27">
        <f t="shared" si="1"/>
        <v>0</v>
      </c>
      <c r="M31" s="28"/>
      <c r="N31" s="31">
        <f t="shared" si="2"/>
        <v>0</v>
      </c>
      <c r="O31" s="32">
        <f t="shared" si="3"/>
      </c>
    </row>
    <row r="32" spans="2:15" ht="15" hidden="1">
      <c r="B32" s="33"/>
      <c r="C32" s="22"/>
      <c r="D32" s="23"/>
      <c r="E32" s="24"/>
      <c r="F32" s="25"/>
      <c r="G32" s="26">
        <f t="shared" si="5"/>
        <v>150</v>
      </c>
      <c r="H32" s="27">
        <f t="shared" si="0"/>
        <v>0</v>
      </c>
      <c r="I32" s="28"/>
      <c r="J32" s="29"/>
      <c r="K32" s="26">
        <f t="shared" si="4"/>
        <v>150</v>
      </c>
      <c r="L32" s="27">
        <f t="shared" si="1"/>
        <v>0</v>
      </c>
      <c r="M32" s="28"/>
      <c r="N32" s="31">
        <f t="shared" si="2"/>
        <v>0</v>
      </c>
      <c r="O32" s="32">
        <f t="shared" si="3"/>
      </c>
    </row>
    <row r="33" spans="2:15" ht="15" hidden="1">
      <c r="B33" s="33"/>
      <c r="C33" s="22"/>
      <c r="D33" s="23"/>
      <c r="E33" s="24"/>
      <c r="F33" s="25"/>
      <c r="G33" s="26">
        <f t="shared" si="5"/>
        <v>150</v>
      </c>
      <c r="H33" s="27">
        <f t="shared" si="0"/>
        <v>0</v>
      </c>
      <c r="I33" s="28"/>
      <c r="J33" s="29"/>
      <c r="K33" s="26">
        <f t="shared" si="4"/>
        <v>150</v>
      </c>
      <c r="L33" s="27">
        <f t="shared" si="1"/>
        <v>0</v>
      </c>
      <c r="M33" s="28"/>
      <c r="N33" s="31">
        <f t="shared" si="2"/>
        <v>0</v>
      </c>
      <c r="O33" s="32">
        <f t="shared" si="3"/>
      </c>
    </row>
    <row r="34" spans="2:15" ht="15" hidden="1">
      <c r="B34" s="33"/>
      <c r="C34" s="22"/>
      <c r="D34" s="23"/>
      <c r="E34" s="24"/>
      <c r="F34" s="25"/>
      <c r="G34" s="26">
        <f t="shared" si="5"/>
        <v>150</v>
      </c>
      <c r="H34" s="27">
        <f t="shared" si="0"/>
        <v>0</v>
      </c>
      <c r="I34" s="28"/>
      <c r="J34" s="29"/>
      <c r="K34" s="26">
        <f t="shared" si="4"/>
        <v>150</v>
      </c>
      <c r="L34" s="27">
        <f t="shared" si="1"/>
        <v>0</v>
      </c>
      <c r="M34" s="28"/>
      <c r="N34" s="31">
        <f t="shared" si="2"/>
        <v>0</v>
      </c>
      <c r="O34" s="32">
        <f t="shared" si="3"/>
      </c>
    </row>
    <row r="35" spans="2:15" ht="15" hidden="1">
      <c r="B35" s="33"/>
      <c r="C35" s="22"/>
      <c r="D35" s="23"/>
      <c r="E35" s="24"/>
      <c r="F35" s="25"/>
      <c r="G35" s="26">
        <f t="shared" si="5"/>
        <v>150</v>
      </c>
      <c r="H35" s="27">
        <f t="shared" si="0"/>
        <v>0</v>
      </c>
      <c r="I35" s="28"/>
      <c r="J35" s="29"/>
      <c r="K35" s="26">
        <f t="shared" si="4"/>
        <v>150</v>
      </c>
      <c r="L35" s="27">
        <f t="shared" si="1"/>
        <v>0</v>
      </c>
      <c r="M35" s="28"/>
      <c r="N35" s="31">
        <f t="shared" si="2"/>
        <v>0</v>
      </c>
      <c r="O35" s="32">
        <f t="shared" si="3"/>
      </c>
    </row>
    <row r="36" spans="2:15" ht="15" hidden="1">
      <c r="B36" s="33"/>
      <c r="C36" s="22"/>
      <c r="D36" s="23"/>
      <c r="E36" s="24"/>
      <c r="F36" s="25"/>
      <c r="G36" s="26">
        <f t="shared" si="5"/>
        <v>150</v>
      </c>
      <c r="H36" s="27">
        <f t="shared" si="0"/>
        <v>0</v>
      </c>
      <c r="I36" s="28"/>
      <c r="J36" s="29"/>
      <c r="K36" s="26">
        <f t="shared" si="4"/>
        <v>150</v>
      </c>
      <c r="L36" s="27">
        <f t="shared" si="1"/>
        <v>0</v>
      </c>
      <c r="M36" s="28"/>
      <c r="N36" s="31">
        <f t="shared" si="2"/>
        <v>0</v>
      </c>
      <c r="O36" s="32">
        <f t="shared" si="3"/>
      </c>
    </row>
    <row r="37" spans="2:15" s="34" customFormat="1" ht="15">
      <c r="B37" s="35" t="s">
        <v>22</v>
      </c>
      <c r="C37" s="36"/>
      <c r="D37" s="37"/>
      <c r="E37" s="36"/>
      <c r="F37" s="38"/>
      <c r="G37" s="39"/>
      <c r="H37" s="40">
        <f>SUM(H21:H36)</f>
        <v>9.305</v>
      </c>
      <c r="I37" s="41"/>
      <c r="J37" s="42"/>
      <c r="K37" s="43"/>
      <c r="L37" s="40">
        <f>SUM(L21:L36)</f>
        <v>7.123067113695431</v>
      </c>
      <c r="M37" s="41"/>
      <c r="N37" s="44">
        <f t="shared" si="2"/>
        <v>-2.181932886304569</v>
      </c>
      <c r="O37" s="45">
        <f t="shared" si="3"/>
        <v>-0.2344903692965684</v>
      </c>
    </row>
    <row r="38" spans="2:15" ht="25.5">
      <c r="B38" s="46" t="s">
        <v>23</v>
      </c>
      <c r="C38" s="22"/>
      <c r="D38" s="56" t="s">
        <v>61</v>
      </c>
      <c r="E38" s="57"/>
      <c r="F38" s="29">
        <v>0.0003</v>
      </c>
      <c r="G38" s="180">
        <f>F16</f>
        <v>150</v>
      </c>
      <c r="H38" s="27">
        <f aca="true" t="shared" si="6" ref="H38:H44">G38*F38</f>
        <v>0.045</v>
      </c>
      <c r="I38" s="28"/>
      <c r="J38" s="29">
        <f>'[4]6. Rate Rider Calculations'!$F$26</f>
        <v>-9.181865258740997E-05</v>
      </c>
      <c r="K38" s="180">
        <f>F16</f>
        <v>150</v>
      </c>
      <c r="L38" s="27">
        <f aca="true" t="shared" si="7" ref="L38:L44">K38*J38</f>
        <v>-0.013772797888111496</v>
      </c>
      <c r="M38" s="28"/>
      <c r="N38" s="31">
        <f aca="true" t="shared" si="8" ref="N38:N44">L38-H38</f>
        <v>-0.058772797888111496</v>
      </c>
      <c r="O38" s="32">
        <f aca="true" t="shared" si="9" ref="O38:O43">IF((H38)=0,"",(N38/H38))</f>
        <v>-1.3060621752913666</v>
      </c>
    </row>
    <row r="39" spans="2:15" ht="15" hidden="1">
      <c r="B39" s="46"/>
      <c r="C39" s="22"/>
      <c r="D39" s="23" t="s">
        <v>61</v>
      </c>
      <c r="E39" s="24"/>
      <c r="F39" s="25"/>
      <c r="G39" s="180">
        <f>F16</f>
        <v>150</v>
      </c>
      <c r="H39" s="27">
        <f t="shared" si="6"/>
        <v>0</v>
      </c>
      <c r="I39" s="47"/>
      <c r="J39" s="29"/>
      <c r="K39" s="180">
        <f>F16</f>
        <v>150</v>
      </c>
      <c r="L39" s="27">
        <f t="shared" si="7"/>
        <v>0</v>
      </c>
      <c r="M39" s="48"/>
      <c r="N39" s="31">
        <f t="shared" si="8"/>
        <v>0</v>
      </c>
      <c r="O39" s="32">
        <f t="shared" si="9"/>
      </c>
    </row>
    <row r="40" spans="2:15" ht="15" hidden="1">
      <c r="B40" s="46"/>
      <c r="C40" s="22"/>
      <c r="D40" s="23" t="s">
        <v>61</v>
      </c>
      <c r="E40" s="24"/>
      <c r="F40" s="25"/>
      <c r="G40" s="180">
        <f>F16</f>
        <v>150</v>
      </c>
      <c r="H40" s="27">
        <f t="shared" si="6"/>
        <v>0</v>
      </c>
      <c r="I40" s="47"/>
      <c r="J40" s="29"/>
      <c r="K40" s="180">
        <f>F16</f>
        <v>150</v>
      </c>
      <c r="L40" s="27">
        <f t="shared" si="7"/>
        <v>0</v>
      </c>
      <c r="M40" s="48"/>
      <c r="N40" s="31">
        <f t="shared" si="8"/>
        <v>0</v>
      </c>
      <c r="O40" s="32">
        <f t="shared" si="9"/>
      </c>
    </row>
    <row r="41" spans="2:15" ht="27.75" customHeight="1">
      <c r="B41" s="46" t="s">
        <v>77</v>
      </c>
      <c r="C41" s="22"/>
      <c r="D41" s="23" t="s">
        <v>61</v>
      </c>
      <c r="E41" s="24"/>
      <c r="F41" s="29">
        <v>0.0033</v>
      </c>
      <c r="G41" s="26">
        <f>$F$16</f>
        <v>150</v>
      </c>
      <c r="H41" s="27">
        <f t="shared" si="6"/>
        <v>0.495</v>
      </c>
      <c r="I41" s="47"/>
      <c r="J41" s="29">
        <f>'[4]6. Rate Rider Calculations'!$F$53</f>
        <v>-0.0037116251631935117</v>
      </c>
      <c r="K41" s="26">
        <f>$F$16</f>
        <v>150</v>
      </c>
      <c r="L41" s="27">
        <f t="shared" si="7"/>
        <v>-0.5567437744790268</v>
      </c>
      <c r="M41" s="48"/>
      <c r="N41" s="31">
        <f t="shared" si="8"/>
        <v>-1.0517437744790268</v>
      </c>
      <c r="O41" s="32">
        <f t="shared" si="9"/>
        <v>-2.1247348979374276</v>
      </c>
    </row>
    <row r="42" spans="2:15" ht="15">
      <c r="B42" s="49" t="s">
        <v>24</v>
      </c>
      <c r="C42" s="22"/>
      <c r="D42" s="23" t="s">
        <v>61</v>
      </c>
      <c r="E42" s="24"/>
      <c r="F42" s="25">
        <v>0</v>
      </c>
      <c r="G42" s="180">
        <f>F16</f>
        <v>150</v>
      </c>
      <c r="H42" s="27">
        <f t="shared" si="6"/>
        <v>0</v>
      </c>
      <c r="I42" s="28"/>
      <c r="J42" s="29">
        <f>'[3]Rate Schedule '!$E$60</f>
        <v>0.0001</v>
      </c>
      <c r="K42" s="180">
        <f>F16</f>
        <v>150</v>
      </c>
      <c r="L42" s="27">
        <f t="shared" si="7"/>
        <v>0.015000000000000001</v>
      </c>
      <c r="M42" s="28"/>
      <c r="N42" s="31">
        <f t="shared" si="8"/>
        <v>0.015000000000000001</v>
      </c>
      <c r="O42" s="32">
        <f t="shared" si="9"/>
      </c>
    </row>
    <row r="43" spans="2:15" s="34" customFormat="1" ht="15">
      <c r="B43" s="182" t="s">
        <v>25</v>
      </c>
      <c r="C43" s="24"/>
      <c r="D43" s="183" t="s">
        <v>61</v>
      </c>
      <c r="E43" s="24"/>
      <c r="F43" s="184">
        <f>IF(ISBLANK(D14)=TRUE,0,IF(D14="TOU",0.64*$F$53+0.18*$F$54+0.18*$F$55,IF(AND(D14="non-TOU",G57&gt;0),F57,F56)))</f>
        <v>0.075</v>
      </c>
      <c r="G43" s="26">
        <f>$F$16*(1+$F$72)-$F$16</f>
        <v>4.289999999999992</v>
      </c>
      <c r="H43" s="185">
        <f t="shared" si="6"/>
        <v>0.32174999999999937</v>
      </c>
      <c r="I43" s="57"/>
      <c r="J43" s="186">
        <f>IF(ISBLANK(D14)=TRUE,0,IF(D14="TOU",0.64*$F$53+0.18*$F$54+0.18*$F$55,IF(AND(D14="non-TOU",K57&gt;0),J57,J56)))</f>
        <v>0.075</v>
      </c>
      <c r="K43" s="26">
        <f>$F$16*(1+$J$72)-$F$16</f>
        <v>5.025000000000006</v>
      </c>
      <c r="L43" s="185">
        <f t="shared" si="7"/>
        <v>0.3768750000000004</v>
      </c>
      <c r="M43" s="57"/>
      <c r="N43" s="187">
        <f t="shared" si="8"/>
        <v>0.055125000000001034</v>
      </c>
      <c r="O43" s="188">
        <f t="shared" si="9"/>
        <v>0.17132867132867488</v>
      </c>
    </row>
    <row r="44" spans="2:15" ht="15">
      <c r="B44" s="49" t="s">
        <v>26</v>
      </c>
      <c r="C44" s="22"/>
      <c r="D44" s="23" t="s">
        <v>60</v>
      </c>
      <c r="E44" s="24"/>
      <c r="F44" s="179">
        <v>0.79</v>
      </c>
      <c r="G44" s="26">
        <v>0</v>
      </c>
      <c r="H44" s="27">
        <f t="shared" si="6"/>
        <v>0</v>
      </c>
      <c r="I44" s="28"/>
      <c r="J44" s="179">
        <v>0.79</v>
      </c>
      <c r="K44" s="26">
        <v>0</v>
      </c>
      <c r="L44" s="27">
        <f t="shared" si="7"/>
        <v>0</v>
      </c>
      <c r="M44" s="28"/>
      <c r="N44" s="31">
        <f t="shared" si="8"/>
        <v>0</v>
      </c>
      <c r="O44" s="32"/>
    </row>
    <row r="45" spans="2:15" ht="25.5">
      <c r="B45" s="50" t="s">
        <v>27</v>
      </c>
      <c r="C45" s="51"/>
      <c r="D45" s="51"/>
      <c r="E45" s="51"/>
      <c r="F45" s="52"/>
      <c r="G45" s="53"/>
      <c r="H45" s="54">
        <f>SUM(H38:H44)+H37</f>
        <v>10.166749999999999</v>
      </c>
      <c r="I45" s="41"/>
      <c r="J45" s="53"/>
      <c r="K45" s="55"/>
      <c r="L45" s="54">
        <f>SUM(L38:L44)+L37</f>
        <v>6.944425541328293</v>
      </c>
      <c r="M45" s="41"/>
      <c r="N45" s="44">
        <f aca="true" t="shared" si="10" ref="N45:N63">L45-H45</f>
        <v>-3.2223244586717055</v>
      </c>
      <c r="O45" s="45">
        <f aca="true" t="shared" si="11" ref="O45:O63">IF((H45)=0,"",(N45/H45))</f>
        <v>-0.3169473488255053</v>
      </c>
    </row>
    <row r="46" spans="2:15" ht="15">
      <c r="B46" s="28" t="s">
        <v>28</v>
      </c>
      <c r="C46" s="28"/>
      <c r="D46" s="56" t="s">
        <v>61</v>
      </c>
      <c r="E46" s="57"/>
      <c r="F46" s="29">
        <v>0.0054</v>
      </c>
      <c r="G46" s="58">
        <f>F16*(1+F72)</f>
        <v>154.29</v>
      </c>
      <c r="H46" s="27">
        <f>G46*F46</f>
        <v>0.833166</v>
      </c>
      <c r="I46" s="28"/>
      <c r="J46" s="29">
        <f>'[5]13. Final 2014 RTS Rates'!$F$31</f>
        <v>0.005811873445206608</v>
      </c>
      <c r="K46" s="59">
        <f>F16*(1+J72)</f>
        <v>155.025</v>
      </c>
      <c r="L46" s="27">
        <f>K46*J46</f>
        <v>0.9009856808431544</v>
      </c>
      <c r="M46" s="28"/>
      <c r="N46" s="31">
        <f t="shared" si="10"/>
        <v>0.06781968084315448</v>
      </c>
      <c r="O46" s="32">
        <f t="shared" si="11"/>
        <v>0.08139996212417992</v>
      </c>
    </row>
    <row r="47" spans="2:15" ht="30">
      <c r="B47" s="60" t="s">
        <v>29</v>
      </c>
      <c r="C47" s="28"/>
      <c r="D47" s="56" t="s">
        <v>61</v>
      </c>
      <c r="E47" s="57"/>
      <c r="F47" s="29">
        <v>0.0034</v>
      </c>
      <c r="G47" s="58">
        <f>G46</f>
        <v>154.29</v>
      </c>
      <c r="H47" s="27">
        <f>G47*F47</f>
        <v>0.524586</v>
      </c>
      <c r="I47" s="28"/>
      <c r="J47" s="29">
        <f>'[5]13. Final 2014 RTS Rates'!$H$31</f>
        <v>0.003920192695861129</v>
      </c>
      <c r="K47" s="59">
        <f>K46</f>
        <v>155.025</v>
      </c>
      <c r="L47" s="27">
        <f>K47*J47</f>
        <v>0.6077278726758716</v>
      </c>
      <c r="M47" s="28"/>
      <c r="N47" s="31">
        <f t="shared" si="10"/>
        <v>0.08314187267587159</v>
      </c>
      <c r="O47" s="32">
        <f t="shared" si="11"/>
        <v>0.15849045280634935</v>
      </c>
    </row>
    <row r="48" spans="2:15" ht="25.5">
      <c r="B48" s="50" t="s">
        <v>30</v>
      </c>
      <c r="C48" s="36"/>
      <c r="D48" s="36"/>
      <c r="E48" s="36"/>
      <c r="F48" s="61"/>
      <c r="G48" s="53"/>
      <c r="H48" s="54">
        <f>SUM(H45:H47)</f>
        <v>11.524501999999998</v>
      </c>
      <c r="I48" s="62"/>
      <c r="J48" s="63"/>
      <c r="K48" s="64"/>
      <c r="L48" s="54">
        <f>SUM(L45:L47)</f>
        <v>8.45313909484732</v>
      </c>
      <c r="M48" s="62"/>
      <c r="N48" s="44">
        <f t="shared" si="10"/>
        <v>-3.0713629051526787</v>
      </c>
      <c r="O48" s="45">
        <f t="shared" si="11"/>
        <v>-0.2665072126459503</v>
      </c>
    </row>
    <row r="49" spans="2:15" ht="30">
      <c r="B49" s="65" t="s">
        <v>31</v>
      </c>
      <c r="C49" s="22"/>
      <c r="D49" s="23" t="s">
        <v>61</v>
      </c>
      <c r="E49" s="24"/>
      <c r="F49" s="66">
        <v>0.0044</v>
      </c>
      <c r="G49" s="58">
        <f>F16*(1+F72)</f>
        <v>154.29</v>
      </c>
      <c r="H49" s="67">
        <f aca="true" t="shared" si="12" ref="H49:H55">G49*F49</f>
        <v>0.678876</v>
      </c>
      <c r="I49" s="28"/>
      <c r="J49" s="68">
        <v>0.0044</v>
      </c>
      <c r="K49" s="59">
        <f>F16*(1+J72)</f>
        <v>155.025</v>
      </c>
      <c r="L49" s="67">
        <f aca="true" t="shared" si="13" ref="L49:L55">K49*J49</f>
        <v>0.6821100000000001</v>
      </c>
      <c r="M49" s="28"/>
      <c r="N49" s="31">
        <f t="shared" si="10"/>
        <v>0.00323400000000007</v>
      </c>
      <c r="O49" s="69">
        <f t="shared" si="11"/>
        <v>0.0047637565623178165</v>
      </c>
    </row>
    <row r="50" spans="2:15" ht="15">
      <c r="B50" s="65" t="s">
        <v>32</v>
      </c>
      <c r="C50" s="22"/>
      <c r="D50" s="23" t="s">
        <v>61</v>
      </c>
      <c r="E50" s="24"/>
      <c r="F50" s="66">
        <v>0.0012</v>
      </c>
      <c r="G50" s="58">
        <f>G49</f>
        <v>154.29</v>
      </c>
      <c r="H50" s="67">
        <f t="shared" si="12"/>
        <v>0.18514799999999998</v>
      </c>
      <c r="I50" s="28"/>
      <c r="J50" s="68">
        <v>0.0012</v>
      </c>
      <c r="K50" s="59">
        <f>K49</f>
        <v>155.025</v>
      </c>
      <c r="L50" s="67">
        <f t="shared" si="13"/>
        <v>0.18603</v>
      </c>
      <c r="M50" s="28"/>
      <c r="N50" s="31">
        <f t="shared" si="10"/>
        <v>0.0008820000000000217</v>
      </c>
      <c r="O50" s="69">
        <f t="shared" si="11"/>
        <v>0.004763756562317831</v>
      </c>
    </row>
    <row r="51" spans="2:15" ht="15">
      <c r="B51" s="22" t="s">
        <v>33</v>
      </c>
      <c r="C51" s="22"/>
      <c r="D51" s="23" t="s">
        <v>60</v>
      </c>
      <c r="E51" s="24"/>
      <c r="F51" s="177">
        <v>0.25</v>
      </c>
      <c r="G51" s="26">
        <v>1</v>
      </c>
      <c r="H51" s="67">
        <f t="shared" si="12"/>
        <v>0.25</v>
      </c>
      <c r="I51" s="28"/>
      <c r="J51" s="178">
        <v>0.25</v>
      </c>
      <c r="K51" s="30">
        <v>1</v>
      </c>
      <c r="L51" s="67">
        <f t="shared" si="13"/>
        <v>0.25</v>
      </c>
      <c r="M51" s="28"/>
      <c r="N51" s="31">
        <f t="shared" si="10"/>
        <v>0</v>
      </c>
      <c r="O51" s="69">
        <f t="shared" si="11"/>
        <v>0</v>
      </c>
    </row>
    <row r="52" spans="2:15" ht="15">
      <c r="B52" s="22" t="s">
        <v>34</v>
      </c>
      <c r="C52" s="22"/>
      <c r="D52" s="23" t="s">
        <v>61</v>
      </c>
      <c r="E52" s="24"/>
      <c r="F52" s="66">
        <v>0.007</v>
      </c>
      <c r="G52" s="70">
        <f>F16</f>
        <v>150</v>
      </c>
      <c r="H52" s="67">
        <f t="shared" si="12"/>
        <v>1.05</v>
      </c>
      <c r="I52" s="28"/>
      <c r="J52" s="68">
        <f>0.007</f>
        <v>0.007</v>
      </c>
      <c r="K52" s="71">
        <f>F16</f>
        <v>150</v>
      </c>
      <c r="L52" s="67">
        <f t="shared" si="13"/>
        <v>1.05</v>
      </c>
      <c r="M52" s="28"/>
      <c r="N52" s="31">
        <f t="shared" si="10"/>
        <v>0</v>
      </c>
      <c r="O52" s="69">
        <f t="shared" si="11"/>
        <v>0</v>
      </c>
    </row>
    <row r="53" spans="2:19" ht="15.75" thickBot="1">
      <c r="B53" s="49" t="s">
        <v>76</v>
      </c>
      <c r="C53" s="22"/>
      <c r="D53" s="23" t="s">
        <v>61</v>
      </c>
      <c r="E53" s="24"/>
      <c r="F53" s="66">
        <v>0.0799</v>
      </c>
      <c r="G53" s="70">
        <f>F16</f>
        <v>150</v>
      </c>
      <c r="H53" s="67">
        <f t="shared" si="12"/>
        <v>11.985</v>
      </c>
      <c r="I53" s="28"/>
      <c r="J53" s="66">
        <v>0.0799</v>
      </c>
      <c r="K53" s="70">
        <f>F16</f>
        <v>150</v>
      </c>
      <c r="L53" s="67">
        <f t="shared" si="13"/>
        <v>11.985</v>
      </c>
      <c r="M53" s="28"/>
      <c r="N53" s="31">
        <f t="shared" si="10"/>
        <v>0</v>
      </c>
      <c r="O53" s="69">
        <f t="shared" si="11"/>
        <v>0</v>
      </c>
      <c r="S53" s="73"/>
    </row>
    <row r="54" spans="2:19" ht="15" hidden="1">
      <c r="B54" s="49" t="s">
        <v>36</v>
      </c>
      <c r="C54" s="22"/>
      <c r="D54" s="23"/>
      <c r="E54" s="24"/>
      <c r="F54" s="72">
        <v>0.104</v>
      </c>
      <c r="G54" s="58">
        <v>0</v>
      </c>
      <c r="H54" s="67">
        <f t="shared" si="12"/>
        <v>0</v>
      </c>
      <c r="I54" s="28"/>
      <c r="J54" s="66">
        <v>0.104</v>
      </c>
      <c r="K54" s="58">
        <v>0</v>
      </c>
      <c r="L54" s="67">
        <f t="shared" si="13"/>
        <v>0</v>
      </c>
      <c r="M54" s="28"/>
      <c r="N54" s="31">
        <f t="shared" si="10"/>
        <v>0</v>
      </c>
      <c r="O54" s="69">
        <f t="shared" si="11"/>
      </c>
      <c r="S54" s="73"/>
    </row>
    <row r="55" spans="2:19" ht="15" hidden="1">
      <c r="B55" s="12" t="s">
        <v>37</v>
      </c>
      <c r="C55" s="22"/>
      <c r="D55" s="23"/>
      <c r="E55" s="24"/>
      <c r="F55" s="72">
        <v>0.124</v>
      </c>
      <c r="G55" s="58">
        <v>0</v>
      </c>
      <c r="H55" s="67">
        <f t="shared" si="12"/>
        <v>0</v>
      </c>
      <c r="I55" s="28"/>
      <c r="J55" s="66">
        <v>0.124</v>
      </c>
      <c r="K55" s="58">
        <v>0</v>
      </c>
      <c r="L55" s="67">
        <f t="shared" si="13"/>
        <v>0</v>
      </c>
      <c r="M55" s="28"/>
      <c r="N55" s="31">
        <f t="shared" si="10"/>
        <v>0</v>
      </c>
      <c r="O55" s="69">
        <f t="shared" si="11"/>
      </c>
      <c r="S55" s="73"/>
    </row>
    <row r="56" spans="2:15" s="74" customFormat="1" ht="15" hidden="1">
      <c r="B56" s="181" t="s">
        <v>38</v>
      </c>
      <c r="C56" s="76"/>
      <c r="D56" s="77"/>
      <c r="E56" s="78"/>
      <c r="F56" s="72">
        <v>0.075</v>
      </c>
      <c r="G56" s="79">
        <f>IF(AND($T$1=1,F16&gt;=600),600,IF(AND($T$1=1,AND(F16&lt;600,F16&gt;=0)),F16,IF(AND($T$1=2,F16&gt;=1000),1000,IF(AND($T$1=2,AND(F16&lt;1000,F16&gt;=0)),F16))))</f>
        <v>150</v>
      </c>
      <c r="H56" s="67">
        <f>G56*F56</f>
        <v>11.25</v>
      </c>
      <c r="I56" s="80"/>
      <c r="J56" s="66">
        <v>0.075</v>
      </c>
      <c r="K56" s="79">
        <f>G56</f>
        <v>150</v>
      </c>
      <c r="L56" s="67">
        <f>K56*J56</f>
        <v>11.25</v>
      </c>
      <c r="M56" s="80"/>
      <c r="N56" s="81">
        <f t="shared" si="10"/>
        <v>0</v>
      </c>
      <c r="O56" s="69">
        <f t="shared" si="11"/>
        <v>0</v>
      </c>
    </row>
    <row r="57" spans="2:15" s="74" customFormat="1" ht="15.75" hidden="1" thickBot="1">
      <c r="B57" s="181" t="s">
        <v>39</v>
      </c>
      <c r="C57" s="76"/>
      <c r="D57" s="77"/>
      <c r="E57" s="78"/>
      <c r="F57" s="72">
        <v>0.088</v>
      </c>
      <c r="G57" s="79">
        <f>IF(AND($T$1=1,F16&gt;=600),F16-600,IF(AND($T$1=1,AND(F16&lt;600,F16&gt;=0)),0,IF(AND($T$1=2,F16&gt;=1000),F16-1000,IF(AND($T$1=2,AND(F16&lt;1000,F16&gt;=0)),0))))</f>
        <v>0</v>
      </c>
      <c r="H57" s="67">
        <f>G57*F57</f>
        <v>0</v>
      </c>
      <c r="I57" s="80"/>
      <c r="J57" s="66">
        <v>0.088</v>
      </c>
      <c r="K57" s="79">
        <f>G57</f>
        <v>0</v>
      </c>
      <c r="L57" s="67">
        <f>K57*J57</f>
        <v>0</v>
      </c>
      <c r="M57" s="80"/>
      <c r="N57" s="81">
        <f t="shared" si="10"/>
        <v>0</v>
      </c>
      <c r="O57" s="69">
        <f t="shared" si="11"/>
      </c>
    </row>
    <row r="58" spans="2:15" ht="8.25" customHeight="1" thickBot="1">
      <c r="B58" s="82"/>
      <c r="C58" s="83"/>
      <c r="D58" s="84"/>
      <c r="E58" s="83"/>
      <c r="F58" s="85"/>
      <c r="G58" s="86"/>
      <c r="H58" s="87"/>
      <c r="I58" s="88"/>
      <c r="J58" s="85"/>
      <c r="K58" s="89"/>
      <c r="L58" s="87"/>
      <c r="M58" s="88"/>
      <c r="N58" s="90"/>
      <c r="O58" s="91"/>
    </row>
    <row r="59" spans="2:19" ht="15" hidden="1">
      <c r="B59" s="92" t="s">
        <v>40</v>
      </c>
      <c r="C59" s="22"/>
      <c r="D59" s="22"/>
      <c r="E59" s="22"/>
      <c r="F59" s="93"/>
      <c r="G59" s="94"/>
      <c r="H59" s="95">
        <f>SUM(H49:H55,H48)</f>
        <v>25.673526</v>
      </c>
      <c r="I59" s="96"/>
      <c r="J59" s="97"/>
      <c r="K59" s="97"/>
      <c r="L59" s="95">
        <f>SUM(L49:L55,L48)</f>
        <v>22.60627909484732</v>
      </c>
      <c r="M59" s="98"/>
      <c r="N59" s="99">
        <f>L59-H59</f>
        <v>-3.067246905152679</v>
      </c>
      <c r="O59" s="100">
        <f>IF((H59)=0,"",(N59/H59))</f>
        <v>-0.11947119788503843</v>
      </c>
      <c r="S59" s="73"/>
    </row>
    <row r="60" spans="2:19" ht="15" hidden="1">
      <c r="B60" s="101" t="s">
        <v>41</v>
      </c>
      <c r="C60" s="22"/>
      <c r="D60" s="22"/>
      <c r="E60" s="22"/>
      <c r="F60" s="102">
        <v>0.13</v>
      </c>
      <c r="G60" s="103"/>
      <c r="H60" s="104">
        <f>H59*F60</f>
        <v>3.33755838</v>
      </c>
      <c r="I60" s="105"/>
      <c r="J60" s="106">
        <v>0.13</v>
      </c>
      <c r="K60" s="105"/>
      <c r="L60" s="107">
        <f>L59*J60</f>
        <v>2.938816282330152</v>
      </c>
      <c r="M60" s="108"/>
      <c r="N60" s="109">
        <f t="shared" si="10"/>
        <v>-0.39874209766984814</v>
      </c>
      <c r="O60" s="110">
        <f t="shared" si="11"/>
        <v>-0.11947119788503839</v>
      </c>
      <c r="S60" s="73"/>
    </row>
    <row r="61" spans="2:19" ht="15" hidden="1">
      <c r="B61" s="111" t="s">
        <v>42</v>
      </c>
      <c r="C61" s="22"/>
      <c r="D61" s="22"/>
      <c r="E61" s="22"/>
      <c r="F61" s="112"/>
      <c r="G61" s="103"/>
      <c r="H61" s="104">
        <f>H59+H60</f>
        <v>29.01108438</v>
      </c>
      <c r="I61" s="105"/>
      <c r="J61" s="105"/>
      <c r="K61" s="105"/>
      <c r="L61" s="107">
        <f>L59+L60</f>
        <v>25.54509537717747</v>
      </c>
      <c r="M61" s="108"/>
      <c r="N61" s="109">
        <f t="shared" si="10"/>
        <v>-3.4659890028225284</v>
      </c>
      <c r="O61" s="110">
        <f t="shared" si="11"/>
        <v>-0.11947119788503846</v>
      </c>
      <c r="S61" s="73"/>
    </row>
    <row r="62" spans="2:15" ht="15.75" customHeight="1" hidden="1">
      <c r="B62" s="251" t="s">
        <v>43</v>
      </c>
      <c r="C62" s="251"/>
      <c r="D62" s="251"/>
      <c r="E62" s="22"/>
      <c r="F62" s="112"/>
      <c r="G62" s="103"/>
      <c r="H62" s="113">
        <f>ROUND(-H61*10%,2)</f>
        <v>-2.9</v>
      </c>
      <c r="I62" s="105"/>
      <c r="J62" s="105"/>
      <c r="K62" s="105"/>
      <c r="L62" s="114">
        <f>ROUND(-L61*10%,2)</f>
        <v>-2.55</v>
      </c>
      <c r="M62" s="108"/>
      <c r="N62" s="115">
        <f t="shared" si="10"/>
        <v>0.3500000000000001</v>
      </c>
      <c r="O62" s="116">
        <f t="shared" si="11"/>
        <v>-0.12068965517241383</v>
      </c>
    </row>
    <row r="63" spans="2:15" ht="15" hidden="1">
      <c r="B63" s="233" t="s">
        <v>44</v>
      </c>
      <c r="C63" s="233"/>
      <c r="D63" s="233"/>
      <c r="E63" s="117"/>
      <c r="F63" s="118"/>
      <c r="G63" s="119"/>
      <c r="H63" s="120">
        <f>H61+H62</f>
        <v>26.11108438</v>
      </c>
      <c r="I63" s="121"/>
      <c r="J63" s="121"/>
      <c r="K63" s="121"/>
      <c r="L63" s="122">
        <f>L61+L62</f>
        <v>22.99509537717747</v>
      </c>
      <c r="M63" s="123"/>
      <c r="N63" s="124">
        <f t="shared" si="10"/>
        <v>-3.1159890028225306</v>
      </c>
      <c r="O63" s="125">
        <f t="shared" si="11"/>
        <v>-0.11933587121373052</v>
      </c>
    </row>
    <row r="64" spans="2:15" s="74" customFormat="1" ht="8.25" customHeight="1" hidden="1">
      <c r="B64" s="126"/>
      <c r="C64" s="127"/>
      <c r="D64" s="128"/>
      <c r="E64" s="127"/>
      <c r="F64" s="85"/>
      <c r="G64" s="129"/>
      <c r="H64" s="87"/>
      <c r="I64" s="130"/>
      <c r="J64" s="85"/>
      <c r="K64" s="131"/>
      <c r="L64" s="87"/>
      <c r="M64" s="130"/>
      <c r="N64" s="132"/>
      <c r="O64" s="91"/>
    </row>
    <row r="65" spans="2:15" s="74" customFormat="1" ht="12.75">
      <c r="B65" s="133" t="s">
        <v>45</v>
      </c>
      <c r="C65" s="76"/>
      <c r="D65" s="76"/>
      <c r="E65" s="76"/>
      <c r="F65" s="134"/>
      <c r="G65" s="135"/>
      <c r="H65" s="136">
        <f>SUM(H53,H48,H49:H52)</f>
        <v>25.673526</v>
      </c>
      <c r="I65" s="137"/>
      <c r="J65" s="138"/>
      <c r="K65" s="138"/>
      <c r="L65" s="190">
        <f>SUM(L53,L48,L49:L52)</f>
        <v>22.60627909484732</v>
      </c>
      <c r="M65" s="139"/>
      <c r="N65" s="140">
        <f>L65-H65</f>
        <v>-3.067246905152679</v>
      </c>
      <c r="O65" s="100">
        <f>IF((H65)=0,"",(N65/H65))</f>
        <v>-0.11947119788503843</v>
      </c>
    </row>
    <row r="66" spans="2:15" s="74" customFormat="1" ht="12.75">
      <c r="B66" s="141" t="s">
        <v>41</v>
      </c>
      <c r="C66" s="76"/>
      <c r="D66" s="76"/>
      <c r="E66" s="76"/>
      <c r="F66" s="142">
        <v>0.13</v>
      </c>
      <c r="G66" s="135"/>
      <c r="H66" s="143">
        <f>H65*F66</f>
        <v>3.33755838</v>
      </c>
      <c r="I66" s="144"/>
      <c r="J66" s="145">
        <v>0.13</v>
      </c>
      <c r="K66" s="146"/>
      <c r="L66" s="147">
        <f>L65*J66</f>
        <v>2.938816282330152</v>
      </c>
      <c r="M66" s="148"/>
      <c r="N66" s="149">
        <f>L66-H66</f>
        <v>-0.39874209766984814</v>
      </c>
      <c r="O66" s="110">
        <f>IF((H66)=0,"",(N66/H66))</f>
        <v>-0.11947119788503839</v>
      </c>
    </row>
    <row r="67" spans="2:15" s="74" customFormat="1" ht="12.75">
      <c r="B67" s="150" t="s">
        <v>42</v>
      </c>
      <c r="C67" s="76"/>
      <c r="D67" s="76"/>
      <c r="E67" s="76"/>
      <c r="F67" s="151"/>
      <c r="G67" s="152"/>
      <c r="H67" s="143">
        <f>H65+H66</f>
        <v>29.01108438</v>
      </c>
      <c r="I67" s="144"/>
      <c r="J67" s="144"/>
      <c r="K67" s="144"/>
      <c r="L67" s="147">
        <f>L65+L66</f>
        <v>25.54509537717747</v>
      </c>
      <c r="M67" s="148"/>
      <c r="N67" s="149">
        <f>L67-H67</f>
        <v>-3.4659890028225284</v>
      </c>
      <c r="O67" s="110">
        <f>IF((H67)=0,"",(N67/H67))</f>
        <v>-0.11947119788503846</v>
      </c>
    </row>
    <row r="68" spans="2:15" s="74" customFormat="1" ht="15.75" customHeight="1">
      <c r="B68" s="239" t="s">
        <v>43</v>
      </c>
      <c r="C68" s="239"/>
      <c r="D68" s="239"/>
      <c r="E68" s="76"/>
      <c r="F68" s="151"/>
      <c r="G68" s="152"/>
      <c r="H68" s="153">
        <f>ROUND(-H67*10%,2)</f>
        <v>-2.9</v>
      </c>
      <c r="I68" s="144"/>
      <c r="J68" s="144"/>
      <c r="K68" s="144"/>
      <c r="L68" s="154">
        <f>ROUND(-L67*10%,2)</f>
        <v>-2.55</v>
      </c>
      <c r="M68" s="148"/>
      <c r="N68" s="155">
        <f>L68-H68</f>
        <v>0.3500000000000001</v>
      </c>
      <c r="O68" s="116">
        <f>IF((H68)=0,"",(N68/H68))</f>
        <v>-0.12068965517241383</v>
      </c>
    </row>
    <row r="69" spans="2:15" s="74" customFormat="1" ht="13.5" thickBot="1">
      <c r="B69" s="244" t="s">
        <v>46</v>
      </c>
      <c r="C69" s="244"/>
      <c r="D69" s="244"/>
      <c r="E69" s="156"/>
      <c r="F69" s="157"/>
      <c r="G69" s="158"/>
      <c r="H69" s="159">
        <f>SUM(H67:H68)</f>
        <v>26.11108438</v>
      </c>
      <c r="I69" s="160"/>
      <c r="J69" s="160"/>
      <c r="K69" s="160"/>
      <c r="L69" s="161">
        <f>SUM(L67:L68)</f>
        <v>22.99509537717747</v>
      </c>
      <c r="M69" s="162"/>
      <c r="N69" s="163">
        <f>L69-H69</f>
        <v>-3.1159890028225306</v>
      </c>
      <c r="O69" s="164">
        <f>IF((H69)=0,"",(N69/H69))</f>
        <v>-0.11933587121373052</v>
      </c>
    </row>
    <row r="70" spans="2:15" s="74" customFormat="1" ht="8.25" customHeight="1" thickBot="1">
      <c r="B70" s="126"/>
      <c r="C70" s="127"/>
      <c r="D70" s="128"/>
      <c r="E70" s="127"/>
      <c r="F70" s="165"/>
      <c r="G70" s="166"/>
      <c r="H70" s="167"/>
      <c r="I70" s="168"/>
      <c r="J70" s="165"/>
      <c r="K70" s="129"/>
      <c r="L70" s="169"/>
      <c r="M70" s="130"/>
      <c r="N70" s="170"/>
      <c r="O70" s="91"/>
    </row>
    <row r="71" ht="10.5" customHeight="1">
      <c r="L71" s="73"/>
    </row>
    <row r="72" spans="2:10" ht="15">
      <c r="B72" s="13" t="s">
        <v>47</v>
      </c>
      <c r="F72" s="171">
        <v>0.0286</v>
      </c>
      <c r="J72" s="171">
        <v>0.0335</v>
      </c>
    </row>
    <row r="74" ht="15">
      <c r="A74" s="172" t="s">
        <v>48</v>
      </c>
    </row>
    <row r="75" ht="10.5" customHeight="1"/>
    <row r="76" ht="15">
      <c r="A76" s="7" t="s">
        <v>49</v>
      </c>
    </row>
    <row r="77" ht="15">
      <c r="A77" s="7" t="s">
        <v>50</v>
      </c>
    </row>
    <row r="79" ht="15">
      <c r="A79" s="12" t="s">
        <v>51</v>
      </c>
    </row>
    <row r="80" ht="15">
      <c r="A80" s="12" t="s">
        <v>52</v>
      </c>
    </row>
    <row r="82" ht="15">
      <c r="A82" s="7" t="s">
        <v>53</v>
      </c>
    </row>
    <row r="83" ht="15">
      <c r="A83" s="7" t="s">
        <v>54</v>
      </c>
    </row>
    <row r="84" ht="15">
      <c r="A84" s="7" t="s">
        <v>55</v>
      </c>
    </row>
    <row r="85" ht="15">
      <c r="A85" s="7" t="s">
        <v>56</v>
      </c>
    </row>
    <row r="86" ht="15">
      <c r="A86" s="7" t="s">
        <v>57</v>
      </c>
    </row>
    <row r="88" spans="1:2" ht="15">
      <c r="A88" s="173"/>
      <c r="B88" s="7" t="s">
        <v>58</v>
      </c>
    </row>
  </sheetData>
  <sheetProtection/>
  <mergeCells count="17">
    <mergeCell ref="N1:O1"/>
    <mergeCell ref="N2:O2"/>
    <mergeCell ref="N3:O3"/>
    <mergeCell ref="N5:O5"/>
    <mergeCell ref="B69:D69"/>
    <mergeCell ref="D19:D20"/>
    <mergeCell ref="N19:N20"/>
    <mergeCell ref="O19:O20"/>
    <mergeCell ref="B62:D62"/>
    <mergeCell ref="B63:D63"/>
    <mergeCell ref="B68:D68"/>
    <mergeCell ref="B8:O8"/>
    <mergeCell ref="B9:O9"/>
    <mergeCell ref="D12:O12"/>
    <mergeCell ref="F18:H18"/>
    <mergeCell ref="J18:L18"/>
    <mergeCell ref="N18:O18"/>
  </mergeCells>
  <dataValidations count="4">
    <dataValidation type="list" allowBlank="1" showInputMessage="1" showErrorMessage="1" sqref="E46:E47 E38:E44 E21:E36 E49:E55 E58">
      <formula1>'USL (150kWh)'!#REF!</formula1>
    </dataValidation>
    <dataValidation type="list" allowBlank="1" showInputMessage="1" showErrorMessage="1" prompt="Select Charge Unit - monthly, per kWh, per kW" sqref="D46:D47 D38:D44 D64 D21:D36 D70 D49:D58">
      <formula1>"Monthly, per kWh, per kW"</formula1>
    </dataValidation>
    <dataValidation type="list" allowBlank="1" showInputMessage="1" showErrorMessage="1" sqref="E70 E64 E56:E57">
      <formula1>'USL (150kWh)'!#REF!</formula1>
    </dataValidation>
    <dataValidation type="list" allowBlank="1" showInputMessage="1" showErrorMessage="1" sqref="D14">
      <formula1>"TOU, non-TOU"</formula1>
    </dataValidation>
  </dataValidations>
  <printOptions/>
  <pageMargins left="0.7" right="0.7" top="0.75" bottom="0.75" header="0.3" footer="0.3"/>
  <pageSetup fitToHeight="0" fitToWidth="1" horizontalDpi="600" verticalDpi="600" orientation="portrait" scale="5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9"/>
  <sheetViews>
    <sheetView showGridLines="0" zoomScalePageLayoutView="0" workbookViewId="0" topLeftCell="A1">
      <selection activeCell="J6" sqref="J6"/>
    </sheetView>
  </sheetViews>
  <sheetFormatPr defaultColWidth="9.140625" defaultRowHeight="15"/>
  <cols>
    <col min="1" max="1" width="2.140625" style="7" customWidth="1"/>
    <col min="2" max="2" width="44.57421875" style="7" customWidth="1"/>
    <col min="3" max="3" width="1.28515625" style="7" customWidth="1"/>
    <col min="4" max="4" width="11.28125" style="7" customWidth="1"/>
    <col min="5" max="5" width="1.28515625" style="7" customWidth="1"/>
    <col min="6" max="6" width="12.28125" style="7" customWidth="1"/>
    <col min="7" max="7" width="8.57421875" style="7" customWidth="1"/>
    <col min="8" max="8" width="9.7109375" style="7" customWidth="1"/>
    <col min="9" max="9" width="2.8515625" style="7" customWidth="1"/>
    <col min="10" max="10" width="12.140625" style="7" customWidth="1"/>
    <col min="11" max="11" width="8.57421875" style="7" customWidth="1"/>
    <col min="12" max="12" width="9.7109375" style="7" customWidth="1"/>
    <col min="13" max="13" width="2.8515625" style="7" customWidth="1"/>
    <col min="14" max="14" width="12.7109375" style="7" bestFit="1" customWidth="1"/>
    <col min="15" max="15" width="10.8515625" style="7" bestFit="1" customWidth="1"/>
    <col min="16" max="16" width="6.28125" style="7" customWidth="1"/>
    <col min="17" max="20" width="9.140625" style="7" customWidth="1"/>
    <col min="21" max="16384" width="9.140625" style="7" customWidth="1"/>
  </cols>
  <sheetData>
    <row r="1" spans="1:20" s="2" customFormat="1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234" t="str">
        <f>EBNUMBER</f>
        <v>EB-2013-0116</v>
      </c>
      <c r="O1" s="234"/>
      <c r="T1" s="2">
        <v>1</v>
      </c>
    </row>
    <row r="2" spans="1:15" s="2" customFormat="1" ht="1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110</v>
      </c>
      <c r="N2" s="235" t="s">
        <v>111</v>
      </c>
      <c r="O2" s="235"/>
    </row>
    <row r="3" spans="3:15" s="2" customFormat="1" ht="15" customHeight="1">
      <c r="C3" s="6"/>
      <c r="D3" s="6"/>
      <c r="E3" s="6"/>
      <c r="L3" s="3" t="s">
        <v>78</v>
      </c>
      <c r="N3" s="236" t="s">
        <v>81</v>
      </c>
      <c r="O3" s="236"/>
    </row>
    <row r="4" spans="12:15" s="2" customFormat="1" ht="9" customHeight="1">
      <c r="L4" s="3"/>
      <c r="N4" s="4"/>
      <c r="O4" s="192"/>
    </row>
    <row r="5" spans="12:15" s="2" customFormat="1" ht="15">
      <c r="L5" s="3" t="s">
        <v>100</v>
      </c>
      <c r="N5" s="237">
        <v>41695</v>
      </c>
      <c r="O5" s="237"/>
    </row>
    <row r="6" spans="14:16" s="2" customFormat="1" ht="15" customHeight="1">
      <c r="N6" s="7"/>
      <c r="O6"/>
      <c r="P6"/>
    </row>
    <row r="7" spans="12:16" ht="7.5" customHeight="1">
      <c r="L7"/>
      <c r="M7"/>
      <c r="N7"/>
      <c r="O7"/>
      <c r="P7"/>
    </row>
    <row r="8" spans="2:16" ht="18.75" customHeight="1">
      <c r="B8" s="238" t="s">
        <v>1</v>
      </c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/>
    </row>
    <row r="9" spans="2:16" ht="18.75" customHeight="1">
      <c r="B9" s="238" t="s">
        <v>2</v>
      </c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/>
    </row>
    <row r="10" spans="12:16" ht="7.5" customHeight="1">
      <c r="L10"/>
      <c r="M10"/>
      <c r="N10"/>
      <c r="O10"/>
      <c r="P10"/>
    </row>
    <row r="11" spans="12:16" ht="7.5" customHeight="1">
      <c r="L11"/>
      <c r="M11"/>
      <c r="N11"/>
      <c r="O11"/>
      <c r="P11"/>
    </row>
    <row r="12" spans="2:15" ht="15.75">
      <c r="B12" s="8" t="s">
        <v>3</v>
      </c>
      <c r="D12" s="240" t="s">
        <v>59</v>
      </c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</row>
    <row r="13" spans="2:15" ht="7.5" customHeight="1">
      <c r="B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2:15" ht="15.75">
      <c r="B14" s="8" t="s">
        <v>4</v>
      </c>
      <c r="D14" s="11" t="s">
        <v>5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2:15" ht="15.75">
      <c r="B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2:7" ht="15">
      <c r="B16" s="12"/>
      <c r="D16" s="13" t="s">
        <v>6</v>
      </c>
      <c r="E16" s="13"/>
      <c r="F16" s="14">
        <v>250</v>
      </c>
      <c r="G16" s="13" t="s">
        <v>7</v>
      </c>
    </row>
    <row r="17" ht="15">
      <c r="B17" s="12"/>
    </row>
    <row r="18" spans="2:15" ht="15">
      <c r="B18" s="12"/>
      <c r="D18" s="15"/>
      <c r="E18" s="15"/>
      <c r="F18" s="241" t="s">
        <v>8</v>
      </c>
      <c r="G18" s="242"/>
      <c r="H18" s="243"/>
      <c r="J18" s="241" t="s">
        <v>9</v>
      </c>
      <c r="K18" s="242"/>
      <c r="L18" s="243"/>
      <c r="N18" s="241" t="s">
        <v>10</v>
      </c>
      <c r="O18" s="243"/>
    </row>
    <row r="19" spans="2:15" ht="15">
      <c r="B19" s="12"/>
      <c r="D19" s="245" t="s">
        <v>11</v>
      </c>
      <c r="E19" s="16"/>
      <c r="F19" s="17" t="s">
        <v>12</v>
      </c>
      <c r="G19" s="17" t="s">
        <v>13</v>
      </c>
      <c r="H19" s="18" t="s">
        <v>14</v>
      </c>
      <c r="J19" s="17" t="s">
        <v>12</v>
      </c>
      <c r="K19" s="19" t="s">
        <v>13</v>
      </c>
      <c r="L19" s="18" t="s">
        <v>14</v>
      </c>
      <c r="N19" s="247" t="s">
        <v>15</v>
      </c>
      <c r="O19" s="249" t="s">
        <v>16</v>
      </c>
    </row>
    <row r="20" spans="2:15" ht="15">
      <c r="B20" s="12"/>
      <c r="D20" s="246"/>
      <c r="E20" s="16"/>
      <c r="F20" s="20" t="s">
        <v>17</v>
      </c>
      <c r="G20" s="20"/>
      <c r="H20" s="21" t="s">
        <v>17</v>
      </c>
      <c r="J20" s="20" t="s">
        <v>17</v>
      </c>
      <c r="K20" s="21"/>
      <c r="L20" s="21" t="s">
        <v>17</v>
      </c>
      <c r="N20" s="248"/>
      <c r="O20" s="250"/>
    </row>
    <row r="21" spans="2:15" ht="22.5" customHeight="1">
      <c r="B21" s="22" t="s">
        <v>18</v>
      </c>
      <c r="C21" s="22"/>
      <c r="D21" s="23" t="s">
        <v>60</v>
      </c>
      <c r="E21" s="24"/>
      <c r="F21" s="175">
        <f>'[2]2013 Existing Rates'!$C$6</f>
        <v>10.09</v>
      </c>
      <c r="G21" s="26">
        <v>1</v>
      </c>
      <c r="H21" s="27">
        <f>G21*F21</f>
        <v>10.09</v>
      </c>
      <c r="I21" s="28"/>
      <c r="J21" s="174">
        <f>'[3]Rate Schedule '!$E$10</f>
        <v>16.58</v>
      </c>
      <c r="K21" s="30">
        <v>1</v>
      </c>
      <c r="L21" s="27">
        <f>K21*J21</f>
        <v>16.58</v>
      </c>
      <c r="M21" s="28"/>
      <c r="N21" s="31">
        <f>L21-H21</f>
        <v>6.489999999999998</v>
      </c>
      <c r="O21" s="32">
        <f>IF((H21)=0,"",(N21/H21))</f>
        <v>0.6432111000991079</v>
      </c>
    </row>
    <row r="22" spans="2:15" ht="36.75" customHeight="1">
      <c r="B22" s="65" t="s">
        <v>62</v>
      </c>
      <c r="C22" s="22"/>
      <c r="D22" s="56" t="s">
        <v>60</v>
      </c>
      <c r="E22" s="24"/>
      <c r="F22" s="174">
        <v>0.01</v>
      </c>
      <c r="G22" s="26">
        <v>1</v>
      </c>
      <c r="H22" s="27">
        <f aca="true" t="shared" si="0" ref="H22:H36">G22*F22</f>
        <v>0.01</v>
      </c>
      <c r="I22" s="28"/>
      <c r="J22" s="29"/>
      <c r="K22" s="30">
        <v>1</v>
      </c>
      <c r="L22" s="27">
        <f>K22*J22</f>
        <v>0</v>
      </c>
      <c r="M22" s="28"/>
      <c r="N22" s="31">
        <f>L22-H22</f>
        <v>-0.01</v>
      </c>
      <c r="O22" s="32">
        <f>IF((H22)=0,"",(N22/H22))</f>
        <v>-1</v>
      </c>
    </row>
    <row r="23" spans="2:15" ht="36.75" customHeight="1">
      <c r="B23" s="176" t="s">
        <v>63</v>
      </c>
      <c r="C23" s="22"/>
      <c r="D23" s="56" t="s">
        <v>60</v>
      </c>
      <c r="E23" s="57"/>
      <c r="F23" s="174">
        <v>2.22</v>
      </c>
      <c r="G23" s="26">
        <v>1</v>
      </c>
      <c r="H23" s="27">
        <f t="shared" si="0"/>
        <v>2.22</v>
      </c>
      <c r="I23" s="28"/>
      <c r="J23" s="29"/>
      <c r="K23" s="30">
        <v>1</v>
      </c>
      <c r="L23" s="27">
        <f aca="true" t="shared" si="1" ref="L23:L36">K23*J23</f>
        <v>0</v>
      </c>
      <c r="M23" s="28"/>
      <c r="N23" s="31">
        <f aca="true" t="shared" si="2" ref="N23:N64">L23-H23</f>
        <v>-2.22</v>
      </c>
      <c r="O23" s="32">
        <f aca="true" t="shared" si="3" ref="O23:O44">IF((H23)=0,"",(N23/H23))</f>
        <v>-1</v>
      </c>
    </row>
    <row r="24" spans="2:15" ht="15">
      <c r="B24" s="176" t="s">
        <v>64</v>
      </c>
      <c r="C24" s="22"/>
      <c r="D24" s="23" t="s">
        <v>60</v>
      </c>
      <c r="E24" s="24"/>
      <c r="F24" s="25"/>
      <c r="G24" s="26">
        <v>1</v>
      </c>
      <c r="H24" s="27">
        <f t="shared" si="0"/>
        <v>0</v>
      </c>
      <c r="I24" s="28"/>
      <c r="J24" s="174">
        <v>3.25</v>
      </c>
      <c r="K24" s="30">
        <v>1</v>
      </c>
      <c r="L24" s="27">
        <f t="shared" si="1"/>
        <v>3.25</v>
      </c>
      <c r="M24" s="28"/>
      <c r="N24" s="31">
        <f t="shared" si="2"/>
        <v>3.25</v>
      </c>
      <c r="O24" s="32">
        <f t="shared" si="3"/>
      </c>
    </row>
    <row r="25" spans="2:15" ht="15">
      <c r="B25" s="46" t="s">
        <v>65</v>
      </c>
      <c r="C25" s="22"/>
      <c r="D25" s="23" t="s">
        <v>61</v>
      </c>
      <c r="E25" s="24"/>
      <c r="F25" s="25">
        <v>-0.0001</v>
      </c>
      <c r="G25" s="26">
        <f>$F$16</f>
        <v>250</v>
      </c>
      <c r="H25" s="27">
        <f t="shared" si="0"/>
        <v>-0.025</v>
      </c>
      <c r="I25" s="28"/>
      <c r="J25" s="174"/>
      <c r="K25" s="26">
        <f>$F$16</f>
        <v>250</v>
      </c>
      <c r="L25" s="27">
        <f t="shared" si="1"/>
        <v>0</v>
      </c>
      <c r="M25" s="28"/>
      <c r="N25" s="31">
        <f t="shared" si="2"/>
        <v>0.025</v>
      </c>
      <c r="O25" s="32">
        <f t="shared" si="3"/>
        <v>-1</v>
      </c>
    </row>
    <row r="26" spans="2:15" ht="15">
      <c r="B26" s="46" t="s">
        <v>66</v>
      </c>
      <c r="C26" s="22"/>
      <c r="D26" s="23" t="s">
        <v>61</v>
      </c>
      <c r="E26" s="24"/>
      <c r="F26" s="25"/>
      <c r="G26" s="26">
        <f>$F$16</f>
        <v>250</v>
      </c>
      <c r="H26" s="27">
        <f t="shared" si="0"/>
        <v>0</v>
      </c>
      <c r="I26" s="28"/>
      <c r="J26" s="29">
        <f>'[4]6. Rate Rider Calculations'!$F$75</f>
        <v>-0.0023955525753637957</v>
      </c>
      <c r="K26" s="26">
        <f>$F$16</f>
        <v>250</v>
      </c>
      <c r="L26" s="27">
        <f t="shared" si="1"/>
        <v>-0.5988881438409489</v>
      </c>
      <c r="M26" s="28"/>
      <c r="N26" s="31">
        <f t="shared" si="2"/>
        <v>-0.5988881438409489</v>
      </c>
      <c r="O26" s="32">
        <f t="shared" si="3"/>
      </c>
    </row>
    <row r="27" spans="2:15" ht="15">
      <c r="B27" s="22" t="s">
        <v>19</v>
      </c>
      <c r="C27" s="22"/>
      <c r="D27" s="23" t="s">
        <v>61</v>
      </c>
      <c r="E27" s="24"/>
      <c r="F27" s="25">
        <f>'[2]2013 Existing Rates'!$E$6</f>
        <v>0.0163</v>
      </c>
      <c r="G27" s="26">
        <f>$F$16</f>
        <v>250</v>
      </c>
      <c r="H27" s="27">
        <f t="shared" si="0"/>
        <v>4.074999999999999</v>
      </c>
      <c r="I27" s="28"/>
      <c r="J27" s="29">
        <f>'[3]Rate Schedule '!$E$11</f>
        <v>0.0119</v>
      </c>
      <c r="K27" s="26">
        <f>$F$16</f>
        <v>250</v>
      </c>
      <c r="L27" s="27">
        <f t="shared" si="1"/>
        <v>2.975</v>
      </c>
      <c r="M27" s="28"/>
      <c r="N27" s="31">
        <f t="shared" si="2"/>
        <v>-1.0999999999999992</v>
      </c>
      <c r="O27" s="32">
        <f t="shared" si="3"/>
        <v>-0.2699386503067483</v>
      </c>
    </row>
    <row r="28" spans="2:15" ht="15" hidden="1">
      <c r="B28" s="22" t="s">
        <v>20</v>
      </c>
      <c r="C28" s="22"/>
      <c r="D28" s="23"/>
      <c r="E28" s="24"/>
      <c r="F28" s="25"/>
      <c r="G28" s="26">
        <f>$F$16</f>
        <v>250</v>
      </c>
      <c r="H28" s="27">
        <f t="shared" si="0"/>
        <v>0</v>
      </c>
      <c r="I28" s="28"/>
      <c r="J28" s="29"/>
      <c r="K28" s="26">
        <f aca="true" t="shared" si="4" ref="K28:K36">$F$16</f>
        <v>250</v>
      </c>
      <c r="L28" s="27">
        <f t="shared" si="1"/>
        <v>0</v>
      </c>
      <c r="M28" s="28"/>
      <c r="N28" s="31">
        <f t="shared" si="2"/>
        <v>0</v>
      </c>
      <c r="O28" s="32">
        <f t="shared" si="3"/>
      </c>
    </row>
    <row r="29" spans="2:15" ht="15" hidden="1">
      <c r="B29" s="22" t="s">
        <v>21</v>
      </c>
      <c r="C29" s="22"/>
      <c r="D29" s="23"/>
      <c r="E29" s="24"/>
      <c r="F29" s="25"/>
      <c r="G29" s="26">
        <f>$F$16</f>
        <v>250</v>
      </c>
      <c r="H29" s="27">
        <f t="shared" si="0"/>
        <v>0</v>
      </c>
      <c r="I29" s="28"/>
      <c r="J29" s="29"/>
      <c r="K29" s="26">
        <f t="shared" si="4"/>
        <v>250</v>
      </c>
      <c r="L29" s="27">
        <f t="shared" si="1"/>
        <v>0</v>
      </c>
      <c r="M29" s="28"/>
      <c r="N29" s="31">
        <f t="shared" si="2"/>
        <v>0</v>
      </c>
      <c r="O29" s="32">
        <f t="shared" si="3"/>
      </c>
    </row>
    <row r="30" spans="2:15" ht="15" hidden="1">
      <c r="B30" s="33"/>
      <c r="C30" s="22"/>
      <c r="D30" s="23"/>
      <c r="E30" s="24"/>
      <c r="F30" s="25"/>
      <c r="G30" s="26">
        <f aca="true" t="shared" si="5" ref="G30:G36">$F$16</f>
        <v>250</v>
      </c>
      <c r="H30" s="27">
        <f t="shared" si="0"/>
        <v>0</v>
      </c>
      <c r="I30" s="28"/>
      <c r="J30" s="29"/>
      <c r="K30" s="26">
        <f t="shared" si="4"/>
        <v>250</v>
      </c>
      <c r="L30" s="27">
        <f t="shared" si="1"/>
        <v>0</v>
      </c>
      <c r="M30" s="28"/>
      <c r="N30" s="31">
        <f t="shared" si="2"/>
        <v>0</v>
      </c>
      <c r="O30" s="32">
        <f t="shared" si="3"/>
      </c>
    </row>
    <row r="31" spans="2:15" ht="15" hidden="1">
      <c r="B31" s="33"/>
      <c r="C31" s="22"/>
      <c r="D31" s="23"/>
      <c r="E31" s="24"/>
      <c r="F31" s="25"/>
      <c r="G31" s="26">
        <f t="shared" si="5"/>
        <v>250</v>
      </c>
      <c r="H31" s="27">
        <f t="shared" si="0"/>
        <v>0</v>
      </c>
      <c r="I31" s="28"/>
      <c r="J31" s="29"/>
      <c r="K31" s="26">
        <f t="shared" si="4"/>
        <v>250</v>
      </c>
      <c r="L31" s="27">
        <f t="shared" si="1"/>
        <v>0</v>
      </c>
      <c r="M31" s="28"/>
      <c r="N31" s="31">
        <f t="shared" si="2"/>
        <v>0</v>
      </c>
      <c r="O31" s="32">
        <f t="shared" si="3"/>
      </c>
    </row>
    <row r="32" spans="2:15" ht="15" hidden="1">
      <c r="B32" s="33"/>
      <c r="C32" s="22"/>
      <c r="D32" s="23"/>
      <c r="E32" s="24"/>
      <c r="F32" s="25"/>
      <c r="G32" s="26">
        <f t="shared" si="5"/>
        <v>250</v>
      </c>
      <c r="H32" s="27">
        <f t="shared" si="0"/>
        <v>0</v>
      </c>
      <c r="I32" s="28"/>
      <c r="J32" s="29"/>
      <c r="K32" s="26">
        <f t="shared" si="4"/>
        <v>250</v>
      </c>
      <c r="L32" s="27">
        <f t="shared" si="1"/>
        <v>0</v>
      </c>
      <c r="M32" s="28"/>
      <c r="N32" s="31">
        <f t="shared" si="2"/>
        <v>0</v>
      </c>
      <c r="O32" s="32">
        <f t="shared" si="3"/>
      </c>
    </row>
    <row r="33" spans="2:15" ht="15" hidden="1">
      <c r="B33" s="33"/>
      <c r="C33" s="22"/>
      <c r="D33" s="23"/>
      <c r="E33" s="24"/>
      <c r="F33" s="25"/>
      <c r="G33" s="26">
        <f t="shared" si="5"/>
        <v>250</v>
      </c>
      <c r="H33" s="27">
        <f t="shared" si="0"/>
        <v>0</v>
      </c>
      <c r="I33" s="28"/>
      <c r="J33" s="29"/>
      <c r="K33" s="26">
        <f t="shared" si="4"/>
        <v>250</v>
      </c>
      <c r="L33" s="27">
        <f t="shared" si="1"/>
        <v>0</v>
      </c>
      <c r="M33" s="28"/>
      <c r="N33" s="31">
        <f t="shared" si="2"/>
        <v>0</v>
      </c>
      <c r="O33" s="32">
        <f t="shared" si="3"/>
      </c>
    </row>
    <row r="34" spans="2:15" ht="15" hidden="1">
      <c r="B34" s="33"/>
      <c r="C34" s="22"/>
      <c r="D34" s="23"/>
      <c r="E34" s="24"/>
      <c r="F34" s="25"/>
      <c r="G34" s="26">
        <f t="shared" si="5"/>
        <v>250</v>
      </c>
      <c r="H34" s="27">
        <f t="shared" si="0"/>
        <v>0</v>
      </c>
      <c r="I34" s="28"/>
      <c r="J34" s="29"/>
      <c r="K34" s="26">
        <f t="shared" si="4"/>
        <v>250</v>
      </c>
      <c r="L34" s="27">
        <f t="shared" si="1"/>
        <v>0</v>
      </c>
      <c r="M34" s="28"/>
      <c r="N34" s="31">
        <f t="shared" si="2"/>
        <v>0</v>
      </c>
      <c r="O34" s="32">
        <f t="shared" si="3"/>
      </c>
    </row>
    <row r="35" spans="2:15" ht="15" hidden="1">
      <c r="B35" s="33"/>
      <c r="C35" s="22"/>
      <c r="D35" s="23"/>
      <c r="E35" s="24"/>
      <c r="F35" s="25"/>
      <c r="G35" s="26">
        <f t="shared" si="5"/>
        <v>250</v>
      </c>
      <c r="H35" s="27">
        <f t="shared" si="0"/>
        <v>0</v>
      </c>
      <c r="I35" s="28"/>
      <c r="J35" s="29"/>
      <c r="K35" s="26">
        <f t="shared" si="4"/>
        <v>250</v>
      </c>
      <c r="L35" s="27">
        <f t="shared" si="1"/>
        <v>0</v>
      </c>
      <c r="M35" s="28"/>
      <c r="N35" s="31">
        <f t="shared" si="2"/>
        <v>0</v>
      </c>
      <c r="O35" s="32">
        <f t="shared" si="3"/>
      </c>
    </row>
    <row r="36" spans="2:15" ht="15" hidden="1">
      <c r="B36" s="33"/>
      <c r="C36" s="22"/>
      <c r="D36" s="23"/>
      <c r="E36" s="24"/>
      <c r="F36" s="25"/>
      <c r="G36" s="26">
        <f t="shared" si="5"/>
        <v>250</v>
      </c>
      <c r="H36" s="27">
        <f t="shared" si="0"/>
        <v>0</v>
      </c>
      <c r="I36" s="28"/>
      <c r="J36" s="29"/>
      <c r="K36" s="26">
        <f t="shared" si="4"/>
        <v>250</v>
      </c>
      <c r="L36" s="27">
        <f t="shared" si="1"/>
        <v>0</v>
      </c>
      <c r="M36" s="28"/>
      <c r="N36" s="31">
        <f t="shared" si="2"/>
        <v>0</v>
      </c>
      <c r="O36" s="32">
        <f t="shared" si="3"/>
      </c>
    </row>
    <row r="37" spans="2:15" s="34" customFormat="1" ht="15">
      <c r="B37" s="35" t="s">
        <v>22</v>
      </c>
      <c r="C37" s="36"/>
      <c r="D37" s="37"/>
      <c r="E37" s="36"/>
      <c r="F37" s="38"/>
      <c r="G37" s="39"/>
      <c r="H37" s="40">
        <f>SUM(H21:H36)</f>
        <v>16.369999999999997</v>
      </c>
      <c r="I37" s="41"/>
      <c r="J37" s="42"/>
      <c r="K37" s="43"/>
      <c r="L37" s="40">
        <f>SUM(L21:L36)</f>
        <v>22.20611185615905</v>
      </c>
      <c r="M37" s="41"/>
      <c r="N37" s="44">
        <f t="shared" si="2"/>
        <v>5.836111856159054</v>
      </c>
      <c r="O37" s="45">
        <f t="shared" si="3"/>
        <v>0.35651263629560503</v>
      </c>
    </row>
    <row r="38" spans="2:15" ht="15" hidden="1">
      <c r="B38" s="176"/>
      <c r="C38" s="22"/>
      <c r="D38" s="56" t="s">
        <v>60</v>
      </c>
      <c r="E38" s="24"/>
      <c r="F38" s="25"/>
      <c r="G38" s="26">
        <v>1</v>
      </c>
      <c r="H38" s="27">
        <f>G38*F38</f>
        <v>0</v>
      </c>
      <c r="I38" s="28"/>
      <c r="J38" s="174"/>
      <c r="K38" s="30">
        <v>1</v>
      </c>
      <c r="L38" s="27">
        <f>K38*J38</f>
        <v>0</v>
      </c>
      <c r="M38" s="28"/>
      <c r="N38" s="31">
        <f>L38-H38</f>
        <v>0</v>
      </c>
      <c r="O38" s="32">
        <f>IF((H38)=0,"",(N38/H38))</f>
      </c>
    </row>
    <row r="39" spans="2:15" ht="25.5">
      <c r="B39" s="46" t="s">
        <v>23</v>
      </c>
      <c r="C39" s="22"/>
      <c r="D39" s="56" t="s">
        <v>61</v>
      </c>
      <c r="E39" s="57"/>
      <c r="F39" s="29">
        <v>0.0003</v>
      </c>
      <c r="G39" s="26">
        <f>$F$16</f>
        <v>250</v>
      </c>
      <c r="H39" s="27">
        <f aca="true" t="shared" si="6" ref="H39:H45">G39*F39</f>
        <v>0.075</v>
      </c>
      <c r="I39" s="28"/>
      <c r="J39" s="29">
        <f>'[4]6. Rate Rider Calculations'!$F$20</f>
        <v>-0.0007408030378165835</v>
      </c>
      <c r="K39" s="26">
        <f>$F$16</f>
        <v>250</v>
      </c>
      <c r="L39" s="27">
        <f aca="true" t="shared" si="7" ref="L39:L45">K39*J39</f>
        <v>-0.18520075945414588</v>
      </c>
      <c r="M39" s="28"/>
      <c r="N39" s="31">
        <f t="shared" si="2"/>
        <v>-0.2602007594541459</v>
      </c>
      <c r="O39" s="32">
        <f t="shared" si="3"/>
        <v>-3.469343459388612</v>
      </c>
    </row>
    <row r="40" spans="2:15" ht="15" hidden="1">
      <c r="B40" s="46"/>
      <c r="C40" s="22"/>
      <c r="D40" s="23" t="s">
        <v>61</v>
      </c>
      <c r="E40" s="24"/>
      <c r="F40" s="25"/>
      <c r="G40" s="26">
        <f>$F$16</f>
        <v>250</v>
      </c>
      <c r="H40" s="27">
        <f t="shared" si="6"/>
        <v>0</v>
      </c>
      <c r="I40" s="47"/>
      <c r="J40" s="29"/>
      <c r="K40" s="26">
        <f>$F$16</f>
        <v>250</v>
      </c>
      <c r="L40" s="27">
        <f t="shared" si="7"/>
        <v>0</v>
      </c>
      <c r="M40" s="48"/>
      <c r="N40" s="31">
        <f t="shared" si="2"/>
        <v>0</v>
      </c>
      <c r="O40" s="32">
        <f t="shared" si="3"/>
      </c>
    </row>
    <row r="41" spans="2:15" ht="15" hidden="1">
      <c r="B41" s="46"/>
      <c r="C41" s="22"/>
      <c r="D41" s="23" t="s">
        <v>61</v>
      </c>
      <c r="E41" s="24"/>
      <c r="F41" s="25"/>
      <c r="G41" s="26">
        <f>$F$16</f>
        <v>250</v>
      </c>
      <c r="H41" s="27">
        <f t="shared" si="6"/>
        <v>0</v>
      </c>
      <c r="I41" s="47"/>
      <c r="J41" s="29"/>
      <c r="K41" s="26">
        <f>$F$16</f>
        <v>250</v>
      </c>
      <c r="L41" s="27">
        <f t="shared" si="7"/>
        <v>0</v>
      </c>
      <c r="M41" s="48"/>
      <c r="N41" s="31">
        <f t="shared" si="2"/>
        <v>0</v>
      </c>
      <c r="O41" s="32">
        <f t="shared" si="3"/>
      </c>
    </row>
    <row r="42" spans="2:15" ht="15" hidden="1">
      <c r="B42" s="46"/>
      <c r="C42" s="22"/>
      <c r="D42" s="23"/>
      <c r="E42" s="24"/>
      <c r="F42" s="25"/>
      <c r="G42" s="26">
        <f>$F$16</f>
        <v>250</v>
      </c>
      <c r="H42" s="27">
        <f t="shared" si="6"/>
        <v>0</v>
      </c>
      <c r="I42" s="47"/>
      <c r="J42" s="29"/>
      <c r="K42" s="26">
        <f>$F$16</f>
        <v>250</v>
      </c>
      <c r="L42" s="27">
        <f t="shared" si="7"/>
        <v>0</v>
      </c>
      <c r="M42" s="48"/>
      <c r="N42" s="31">
        <f t="shared" si="2"/>
        <v>0</v>
      </c>
      <c r="O42" s="32">
        <f t="shared" si="3"/>
      </c>
    </row>
    <row r="43" spans="2:15" ht="15">
      <c r="B43" s="49" t="s">
        <v>24</v>
      </c>
      <c r="C43" s="22"/>
      <c r="D43" s="23" t="s">
        <v>61</v>
      </c>
      <c r="E43" s="24"/>
      <c r="F43" s="25">
        <f>0.0001</f>
        <v>0.0001</v>
      </c>
      <c r="G43" s="26">
        <f>$F$16</f>
        <v>250</v>
      </c>
      <c r="H43" s="27">
        <f t="shared" si="6"/>
        <v>0.025</v>
      </c>
      <c r="I43" s="28"/>
      <c r="J43" s="29">
        <f>'[3]Rate Schedule '!$E$12</f>
        <v>0.0001</v>
      </c>
      <c r="K43" s="26">
        <f>$F$16</f>
        <v>250</v>
      </c>
      <c r="L43" s="27">
        <f t="shared" si="7"/>
        <v>0.025</v>
      </c>
      <c r="M43" s="28"/>
      <c r="N43" s="31">
        <f t="shared" si="2"/>
        <v>0</v>
      </c>
      <c r="O43" s="32">
        <f t="shared" si="3"/>
        <v>0</v>
      </c>
    </row>
    <row r="44" spans="2:15" s="34" customFormat="1" ht="15">
      <c r="B44" s="182" t="s">
        <v>25</v>
      </c>
      <c r="C44" s="24"/>
      <c r="D44" s="183" t="s">
        <v>61</v>
      </c>
      <c r="E44" s="24"/>
      <c r="F44" s="184">
        <f>IF(ISBLANK(D14)=TRUE,0,IF(D14="TOU",0.64*$F$54+0.18*$F$55+0.18*$F$56,IF(AND(D14="non-TOU",G58&gt;0),F58,F57)))</f>
        <v>0.08892</v>
      </c>
      <c r="G44" s="26">
        <f>$F$16*(1+$F$73)-$F$16</f>
        <v>7.149999999999977</v>
      </c>
      <c r="H44" s="185">
        <f t="shared" si="6"/>
        <v>0.635777999999998</v>
      </c>
      <c r="I44" s="57"/>
      <c r="J44" s="186">
        <f>0.64*$F$54+0.18*$F$55+0.18*$F$56</f>
        <v>0.08892</v>
      </c>
      <c r="K44" s="26">
        <f>$F$16*(1+$J$73)-$F$16</f>
        <v>8.375</v>
      </c>
      <c r="L44" s="185">
        <f t="shared" si="7"/>
        <v>0.744705</v>
      </c>
      <c r="M44" s="57"/>
      <c r="N44" s="187">
        <f t="shared" si="2"/>
        <v>0.108927000000002</v>
      </c>
      <c r="O44" s="188">
        <f t="shared" si="3"/>
        <v>0.17132867132867502</v>
      </c>
    </row>
    <row r="45" spans="2:15" ht="15">
      <c r="B45" s="49" t="s">
        <v>26</v>
      </c>
      <c r="C45" s="22"/>
      <c r="D45" s="23" t="s">
        <v>60</v>
      </c>
      <c r="E45" s="24"/>
      <c r="F45" s="179">
        <v>0.79</v>
      </c>
      <c r="G45" s="26">
        <v>1</v>
      </c>
      <c r="H45" s="27">
        <f t="shared" si="6"/>
        <v>0.79</v>
      </c>
      <c r="I45" s="28"/>
      <c r="J45" s="179">
        <v>0.79</v>
      </c>
      <c r="K45" s="26">
        <v>1</v>
      </c>
      <c r="L45" s="27">
        <f t="shared" si="7"/>
        <v>0.79</v>
      </c>
      <c r="M45" s="28"/>
      <c r="N45" s="31">
        <f t="shared" si="2"/>
        <v>0</v>
      </c>
      <c r="O45" s="32"/>
    </row>
    <row r="46" spans="2:15" ht="25.5">
      <c r="B46" s="50" t="s">
        <v>27</v>
      </c>
      <c r="C46" s="51"/>
      <c r="D46" s="51"/>
      <c r="E46" s="51"/>
      <c r="F46" s="52"/>
      <c r="G46" s="53"/>
      <c r="H46" s="54">
        <f>SUM(H38:H45)+H37</f>
        <v>17.895777999999996</v>
      </c>
      <c r="I46" s="41"/>
      <c r="J46" s="53"/>
      <c r="K46" s="55"/>
      <c r="L46" s="54">
        <f>SUM(L38:L45)+L37</f>
        <v>23.580616096704905</v>
      </c>
      <c r="M46" s="41"/>
      <c r="N46" s="44">
        <f t="shared" si="2"/>
        <v>5.684838096704908</v>
      </c>
      <c r="O46" s="45">
        <f aca="true" t="shared" si="8" ref="O46:O64">IF((H46)=0,"",(N46/H46))</f>
        <v>0.31766364651511153</v>
      </c>
    </row>
    <row r="47" spans="2:15" ht="15">
      <c r="B47" s="28" t="s">
        <v>28</v>
      </c>
      <c r="C47" s="28"/>
      <c r="D47" s="56" t="s">
        <v>61</v>
      </c>
      <c r="E47" s="57"/>
      <c r="F47" s="29">
        <v>0.0062</v>
      </c>
      <c r="G47" s="58">
        <f>F16*(1+F73)</f>
        <v>257.15</v>
      </c>
      <c r="H47" s="27">
        <f>G47*F47</f>
        <v>1.5943299999999998</v>
      </c>
      <c r="I47" s="28"/>
      <c r="J47" s="29">
        <f>'[5]13. Final 2014 RTS Rates'!$F$26</f>
        <v>0.006672891733385364</v>
      </c>
      <c r="K47" s="59">
        <f>F16*(1+J73)</f>
        <v>258.375</v>
      </c>
      <c r="L47" s="27">
        <f>K47*J47</f>
        <v>1.7241084016134434</v>
      </c>
      <c r="M47" s="28"/>
      <c r="N47" s="31">
        <f t="shared" si="2"/>
        <v>0.12977840161344356</v>
      </c>
      <c r="O47" s="32">
        <f t="shared" si="8"/>
        <v>0.0813999621241798</v>
      </c>
    </row>
    <row r="48" spans="2:15" ht="30">
      <c r="B48" s="60" t="s">
        <v>29</v>
      </c>
      <c r="C48" s="28"/>
      <c r="D48" s="56" t="s">
        <v>61</v>
      </c>
      <c r="E48" s="57"/>
      <c r="F48" s="29">
        <v>0.0036</v>
      </c>
      <c r="G48" s="58">
        <f>G47</f>
        <v>257.15</v>
      </c>
      <c r="H48" s="27">
        <f>G48*F48</f>
        <v>0.9257399999999999</v>
      </c>
      <c r="I48" s="28"/>
      <c r="J48" s="29">
        <f>'[5]13. Final 2014 RTS Rates'!$H$26</f>
        <v>0.004150792266205902</v>
      </c>
      <c r="K48" s="59">
        <f>K47</f>
        <v>258.375</v>
      </c>
      <c r="L48" s="27">
        <f>K48*J48</f>
        <v>1.07246095178095</v>
      </c>
      <c r="M48" s="28"/>
      <c r="N48" s="31">
        <f t="shared" si="2"/>
        <v>0.14672095178095013</v>
      </c>
      <c r="O48" s="32">
        <f t="shared" si="8"/>
        <v>0.15849045280634966</v>
      </c>
    </row>
    <row r="49" spans="2:15" ht="25.5">
      <c r="B49" s="50" t="s">
        <v>30</v>
      </c>
      <c r="C49" s="36"/>
      <c r="D49" s="36"/>
      <c r="E49" s="36"/>
      <c r="F49" s="61"/>
      <c r="G49" s="53"/>
      <c r="H49" s="54">
        <f>SUM(H46:H48)</f>
        <v>20.415847999999997</v>
      </c>
      <c r="I49" s="62"/>
      <c r="J49" s="63"/>
      <c r="K49" s="64"/>
      <c r="L49" s="54">
        <f>SUM(L46:L48)</f>
        <v>26.377185450099297</v>
      </c>
      <c r="M49" s="62"/>
      <c r="N49" s="44">
        <f t="shared" si="2"/>
        <v>5.9613374500993</v>
      </c>
      <c r="O49" s="45">
        <f t="shared" si="8"/>
        <v>0.29199558353389493</v>
      </c>
    </row>
    <row r="50" spans="2:15" ht="30">
      <c r="B50" s="65" t="s">
        <v>31</v>
      </c>
      <c r="C50" s="22"/>
      <c r="D50" s="23" t="s">
        <v>61</v>
      </c>
      <c r="E50" s="24"/>
      <c r="F50" s="66">
        <v>0.0044</v>
      </c>
      <c r="G50" s="58">
        <f>G48</f>
        <v>257.15</v>
      </c>
      <c r="H50" s="67">
        <f aca="true" t="shared" si="9" ref="H50:H56">G50*F50</f>
        <v>1.13146</v>
      </c>
      <c r="I50" s="28"/>
      <c r="J50" s="68">
        <v>0.0044</v>
      </c>
      <c r="K50" s="59">
        <f>K48</f>
        <v>258.375</v>
      </c>
      <c r="L50" s="67">
        <f aca="true" t="shared" si="10" ref="L50:L56">K50*J50</f>
        <v>1.1368500000000001</v>
      </c>
      <c r="M50" s="28"/>
      <c r="N50" s="31">
        <f t="shared" si="2"/>
        <v>0.005390000000000228</v>
      </c>
      <c r="O50" s="69">
        <f t="shared" si="8"/>
        <v>0.004763756562317915</v>
      </c>
    </row>
    <row r="51" spans="2:15" ht="15">
      <c r="B51" s="65" t="s">
        <v>32</v>
      </c>
      <c r="C51" s="22"/>
      <c r="D51" s="23" t="s">
        <v>61</v>
      </c>
      <c r="E51" s="24"/>
      <c r="F51" s="66">
        <v>0.0012</v>
      </c>
      <c r="G51" s="58">
        <f>G48</f>
        <v>257.15</v>
      </c>
      <c r="H51" s="67">
        <f t="shared" si="9"/>
        <v>0.30857999999999997</v>
      </c>
      <c r="I51" s="28"/>
      <c r="J51" s="68">
        <v>0.0012</v>
      </c>
      <c r="K51" s="59">
        <f>K48</f>
        <v>258.375</v>
      </c>
      <c r="L51" s="67">
        <f t="shared" si="10"/>
        <v>0.31005</v>
      </c>
      <c r="M51" s="28"/>
      <c r="N51" s="31">
        <f t="shared" si="2"/>
        <v>0.0014700000000000268</v>
      </c>
      <c r="O51" s="69">
        <f t="shared" si="8"/>
        <v>0.004763756562317801</v>
      </c>
    </row>
    <row r="52" spans="2:15" ht="15">
      <c r="B52" s="22" t="s">
        <v>33</v>
      </c>
      <c r="C52" s="22"/>
      <c r="D52" s="23" t="s">
        <v>60</v>
      </c>
      <c r="E52" s="24"/>
      <c r="F52" s="177">
        <v>0.25</v>
      </c>
      <c r="G52" s="26">
        <v>1</v>
      </c>
      <c r="H52" s="67">
        <f t="shared" si="9"/>
        <v>0.25</v>
      </c>
      <c r="I52" s="28"/>
      <c r="J52" s="178">
        <v>0.25</v>
      </c>
      <c r="K52" s="30">
        <v>1</v>
      </c>
      <c r="L52" s="67">
        <f t="shared" si="10"/>
        <v>0.25</v>
      </c>
      <c r="M52" s="28"/>
      <c r="N52" s="31">
        <f t="shared" si="2"/>
        <v>0</v>
      </c>
      <c r="O52" s="69">
        <f t="shared" si="8"/>
        <v>0</v>
      </c>
    </row>
    <row r="53" spans="2:15" ht="15">
      <c r="B53" s="22" t="s">
        <v>34</v>
      </c>
      <c r="C53" s="22"/>
      <c r="D53" s="23" t="s">
        <v>61</v>
      </c>
      <c r="E53" s="24"/>
      <c r="F53" s="66">
        <v>0.007</v>
      </c>
      <c r="G53" s="70">
        <f>F16</f>
        <v>250</v>
      </c>
      <c r="H53" s="67">
        <f t="shared" si="9"/>
        <v>1.75</v>
      </c>
      <c r="I53" s="28"/>
      <c r="J53" s="68">
        <f>0.007</f>
        <v>0.007</v>
      </c>
      <c r="K53" s="71">
        <f>F16</f>
        <v>250</v>
      </c>
      <c r="L53" s="67">
        <f t="shared" si="10"/>
        <v>1.75</v>
      </c>
      <c r="M53" s="28"/>
      <c r="N53" s="31">
        <f t="shared" si="2"/>
        <v>0</v>
      </c>
      <c r="O53" s="69">
        <f t="shared" si="8"/>
        <v>0</v>
      </c>
    </row>
    <row r="54" spans="2:19" ht="15">
      <c r="B54" s="49" t="s">
        <v>35</v>
      </c>
      <c r="C54" s="22"/>
      <c r="D54" s="23" t="s">
        <v>61</v>
      </c>
      <c r="E54" s="24"/>
      <c r="F54" s="72">
        <v>0.072</v>
      </c>
      <c r="G54" s="70">
        <f>0.64*$F$16</f>
        <v>160</v>
      </c>
      <c r="H54" s="67">
        <f t="shared" si="9"/>
        <v>11.52</v>
      </c>
      <c r="I54" s="28"/>
      <c r="J54" s="66">
        <v>0.072</v>
      </c>
      <c r="K54" s="70">
        <f>G54</f>
        <v>160</v>
      </c>
      <c r="L54" s="67">
        <f t="shared" si="10"/>
        <v>11.52</v>
      </c>
      <c r="M54" s="28"/>
      <c r="N54" s="31">
        <f t="shared" si="2"/>
        <v>0</v>
      </c>
      <c r="O54" s="69">
        <f t="shared" si="8"/>
        <v>0</v>
      </c>
      <c r="S54" s="73"/>
    </row>
    <row r="55" spans="2:19" ht="15">
      <c r="B55" s="49" t="s">
        <v>36</v>
      </c>
      <c r="C55" s="22"/>
      <c r="D55" s="23" t="s">
        <v>61</v>
      </c>
      <c r="E55" s="24"/>
      <c r="F55" s="72">
        <v>0.109</v>
      </c>
      <c r="G55" s="70">
        <f>0.18*$F$16</f>
        <v>45</v>
      </c>
      <c r="H55" s="67">
        <f t="shared" si="9"/>
        <v>4.905</v>
      </c>
      <c r="I55" s="28"/>
      <c r="J55" s="66">
        <v>0.109</v>
      </c>
      <c r="K55" s="70">
        <f>G55</f>
        <v>45</v>
      </c>
      <c r="L55" s="67">
        <f t="shared" si="10"/>
        <v>4.905</v>
      </c>
      <c r="M55" s="28"/>
      <c r="N55" s="31">
        <f t="shared" si="2"/>
        <v>0</v>
      </c>
      <c r="O55" s="69">
        <f t="shared" si="8"/>
        <v>0</v>
      </c>
      <c r="S55" s="73"/>
    </row>
    <row r="56" spans="2:19" ht="15">
      <c r="B56" s="12" t="s">
        <v>37</v>
      </c>
      <c r="C56" s="22"/>
      <c r="D56" s="23" t="s">
        <v>61</v>
      </c>
      <c r="E56" s="24"/>
      <c r="F56" s="72">
        <v>0.129</v>
      </c>
      <c r="G56" s="70">
        <f>0.18*$F$16</f>
        <v>45</v>
      </c>
      <c r="H56" s="67">
        <f t="shared" si="9"/>
        <v>5.805</v>
      </c>
      <c r="I56" s="28"/>
      <c r="J56" s="66">
        <v>0.129</v>
      </c>
      <c r="K56" s="70">
        <f>G56</f>
        <v>45</v>
      </c>
      <c r="L56" s="67">
        <f t="shared" si="10"/>
        <v>5.805</v>
      </c>
      <c r="M56" s="28"/>
      <c r="N56" s="31">
        <f t="shared" si="2"/>
        <v>0</v>
      </c>
      <c r="O56" s="69">
        <f t="shared" si="8"/>
        <v>0</v>
      </c>
      <c r="S56" s="73"/>
    </row>
    <row r="57" spans="2:15" s="74" customFormat="1" ht="15">
      <c r="B57" s="75" t="s">
        <v>38</v>
      </c>
      <c r="C57" s="76"/>
      <c r="D57" s="77" t="s">
        <v>61</v>
      </c>
      <c r="E57" s="78"/>
      <c r="F57" s="72">
        <v>0.083</v>
      </c>
      <c r="G57" s="79">
        <f>IF(AND($T$1=1,F16&gt;=600),600,IF(AND($T$1=1,AND(F16&lt;600,F16&gt;=0)),F16,IF(AND($T$1=2,F16&gt;=1000),1000,IF(AND($T$1=2,AND(F16&lt;1000,F16&gt;=0)),F16))))</f>
        <v>250</v>
      </c>
      <c r="H57" s="67">
        <f>G57*F57</f>
        <v>20.75</v>
      </c>
      <c r="I57" s="80"/>
      <c r="J57" s="66">
        <v>0.083</v>
      </c>
      <c r="K57" s="79">
        <f>G57</f>
        <v>250</v>
      </c>
      <c r="L57" s="67">
        <f>K57*J57</f>
        <v>20.75</v>
      </c>
      <c r="M57" s="80"/>
      <c r="N57" s="81">
        <f t="shared" si="2"/>
        <v>0</v>
      </c>
      <c r="O57" s="69">
        <f t="shared" si="8"/>
        <v>0</v>
      </c>
    </row>
    <row r="58" spans="2:15" s="74" customFormat="1" ht="15.75" thickBot="1">
      <c r="B58" s="75" t="s">
        <v>39</v>
      </c>
      <c r="C58" s="76"/>
      <c r="D58" s="77" t="s">
        <v>61</v>
      </c>
      <c r="E58" s="78"/>
      <c r="F58" s="72">
        <v>0.097</v>
      </c>
      <c r="G58" s="79">
        <f>IF(AND($T$1=1,F16&gt;=600),F16-600,IF(AND($T$1=1,AND(F16&lt;600,F16&gt;=0)),0,IF(AND($T$1=2,F16&gt;=1000),F16-1000,IF(AND($T$1=2,AND(F16&lt;1000,F16&gt;=0)),0))))</f>
        <v>0</v>
      </c>
      <c r="H58" s="67">
        <f>G58*F58</f>
        <v>0</v>
      </c>
      <c r="I58" s="80"/>
      <c r="J58" s="66">
        <v>0.097</v>
      </c>
      <c r="K58" s="79">
        <f>G58</f>
        <v>0</v>
      </c>
      <c r="L58" s="67">
        <f>K58*J58</f>
        <v>0</v>
      </c>
      <c r="M58" s="80"/>
      <c r="N58" s="81">
        <f t="shared" si="2"/>
        <v>0</v>
      </c>
      <c r="O58" s="69">
        <f t="shared" si="8"/>
      </c>
    </row>
    <row r="59" spans="2:15" ht="8.25" customHeight="1" thickBot="1">
      <c r="B59" s="82"/>
      <c r="C59" s="83"/>
      <c r="D59" s="84"/>
      <c r="E59" s="83"/>
      <c r="F59" s="85"/>
      <c r="G59" s="86"/>
      <c r="H59" s="87"/>
      <c r="I59" s="88"/>
      <c r="J59" s="85"/>
      <c r="K59" s="89"/>
      <c r="L59" s="87"/>
      <c r="M59" s="88"/>
      <c r="N59" s="90"/>
      <c r="O59" s="91"/>
    </row>
    <row r="60" spans="2:19" ht="15">
      <c r="B60" s="92" t="s">
        <v>40</v>
      </c>
      <c r="C60" s="22"/>
      <c r="D60" s="22"/>
      <c r="E60" s="22"/>
      <c r="F60" s="93"/>
      <c r="G60" s="94"/>
      <c r="H60" s="95">
        <f>SUM(H50:H56,H49)</f>
        <v>46.085888</v>
      </c>
      <c r="I60" s="96"/>
      <c r="J60" s="97"/>
      <c r="K60" s="97"/>
      <c r="L60" s="191">
        <f>SUM(L50:L56,L49)</f>
        <v>52.054085450099294</v>
      </c>
      <c r="M60" s="98"/>
      <c r="N60" s="99">
        <f>L60-H60</f>
        <v>5.9681974500992965</v>
      </c>
      <c r="O60" s="100">
        <f>IF((H60)=0,"",(N60/H60))</f>
        <v>0.12950162640023985</v>
      </c>
      <c r="S60" s="73"/>
    </row>
    <row r="61" spans="2:19" ht="15">
      <c r="B61" s="101" t="s">
        <v>41</v>
      </c>
      <c r="C61" s="22"/>
      <c r="D61" s="22"/>
      <c r="E61" s="22"/>
      <c r="F61" s="102">
        <v>0.13</v>
      </c>
      <c r="G61" s="103"/>
      <c r="H61" s="104">
        <f>H60*F61</f>
        <v>5.99116544</v>
      </c>
      <c r="I61" s="105"/>
      <c r="J61" s="106">
        <v>0.13</v>
      </c>
      <c r="K61" s="105"/>
      <c r="L61" s="107">
        <f>L60*J61</f>
        <v>6.767031108512908</v>
      </c>
      <c r="M61" s="108"/>
      <c r="N61" s="109">
        <f t="shared" si="2"/>
        <v>0.7758656685129086</v>
      </c>
      <c r="O61" s="110">
        <f t="shared" si="8"/>
        <v>0.12950162640023985</v>
      </c>
      <c r="S61" s="73"/>
    </row>
    <row r="62" spans="2:19" ht="15">
      <c r="B62" s="111" t="s">
        <v>42</v>
      </c>
      <c r="C62" s="22"/>
      <c r="D62" s="22"/>
      <c r="E62" s="22"/>
      <c r="F62" s="112"/>
      <c r="G62" s="103"/>
      <c r="H62" s="104">
        <f>H60+H61</f>
        <v>52.07705344</v>
      </c>
      <c r="I62" s="105"/>
      <c r="J62" s="105"/>
      <c r="K62" s="105"/>
      <c r="L62" s="107">
        <f>L60+L61</f>
        <v>58.821116558612204</v>
      </c>
      <c r="M62" s="108"/>
      <c r="N62" s="109">
        <f t="shared" si="2"/>
        <v>6.744063118612203</v>
      </c>
      <c r="O62" s="110">
        <f t="shared" si="8"/>
        <v>0.1295016264002398</v>
      </c>
      <c r="S62" s="73"/>
    </row>
    <row r="63" spans="2:15" ht="15.75" customHeight="1">
      <c r="B63" s="251" t="s">
        <v>43</v>
      </c>
      <c r="C63" s="251"/>
      <c r="D63" s="251"/>
      <c r="E63" s="22"/>
      <c r="F63" s="112"/>
      <c r="G63" s="103"/>
      <c r="H63" s="113">
        <f>ROUND(-H62*10%,2)</f>
        <v>-5.21</v>
      </c>
      <c r="I63" s="105"/>
      <c r="J63" s="105"/>
      <c r="K63" s="105"/>
      <c r="L63" s="114">
        <f>ROUND(-L62*10%,2)</f>
        <v>-5.88</v>
      </c>
      <c r="M63" s="108"/>
      <c r="N63" s="115">
        <f t="shared" si="2"/>
        <v>-0.6699999999999999</v>
      </c>
      <c r="O63" s="116">
        <f t="shared" si="8"/>
        <v>0.12859884836852206</v>
      </c>
    </row>
    <row r="64" spans="2:15" ht="15.75" thickBot="1">
      <c r="B64" s="233" t="s">
        <v>44</v>
      </c>
      <c r="C64" s="233"/>
      <c r="D64" s="233"/>
      <c r="E64" s="117"/>
      <c r="F64" s="118"/>
      <c r="G64" s="119"/>
      <c r="H64" s="120">
        <f>H62+H63</f>
        <v>46.86705344</v>
      </c>
      <c r="I64" s="121"/>
      <c r="J64" s="121"/>
      <c r="K64" s="121"/>
      <c r="L64" s="122">
        <f>L62+L63</f>
        <v>52.9411165586122</v>
      </c>
      <c r="M64" s="123"/>
      <c r="N64" s="124">
        <f t="shared" si="2"/>
        <v>6.074063118612202</v>
      </c>
      <c r="O64" s="125">
        <f t="shared" si="8"/>
        <v>0.12960198418252006</v>
      </c>
    </row>
    <row r="65" spans="2:15" s="74" customFormat="1" ht="8.25" customHeight="1" thickBot="1">
      <c r="B65" s="126"/>
      <c r="C65" s="127"/>
      <c r="D65" s="128"/>
      <c r="E65" s="127"/>
      <c r="F65" s="85"/>
      <c r="G65" s="129"/>
      <c r="H65" s="87"/>
      <c r="I65" s="130"/>
      <c r="J65" s="85"/>
      <c r="K65" s="131"/>
      <c r="L65" s="87"/>
      <c r="M65" s="130"/>
      <c r="N65" s="132"/>
      <c r="O65" s="91"/>
    </row>
    <row r="66" spans="2:15" s="74" customFormat="1" ht="12.75">
      <c r="B66" s="133" t="s">
        <v>45</v>
      </c>
      <c r="C66" s="76"/>
      <c r="D66" s="76"/>
      <c r="E66" s="76"/>
      <c r="F66" s="134"/>
      <c r="G66" s="135"/>
      <c r="H66" s="136">
        <f>SUM(H57:H58,H49,H50:H53)</f>
        <v>44.60588799999999</v>
      </c>
      <c r="I66" s="137"/>
      <c r="J66" s="138"/>
      <c r="K66" s="138"/>
      <c r="L66" s="190">
        <f>SUM(L57:L58,L49,L50:L53)</f>
        <v>50.5740854500993</v>
      </c>
      <c r="M66" s="139"/>
      <c r="N66" s="140">
        <f>L66-H66</f>
        <v>5.968197450099304</v>
      </c>
      <c r="O66" s="100">
        <f>IF((H66)=0,"",(N66/H66))</f>
        <v>0.13379842253335042</v>
      </c>
    </row>
    <row r="67" spans="2:15" s="74" customFormat="1" ht="12.75">
      <c r="B67" s="141" t="s">
        <v>41</v>
      </c>
      <c r="C67" s="76"/>
      <c r="D67" s="76"/>
      <c r="E67" s="76"/>
      <c r="F67" s="142">
        <v>0.13</v>
      </c>
      <c r="G67" s="135"/>
      <c r="H67" s="143">
        <f>H66*F67</f>
        <v>5.7987654399999995</v>
      </c>
      <c r="I67" s="144"/>
      <c r="J67" s="145">
        <v>0.13</v>
      </c>
      <c r="K67" s="146"/>
      <c r="L67" s="147">
        <f>L66*J67</f>
        <v>6.574631108512909</v>
      </c>
      <c r="M67" s="148"/>
      <c r="N67" s="149">
        <f>L67-H67</f>
        <v>0.7758656685129095</v>
      </c>
      <c r="O67" s="110">
        <f>IF((H67)=0,"",(N67/H67))</f>
        <v>0.1337984225333504</v>
      </c>
    </row>
    <row r="68" spans="2:15" s="74" customFormat="1" ht="12.75">
      <c r="B68" s="150" t="s">
        <v>42</v>
      </c>
      <c r="C68" s="76"/>
      <c r="D68" s="76"/>
      <c r="E68" s="76"/>
      <c r="F68" s="151"/>
      <c r="G68" s="152"/>
      <c r="H68" s="143">
        <f>H66+H67</f>
        <v>50.40465343999999</v>
      </c>
      <c r="I68" s="144"/>
      <c r="J68" s="144"/>
      <c r="K68" s="144"/>
      <c r="L68" s="147">
        <f>L66+L67</f>
        <v>57.14871655861221</v>
      </c>
      <c r="M68" s="148"/>
      <c r="N68" s="149">
        <f>L68-H68</f>
        <v>6.7440631186122175</v>
      </c>
      <c r="O68" s="110">
        <f>IF((H68)=0,"",(N68/H68))</f>
        <v>0.1337984225333505</v>
      </c>
    </row>
    <row r="69" spans="2:15" s="74" customFormat="1" ht="15.75" customHeight="1">
      <c r="B69" s="239" t="s">
        <v>43</v>
      </c>
      <c r="C69" s="239"/>
      <c r="D69" s="239"/>
      <c r="E69" s="76"/>
      <c r="F69" s="151"/>
      <c r="G69" s="152"/>
      <c r="H69" s="153">
        <f>ROUND(-H68*10%,2)</f>
        <v>-5.04</v>
      </c>
      <c r="I69" s="144"/>
      <c r="J69" s="144"/>
      <c r="K69" s="144"/>
      <c r="L69" s="154">
        <f>ROUND(-L68*10%,2)</f>
        <v>-5.71</v>
      </c>
      <c r="M69" s="148"/>
      <c r="N69" s="155">
        <f>L69-H69</f>
        <v>-0.6699999999999999</v>
      </c>
      <c r="O69" s="116">
        <f>IF((H69)=0,"",(N69/H69))</f>
        <v>0.1329365079365079</v>
      </c>
    </row>
    <row r="70" spans="2:15" s="74" customFormat="1" ht="13.5" thickBot="1">
      <c r="B70" s="244" t="s">
        <v>46</v>
      </c>
      <c r="C70" s="244"/>
      <c r="D70" s="244"/>
      <c r="E70" s="156"/>
      <c r="F70" s="157"/>
      <c r="G70" s="158"/>
      <c r="H70" s="159">
        <f>SUM(H68:H69)</f>
        <v>45.36465343999999</v>
      </c>
      <c r="I70" s="160"/>
      <c r="J70" s="160"/>
      <c r="K70" s="160"/>
      <c r="L70" s="161">
        <f>SUM(L68:L69)</f>
        <v>51.43871655861221</v>
      </c>
      <c r="M70" s="162"/>
      <c r="N70" s="163">
        <f>L70-H70</f>
        <v>6.074063118612216</v>
      </c>
      <c r="O70" s="164">
        <f>IF((H70)=0,"",(N70/H70))</f>
        <v>0.13389418099811715</v>
      </c>
    </row>
    <row r="71" spans="2:15" s="74" customFormat="1" ht="8.25" customHeight="1" thickBot="1">
      <c r="B71" s="126"/>
      <c r="C71" s="127"/>
      <c r="D71" s="128"/>
      <c r="E71" s="127"/>
      <c r="F71" s="165"/>
      <c r="G71" s="166"/>
      <c r="H71" s="167"/>
      <c r="I71" s="168"/>
      <c r="J71" s="165"/>
      <c r="K71" s="129"/>
      <c r="L71" s="169"/>
      <c r="M71" s="130"/>
      <c r="N71" s="170"/>
      <c r="O71" s="91"/>
    </row>
    <row r="72" ht="10.5" customHeight="1">
      <c r="L72" s="73"/>
    </row>
    <row r="73" spans="2:10" ht="15">
      <c r="B73" s="13" t="s">
        <v>47</v>
      </c>
      <c r="F73" s="171">
        <v>0.0286</v>
      </c>
      <c r="J73" s="171">
        <v>0.0335</v>
      </c>
    </row>
    <row r="74" ht="10.5" customHeight="1"/>
    <row r="75" ht="15">
      <c r="A75" s="172" t="s">
        <v>48</v>
      </c>
    </row>
    <row r="76" ht="10.5" customHeight="1"/>
    <row r="77" ht="15">
      <c r="A77" s="7" t="s">
        <v>49</v>
      </c>
    </row>
    <row r="78" ht="15">
      <c r="A78" s="7" t="s">
        <v>50</v>
      </c>
    </row>
    <row r="80" ht="15">
      <c r="A80" s="12" t="s">
        <v>51</v>
      </c>
    </row>
    <row r="81" ht="15">
      <c r="A81" s="12" t="s">
        <v>52</v>
      </c>
    </row>
    <row r="83" ht="15">
      <c r="A83" s="7" t="s">
        <v>53</v>
      </c>
    </row>
    <row r="84" ht="15">
      <c r="A84" s="7" t="s">
        <v>54</v>
      </c>
    </row>
    <row r="85" ht="15">
      <c r="A85" s="7" t="s">
        <v>55</v>
      </c>
    </row>
    <row r="86" ht="15">
      <c r="A86" s="7" t="s">
        <v>56</v>
      </c>
    </row>
    <row r="87" ht="15">
      <c r="A87" s="7" t="s">
        <v>57</v>
      </c>
    </row>
    <row r="89" spans="1:2" ht="15">
      <c r="A89" s="173"/>
      <c r="B89" s="7" t="s">
        <v>58</v>
      </c>
    </row>
  </sheetData>
  <sheetProtection/>
  <mergeCells count="17">
    <mergeCell ref="B69:D69"/>
    <mergeCell ref="F18:H18"/>
    <mergeCell ref="J18:L18"/>
    <mergeCell ref="N18:O18"/>
    <mergeCell ref="N3:O3"/>
    <mergeCell ref="B70:D70"/>
    <mergeCell ref="D19:D20"/>
    <mergeCell ref="N19:N20"/>
    <mergeCell ref="O19:O20"/>
    <mergeCell ref="B63:D63"/>
    <mergeCell ref="B64:D64"/>
    <mergeCell ref="N1:O1"/>
    <mergeCell ref="N2:O2"/>
    <mergeCell ref="N5:O5"/>
    <mergeCell ref="B8:O8"/>
    <mergeCell ref="B9:O9"/>
    <mergeCell ref="D12:O12"/>
  </mergeCells>
  <dataValidations count="4">
    <dataValidation type="list" allowBlank="1" showInputMessage="1" showErrorMessage="1" sqref="E47:E48 E50:E56 E59 E38:E45 E21:E36">
      <formula1>'Res (250kWh)'!#REF!</formula1>
    </dataValidation>
    <dataValidation type="list" allowBlank="1" showInputMessage="1" showErrorMessage="1" prompt="Select Charge Unit - monthly, per kWh, per kW" sqref="D47:D48 D65 D71 D50:D59 D38:D45 D21:D36">
      <formula1>"Monthly, per kWh, per kW"</formula1>
    </dataValidation>
    <dataValidation type="list" allowBlank="1" showInputMessage="1" showErrorMessage="1" sqref="E71 E65 E57:E58">
      <formula1>'Res (250kWh)'!#REF!</formula1>
    </dataValidation>
    <dataValidation type="list" allowBlank="1" showInputMessage="1" showErrorMessage="1" sqref="D14">
      <formula1>"TOU, non-TOU"</formula1>
    </dataValidation>
  </dataValidations>
  <printOptions/>
  <pageMargins left="0.7" right="0.7" top="0.75" bottom="0.75" header="0.3" footer="0.3"/>
  <pageSetup fitToHeight="0" fitToWidth="1" horizontalDpi="600" verticalDpi="600" orientation="portrait" scale="59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B1:J42"/>
  <sheetViews>
    <sheetView zoomScalePageLayoutView="0" workbookViewId="0" topLeftCell="A1">
      <selection activeCell="I4" sqref="I4"/>
    </sheetView>
  </sheetViews>
  <sheetFormatPr defaultColWidth="9.140625" defaultRowHeight="15"/>
  <cols>
    <col min="4" max="4" width="10.140625" style="0" bestFit="1" customWidth="1"/>
    <col min="6" max="6" width="12.57421875" style="0" customWidth="1"/>
    <col min="7" max="8" width="13.28125" style="0" bestFit="1" customWidth="1"/>
    <col min="9" max="9" width="14.7109375" style="0" customWidth="1"/>
    <col min="10" max="10" width="18.00390625" style="0" customWidth="1"/>
  </cols>
  <sheetData>
    <row r="1" spans="7:10" ht="15">
      <c r="G1" s="253" t="s">
        <v>98</v>
      </c>
      <c r="H1" s="253"/>
      <c r="I1" s="253"/>
      <c r="J1" s="253"/>
    </row>
    <row r="2" spans="9:10" ht="15">
      <c r="I2" s="200" t="s">
        <v>0</v>
      </c>
      <c r="J2" s="192" t="s">
        <v>99</v>
      </c>
    </row>
    <row r="3" spans="9:10" ht="15">
      <c r="I3" s="200" t="s">
        <v>110</v>
      </c>
      <c r="J3" s="201" t="s">
        <v>111</v>
      </c>
    </row>
    <row r="4" spans="9:10" ht="15">
      <c r="I4" s="200" t="s">
        <v>78</v>
      </c>
      <c r="J4" s="201" t="s">
        <v>112</v>
      </c>
    </row>
    <row r="5" ht="15">
      <c r="I5" s="200"/>
    </row>
    <row r="6" spans="9:10" ht="15">
      <c r="I6" s="200" t="s">
        <v>100</v>
      </c>
      <c r="J6" s="202">
        <v>41695</v>
      </c>
    </row>
    <row r="7" spans="9:10" ht="15">
      <c r="I7" s="200"/>
      <c r="J7" s="202"/>
    </row>
    <row r="8" ht="15.75" thickBot="1"/>
    <row r="9" spans="2:10" ht="26.25" thickBot="1">
      <c r="B9" s="254" t="s">
        <v>101</v>
      </c>
      <c r="C9" s="255"/>
      <c r="D9" s="203" t="s">
        <v>102</v>
      </c>
      <c r="E9" s="203" t="s">
        <v>70</v>
      </c>
      <c r="F9" s="204" t="s">
        <v>103</v>
      </c>
      <c r="G9" s="203" t="s">
        <v>104</v>
      </c>
      <c r="H9" s="203" t="s">
        <v>105</v>
      </c>
      <c r="I9" s="203" t="s">
        <v>106</v>
      </c>
      <c r="J9" s="205" t="s">
        <v>107</v>
      </c>
    </row>
    <row r="10" spans="2:10" ht="15">
      <c r="B10" s="206"/>
      <c r="C10" s="207"/>
      <c r="D10" s="207"/>
      <c r="E10" s="208"/>
      <c r="F10" s="207"/>
      <c r="G10" s="207"/>
      <c r="H10" s="207"/>
      <c r="I10" s="207"/>
      <c r="J10" s="209"/>
    </row>
    <row r="11" spans="2:10" ht="15">
      <c r="B11" s="256" t="s">
        <v>59</v>
      </c>
      <c r="C11" s="257"/>
      <c r="D11" s="208">
        <v>100</v>
      </c>
      <c r="E11" s="208"/>
      <c r="F11" s="207"/>
      <c r="G11" s="210">
        <f>'Res (100kWh)'!H64</f>
        <v>26.898901376000005</v>
      </c>
      <c r="H11" s="210">
        <f>'Res (100kWh)'!L64</f>
        <v>33.90830662344487</v>
      </c>
      <c r="I11" s="210">
        <f>H11-G11</f>
        <v>7.009405247444867</v>
      </c>
      <c r="J11" s="211">
        <f>I11/G11</f>
        <v>0.26058332827298536</v>
      </c>
    </row>
    <row r="12" spans="2:10" ht="15">
      <c r="B12" s="256" t="s">
        <v>108</v>
      </c>
      <c r="C12" s="257"/>
      <c r="D12" s="208">
        <v>250</v>
      </c>
      <c r="E12" s="208"/>
      <c r="F12" s="207"/>
      <c r="G12" s="210">
        <f>'Res (250kWh)'!H64</f>
        <v>46.86705344</v>
      </c>
      <c r="H12" s="210">
        <f>'Res (250kWh)'!L64</f>
        <v>52.9411165586122</v>
      </c>
      <c r="I12" s="210">
        <f aca="true" t="shared" si="0" ref="I12:I17">H12-G12</f>
        <v>6.074063118612202</v>
      </c>
      <c r="J12" s="211">
        <f aca="true" t="shared" si="1" ref="J12:J17">I12/G12</f>
        <v>0.12960198418252006</v>
      </c>
    </row>
    <row r="13" spans="2:10" ht="15">
      <c r="B13" s="206"/>
      <c r="C13" s="207"/>
      <c r="D13" s="208">
        <v>500</v>
      </c>
      <c r="E13" s="208"/>
      <c r="F13" s="207"/>
      <c r="G13" s="210">
        <f>'Res (500kWh)'!H64</f>
        <v>80.14730688</v>
      </c>
      <c r="H13" s="210">
        <f>'Res (500kWh)'!L64</f>
        <v>84.64913311722442</v>
      </c>
      <c r="I13" s="210">
        <f t="shared" si="0"/>
        <v>4.501826237224421</v>
      </c>
      <c r="J13" s="211">
        <f t="shared" si="1"/>
        <v>0.05616940122473172</v>
      </c>
    </row>
    <row r="14" spans="2:10" ht="15">
      <c r="B14" s="206"/>
      <c r="C14" s="207"/>
      <c r="D14" s="208">
        <v>800</v>
      </c>
      <c r="E14" s="208"/>
      <c r="F14" s="207"/>
      <c r="G14" s="210">
        <f>'Res (800kWh)'!H64</f>
        <v>120.09361100799998</v>
      </c>
      <c r="H14" s="210">
        <f>'Res (800kWh)'!L64</f>
        <v>122.71475298755908</v>
      </c>
      <c r="I14" s="210">
        <f t="shared" si="0"/>
        <v>2.6211419795590984</v>
      </c>
      <c r="J14" s="211">
        <f t="shared" si="1"/>
        <v>0.021825823685029274</v>
      </c>
    </row>
    <row r="15" spans="2:10" ht="15">
      <c r="B15" s="206"/>
      <c r="C15" s="207"/>
      <c r="D15" s="212">
        <v>1000</v>
      </c>
      <c r="E15" s="208"/>
      <c r="F15" s="207"/>
      <c r="G15" s="210">
        <f>'Res (1,000kWh)'!H64</f>
        <v>146.71781375999996</v>
      </c>
      <c r="H15" s="210">
        <f>'Res (1,000kWh)'!L64</f>
        <v>148.08516623444882</v>
      </c>
      <c r="I15" s="210">
        <f t="shared" si="0"/>
        <v>1.3673524744488645</v>
      </c>
      <c r="J15" s="211">
        <f t="shared" si="1"/>
        <v>0.009319607751827401</v>
      </c>
    </row>
    <row r="16" spans="2:10" ht="15">
      <c r="B16" s="206"/>
      <c r="C16" s="207"/>
      <c r="D16" s="212">
        <v>1500</v>
      </c>
      <c r="E16" s="208"/>
      <c r="F16" s="207"/>
      <c r="G16" s="210">
        <f>'Res (1,500kWh)'!H64</f>
        <v>213.27832064</v>
      </c>
      <c r="H16" s="210">
        <f>'Res (1,500kWh)'!L64</f>
        <v>211.51119935167327</v>
      </c>
      <c r="I16" s="210">
        <f t="shared" si="0"/>
        <v>-1.7671212883267344</v>
      </c>
      <c r="J16" s="211">
        <f t="shared" si="1"/>
        <v>-0.008285517642036954</v>
      </c>
    </row>
    <row r="17" spans="2:10" ht="15">
      <c r="B17" s="206"/>
      <c r="C17" s="207"/>
      <c r="D17" s="212">
        <v>2000</v>
      </c>
      <c r="E17" s="208"/>
      <c r="F17" s="207"/>
      <c r="G17" s="210">
        <f>'Res (2,000kWh)'!H64</f>
        <v>279.84882752000004</v>
      </c>
      <c r="H17" s="210">
        <f>'Res (2,000kWh)'!L64</f>
        <v>274.93723246889766</v>
      </c>
      <c r="I17" s="210">
        <f t="shared" si="0"/>
        <v>-4.911595051102381</v>
      </c>
      <c r="J17" s="211">
        <f t="shared" si="1"/>
        <v>-0.0175508866505841</v>
      </c>
    </row>
    <row r="18" spans="2:10" ht="15">
      <c r="B18" s="213"/>
      <c r="C18" s="214"/>
      <c r="D18" s="215"/>
      <c r="E18" s="216"/>
      <c r="F18" s="214"/>
      <c r="G18" s="217"/>
      <c r="H18" s="217"/>
      <c r="I18" s="217"/>
      <c r="J18" s="218"/>
    </row>
    <row r="19" spans="2:10" ht="15">
      <c r="B19" s="219"/>
      <c r="C19" s="220"/>
      <c r="D19" s="221"/>
      <c r="E19" s="221"/>
      <c r="F19" s="220"/>
      <c r="G19" s="222"/>
      <c r="H19" s="222"/>
      <c r="I19" s="222"/>
      <c r="J19" s="223"/>
    </row>
    <row r="20" spans="2:10" ht="15">
      <c r="B20" s="258" t="s">
        <v>67</v>
      </c>
      <c r="C20" s="259"/>
      <c r="D20" s="212">
        <v>1000</v>
      </c>
      <c r="E20" s="208"/>
      <c r="F20" s="207"/>
      <c r="G20" s="210">
        <f>'GS&lt;50 (1,000kWh)'!H64</f>
        <v>153.82651375999998</v>
      </c>
      <c r="H20" s="210">
        <f>'GS&lt;50 (1,000kWh)'!L64</f>
        <v>161.05041811335042</v>
      </c>
      <c r="I20" s="210">
        <f>H20-G20</f>
        <v>7.223904353350434</v>
      </c>
      <c r="J20" s="211">
        <f>I20/G20</f>
        <v>0.04696137341200597</v>
      </c>
    </row>
    <row r="21" spans="2:10" ht="15">
      <c r="B21" s="256" t="s">
        <v>108</v>
      </c>
      <c r="C21" s="257"/>
      <c r="D21" s="212">
        <v>2000</v>
      </c>
      <c r="E21" s="208"/>
      <c r="F21" s="207"/>
      <c r="G21" s="210">
        <f>'GS&lt;50 (2,000kWh)'!H64</f>
        <v>283.1865275199999</v>
      </c>
      <c r="H21" s="210">
        <f>'GS&lt;50 (2,000kWh)'!L64</f>
        <v>284.8476362267009</v>
      </c>
      <c r="I21" s="210">
        <f>H21-G21</f>
        <v>1.6611087067009862</v>
      </c>
      <c r="J21" s="211">
        <f>I21/G21</f>
        <v>0.005865775894242254</v>
      </c>
    </row>
    <row r="22" spans="2:10" ht="15">
      <c r="B22" s="206"/>
      <c r="C22" s="207"/>
      <c r="D22" s="212">
        <v>5000</v>
      </c>
      <c r="E22" s="208"/>
      <c r="F22" s="207"/>
      <c r="G22" s="210">
        <f>'GS&lt;50 (5,000kWh)'!H64</f>
        <v>671.2865688</v>
      </c>
      <c r="H22" s="210">
        <f>'GS&lt;50 (5,000kWh)'!L64</f>
        <v>656.2292905667522</v>
      </c>
      <c r="I22" s="210">
        <f>H22-G22</f>
        <v>-15.057278233247871</v>
      </c>
      <c r="J22" s="211">
        <f>I22/G22</f>
        <v>-0.02243047743404794</v>
      </c>
    </row>
    <row r="23" spans="2:10" ht="15">
      <c r="B23" s="206"/>
      <c r="C23" s="207"/>
      <c r="D23" s="212">
        <v>10000</v>
      </c>
      <c r="E23" s="208"/>
      <c r="F23" s="207"/>
      <c r="G23" s="210">
        <f>'GS&lt;50 (10,000kWh)'!H64</f>
        <v>1318.1166376</v>
      </c>
      <c r="H23" s="210">
        <f>'GS&lt;50 (10,000kWh)'!L64</f>
        <v>1275.1853811335045</v>
      </c>
      <c r="I23" s="210">
        <f>H23-G23</f>
        <v>-42.9312564664956</v>
      </c>
      <c r="J23" s="211">
        <f>I23/G23</f>
        <v>-0.03257014989558432</v>
      </c>
    </row>
    <row r="24" spans="2:10" ht="15">
      <c r="B24" s="206"/>
      <c r="C24" s="207"/>
      <c r="D24" s="212">
        <v>15000</v>
      </c>
      <c r="E24" s="208"/>
      <c r="F24" s="207"/>
      <c r="G24" s="210">
        <f>'GS&lt;50 (15,000kWh)'!H64</f>
        <v>1964.9467064</v>
      </c>
      <c r="H24" s="210">
        <f>'GS&lt;50 (15,000kWh)'!L64</f>
        <v>1894.1514717002565</v>
      </c>
      <c r="I24" s="210">
        <f>H24-G24</f>
        <v>-70.79523469974356</v>
      </c>
      <c r="J24" s="211">
        <f>I24/G24</f>
        <v>-0.03602908642211893</v>
      </c>
    </row>
    <row r="25" spans="2:10" ht="15">
      <c r="B25" s="213"/>
      <c r="C25" s="214"/>
      <c r="D25" s="215"/>
      <c r="E25" s="216"/>
      <c r="F25" s="214"/>
      <c r="G25" s="217"/>
      <c r="H25" s="217"/>
      <c r="I25" s="217"/>
      <c r="J25" s="218"/>
    </row>
    <row r="26" spans="2:10" ht="15">
      <c r="B26" s="219"/>
      <c r="C26" s="220"/>
      <c r="D26" s="221"/>
      <c r="E26" s="221"/>
      <c r="F26" s="220"/>
      <c r="G26" s="222"/>
      <c r="H26" s="222"/>
      <c r="I26" s="222"/>
      <c r="J26" s="223"/>
    </row>
    <row r="27" spans="2:10" ht="15">
      <c r="B27" s="258" t="s">
        <v>69</v>
      </c>
      <c r="C27" s="259"/>
      <c r="D27" s="212">
        <v>20000</v>
      </c>
      <c r="E27" s="208">
        <v>60</v>
      </c>
      <c r="F27" s="207"/>
      <c r="G27" s="210">
        <f>'GS 50-999 (60kW)'!H69</f>
        <v>2699.177132396</v>
      </c>
      <c r="H27" s="210">
        <f>'GS 50-999 (60kW)'!L69</f>
        <v>2551.186715004882</v>
      </c>
      <c r="I27" s="210">
        <f>H27-G27</f>
        <v>-147.99041739111817</v>
      </c>
      <c r="J27" s="211">
        <f>I27/G27</f>
        <v>-0.0548279753910594</v>
      </c>
    </row>
    <row r="28" spans="2:10" ht="15">
      <c r="B28" s="224"/>
      <c r="C28" s="225"/>
      <c r="D28" s="212">
        <v>40000</v>
      </c>
      <c r="E28" s="208">
        <v>100</v>
      </c>
      <c r="F28" s="207"/>
      <c r="G28" s="210">
        <f>'GS 50-999 (100kW)'!H69</f>
        <v>5067.1020926599995</v>
      </c>
      <c r="H28" s="210">
        <f>'GS 50-999 (100kW)'!L69</f>
        <v>4811.12347834147</v>
      </c>
      <c r="I28" s="210">
        <f>H28-G28</f>
        <v>-255.97861431852925</v>
      </c>
      <c r="J28" s="211">
        <f>I28/G28</f>
        <v>-0.050517753468857396</v>
      </c>
    </row>
    <row r="29" spans="2:10" ht="15">
      <c r="B29" s="213"/>
      <c r="C29" s="214"/>
      <c r="D29" s="215"/>
      <c r="E29" s="216"/>
      <c r="F29" s="214"/>
      <c r="G29" s="217"/>
      <c r="H29" s="217"/>
      <c r="I29" s="217"/>
      <c r="J29" s="218"/>
    </row>
    <row r="30" spans="2:10" ht="15">
      <c r="B30" s="219"/>
      <c r="C30" s="220"/>
      <c r="D30" s="226"/>
      <c r="E30" s="221"/>
      <c r="F30" s="220"/>
      <c r="G30" s="222"/>
      <c r="H30" s="222"/>
      <c r="I30" s="222"/>
      <c r="J30" s="223"/>
    </row>
    <row r="31" spans="2:10" ht="15">
      <c r="B31" s="258" t="s">
        <v>72</v>
      </c>
      <c r="C31" s="259"/>
      <c r="D31" s="212">
        <v>400000</v>
      </c>
      <c r="E31" s="212">
        <v>1000</v>
      </c>
      <c r="F31" s="207"/>
      <c r="G31" s="210">
        <f>'GS 1000-4999 (1,000kW)'!H69</f>
        <v>46790.01559780001</v>
      </c>
      <c r="H31" s="210">
        <f>'GS 1000-4999 (1,000kW)'!L69</f>
        <v>43086.84569854659</v>
      </c>
      <c r="I31" s="210">
        <f>H31-G31</f>
        <v>-3703.169899253422</v>
      </c>
      <c r="J31" s="211">
        <f>I31/G31</f>
        <v>-0.07914444677867427</v>
      </c>
    </row>
    <row r="32" spans="2:10" ht="15">
      <c r="B32" s="206"/>
      <c r="C32" s="207"/>
      <c r="D32" s="212">
        <v>1800000</v>
      </c>
      <c r="E32" s="212">
        <v>5000</v>
      </c>
      <c r="F32" s="207"/>
      <c r="G32" s="210">
        <f>'GS 1000-4999 (5,000kW)'!H69</f>
        <v>222283.665029</v>
      </c>
      <c r="H32" s="210">
        <f>'GS 1000-4999 (5,000kW)'!L69</f>
        <v>203057.18769273293</v>
      </c>
      <c r="I32" s="210">
        <f>H32-G32</f>
        <v>-19226.477336267068</v>
      </c>
      <c r="J32" s="211">
        <f>I32/G32</f>
        <v>-0.08649523271878168</v>
      </c>
    </row>
    <row r="33" spans="2:10" ht="15">
      <c r="B33" s="213"/>
      <c r="C33" s="214"/>
      <c r="D33" s="215"/>
      <c r="E33" s="215"/>
      <c r="F33" s="214"/>
      <c r="G33" s="217"/>
      <c r="H33" s="217"/>
      <c r="I33" s="217"/>
      <c r="J33" s="218"/>
    </row>
    <row r="34" spans="2:10" ht="15">
      <c r="B34" s="219"/>
      <c r="C34" s="220"/>
      <c r="D34" s="221"/>
      <c r="E34" s="221"/>
      <c r="F34" s="220"/>
      <c r="G34" s="222"/>
      <c r="H34" s="222"/>
      <c r="I34" s="222"/>
      <c r="J34" s="223"/>
    </row>
    <row r="35" spans="2:10" ht="15">
      <c r="B35" s="258" t="s">
        <v>73</v>
      </c>
      <c r="C35" s="259"/>
      <c r="D35" s="212">
        <v>13000000</v>
      </c>
      <c r="E35" s="212">
        <v>25000</v>
      </c>
      <c r="F35" s="207"/>
      <c r="G35" s="210">
        <f>'LU (25,000kW)'!H69</f>
        <v>1440445.0099874998</v>
      </c>
      <c r="H35" s="210">
        <f>'LU (25,000kW)'!L69</f>
        <v>1320964.338468225</v>
      </c>
      <c r="I35" s="210">
        <f>H35-G35</f>
        <v>-119480.67151927482</v>
      </c>
      <c r="J35" s="232">
        <f>I35/G35</f>
        <v>-0.0829470550356599</v>
      </c>
    </row>
    <row r="36" spans="2:10" ht="15">
      <c r="B36" s="227"/>
      <c r="C36" s="228"/>
      <c r="D36" s="215"/>
      <c r="E36" s="215"/>
      <c r="F36" s="214"/>
      <c r="G36" s="217"/>
      <c r="H36" s="217"/>
      <c r="I36" s="217"/>
      <c r="J36" s="218"/>
    </row>
    <row r="37" spans="2:10" ht="15">
      <c r="B37" s="219"/>
      <c r="C37" s="220"/>
      <c r="D37" s="221"/>
      <c r="E37" s="221"/>
      <c r="F37" s="220"/>
      <c r="G37" s="222"/>
      <c r="H37" s="222"/>
      <c r="I37" s="222"/>
      <c r="J37" s="223"/>
    </row>
    <row r="38" spans="2:10" ht="15">
      <c r="B38" s="258" t="s">
        <v>109</v>
      </c>
      <c r="C38" s="259"/>
      <c r="D38" s="212">
        <v>150</v>
      </c>
      <c r="E38" s="208"/>
      <c r="F38" s="208">
        <v>1</v>
      </c>
      <c r="G38" s="210">
        <f>'USL (150kWh)'!H69</f>
        <v>26.11108438</v>
      </c>
      <c r="H38" s="210">
        <f>'USL (150kWh)'!L69</f>
        <v>22.99509537717747</v>
      </c>
      <c r="I38" s="210">
        <f>H38-G38</f>
        <v>-3.1159890028225306</v>
      </c>
      <c r="J38" s="232">
        <f>I38/G38</f>
        <v>-0.11933587121373052</v>
      </c>
    </row>
    <row r="39" spans="2:10" ht="15">
      <c r="B39" s="227"/>
      <c r="C39" s="228"/>
      <c r="D39" s="215"/>
      <c r="E39" s="216"/>
      <c r="F39" s="216"/>
      <c r="G39" s="217"/>
      <c r="H39" s="217"/>
      <c r="I39" s="217"/>
      <c r="J39" s="218"/>
    </row>
    <row r="40" spans="2:10" ht="15">
      <c r="B40" s="219"/>
      <c r="C40" s="220"/>
      <c r="D40" s="221"/>
      <c r="E40" s="221"/>
      <c r="F40" s="221"/>
      <c r="G40" s="222"/>
      <c r="H40" s="222"/>
      <c r="I40" s="222"/>
      <c r="J40" s="223"/>
    </row>
    <row r="41" spans="2:10" ht="15">
      <c r="B41" s="258" t="s">
        <v>74</v>
      </c>
      <c r="C41" s="259"/>
      <c r="D41" s="208">
        <v>150</v>
      </c>
      <c r="E41" s="208">
        <v>1</v>
      </c>
      <c r="F41" s="208">
        <v>1</v>
      </c>
      <c r="G41" s="210">
        <f>'ST (1kW)'!H69</f>
        <v>34.31032072299999</v>
      </c>
      <c r="H41" s="210">
        <f>'ST (1kW)'!L69</f>
        <v>35.21415670862585</v>
      </c>
      <c r="I41" s="210">
        <f>H41-G41</f>
        <v>0.9038359856258609</v>
      </c>
      <c r="J41" s="211">
        <f>I41/G41</f>
        <v>0.026342976882170986</v>
      </c>
    </row>
    <row r="42" spans="2:10" ht="15.75" thickBot="1">
      <c r="B42" s="229"/>
      <c r="C42" s="230"/>
      <c r="D42" s="230"/>
      <c r="E42" s="230"/>
      <c r="F42" s="230"/>
      <c r="G42" s="230"/>
      <c r="H42" s="230"/>
      <c r="I42" s="230"/>
      <c r="J42" s="231"/>
    </row>
  </sheetData>
  <sheetProtection/>
  <mergeCells count="11">
    <mergeCell ref="B27:C27"/>
    <mergeCell ref="B31:C31"/>
    <mergeCell ref="B35:C35"/>
    <mergeCell ref="B38:C38"/>
    <mergeCell ref="B41:C41"/>
    <mergeCell ref="G1:J1"/>
    <mergeCell ref="B9:C9"/>
    <mergeCell ref="B11:C11"/>
    <mergeCell ref="B12:C12"/>
    <mergeCell ref="B20:C20"/>
    <mergeCell ref="B21:C2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9"/>
  <sheetViews>
    <sheetView showGridLines="0" zoomScalePageLayoutView="0" workbookViewId="0" topLeftCell="A22">
      <selection activeCell="J5" sqref="J5"/>
    </sheetView>
  </sheetViews>
  <sheetFormatPr defaultColWidth="9.140625" defaultRowHeight="15"/>
  <cols>
    <col min="1" max="1" width="2.140625" style="7" customWidth="1"/>
    <col min="2" max="2" width="44.57421875" style="7" customWidth="1"/>
    <col min="3" max="3" width="1.28515625" style="7" customWidth="1"/>
    <col min="4" max="4" width="11.28125" style="7" customWidth="1"/>
    <col min="5" max="5" width="1.28515625" style="7" customWidth="1"/>
    <col min="6" max="6" width="12.28125" style="7" customWidth="1"/>
    <col min="7" max="7" width="8.57421875" style="7" customWidth="1"/>
    <col min="8" max="8" width="9.7109375" style="7" customWidth="1"/>
    <col min="9" max="9" width="2.8515625" style="7" customWidth="1"/>
    <col min="10" max="10" width="12.140625" style="7" customWidth="1"/>
    <col min="11" max="11" width="8.57421875" style="7" customWidth="1"/>
    <col min="12" max="12" width="9.7109375" style="7" customWidth="1"/>
    <col min="13" max="13" width="2.8515625" style="7" customWidth="1"/>
    <col min="14" max="14" width="12.7109375" style="7" bestFit="1" customWidth="1"/>
    <col min="15" max="15" width="10.8515625" style="7" bestFit="1" customWidth="1"/>
    <col min="16" max="16" width="6.28125" style="7" customWidth="1"/>
    <col min="17" max="20" width="9.140625" style="7" customWidth="1"/>
    <col min="21" max="16384" width="9.140625" style="7" customWidth="1"/>
  </cols>
  <sheetData>
    <row r="1" spans="1:20" s="2" customFormat="1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234" t="str">
        <f>EBNUMBER</f>
        <v>EB-2013-0116</v>
      </c>
      <c r="O1" s="234"/>
      <c r="P1" s="195"/>
      <c r="T1" s="2">
        <v>1</v>
      </c>
    </row>
    <row r="2" spans="1:16" s="2" customFormat="1" ht="1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110</v>
      </c>
      <c r="N2" s="235" t="s">
        <v>111</v>
      </c>
      <c r="O2" s="235"/>
      <c r="P2" s="196"/>
    </row>
    <row r="3" spans="3:16" s="2" customFormat="1" ht="15" customHeight="1">
      <c r="C3" s="6"/>
      <c r="D3" s="6"/>
      <c r="E3" s="6"/>
      <c r="L3" s="3" t="s">
        <v>78</v>
      </c>
      <c r="N3" s="236" t="s">
        <v>80</v>
      </c>
      <c r="O3" s="236"/>
      <c r="P3" s="195"/>
    </row>
    <row r="4" spans="12:16" s="2" customFormat="1" ht="9" customHeight="1">
      <c r="L4" s="3"/>
      <c r="N4" s="194"/>
      <c r="O4" s="4"/>
      <c r="P4" s="197"/>
    </row>
    <row r="5" spans="12:16" s="2" customFormat="1" ht="15">
      <c r="L5" s="3" t="s">
        <v>100</v>
      </c>
      <c r="N5" s="237">
        <v>41695</v>
      </c>
      <c r="O5" s="237"/>
      <c r="P5" s="195"/>
    </row>
    <row r="6" spans="14:16" s="2" customFormat="1" ht="15" customHeight="1">
      <c r="N6" s="7"/>
      <c r="O6"/>
      <c r="P6"/>
    </row>
    <row r="7" spans="12:16" ht="7.5" customHeight="1">
      <c r="L7"/>
      <c r="M7"/>
      <c r="N7"/>
      <c r="O7"/>
      <c r="P7"/>
    </row>
    <row r="8" spans="2:16" ht="18.75" customHeight="1">
      <c r="B8" s="238" t="s">
        <v>1</v>
      </c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/>
    </row>
    <row r="9" spans="2:16" ht="18.75" customHeight="1">
      <c r="B9" s="238" t="s">
        <v>2</v>
      </c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/>
    </row>
    <row r="10" spans="12:16" ht="7.5" customHeight="1">
      <c r="L10"/>
      <c r="M10"/>
      <c r="N10"/>
      <c r="O10"/>
      <c r="P10"/>
    </row>
    <row r="11" spans="12:16" ht="7.5" customHeight="1">
      <c r="L11"/>
      <c r="M11"/>
      <c r="N11"/>
      <c r="O11"/>
      <c r="P11"/>
    </row>
    <row r="12" spans="2:15" ht="15.75">
      <c r="B12" s="8" t="s">
        <v>3</v>
      </c>
      <c r="D12" s="240" t="s">
        <v>59</v>
      </c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</row>
    <row r="13" spans="2:15" ht="7.5" customHeight="1">
      <c r="B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2:15" ht="15.75">
      <c r="B14" s="8" t="s">
        <v>4</v>
      </c>
      <c r="D14" s="11" t="s">
        <v>5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2:15" ht="15.75">
      <c r="B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2:7" ht="15">
      <c r="B16" s="12"/>
      <c r="D16" s="13" t="s">
        <v>6</v>
      </c>
      <c r="E16" s="13"/>
      <c r="F16" s="14">
        <v>500</v>
      </c>
      <c r="G16" s="13" t="s">
        <v>7</v>
      </c>
    </row>
    <row r="17" ht="15">
      <c r="B17" s="12"/>
    </row>
    <row r="18" spans="2:15" ht="15">
      <c r="B18" s="12"/>
      <c r="D18" s="15"/>
      <c r="E18" s="15"/>
      <c r="F18" s="241" t="s">
        <v>8</v>
      </c>
      <c r="G18" s="242"/>
      <c r="H18" s="243"/>
      <c r="J18" s="241" t="s">
        <v>9</v>
      </c>
      <c r="K18" s="242"/>
      <c r="L18" s="243"/>
      <c r="N18" s="241" t="s">
        <v>10</v>
      </c>
      <c r="O18" s="243"/>
    </row>
    <row r="19" spans="2:15" ht="15">
      <c r="B19" s="12"/>
      <c r="D19" s="245" t="s">
        <v>11</v>
      </c>
      <c r="E19" s="16"/>
      <c r="F19" s="17" t="s">
        <v>12</v>
      </c>
      <c r="G19" s="17" t="s">
        <v>13</v>
      </c>
      <c r="H19" s="18" t="s">
        <v>14</v>
      </c>
      <c r="J19" s="17" t="s">
        <v>12</v>
      </c>
      <c r="K19" s="19" t="s">
        <v>13</v>
      </c>
      <c r="L19" s="18" t="s">
        <v>14</v>
      </c>
      <c r="N19" s="247" t="s">
        <v>15</v>
      </c>
      <c r="O19" s="249" t="s">
        <v>16</v>
      </c>
    </row>
    <row r="20" spans="2:15" ht="15">
      <c r="B20" s="12"/>
      <c r="D20" s="246"/>
      <c r="E20" s="16"/>
      <c r="F20" s="20" t="s">
        <v>17</v>
      </c>
      <c r="G20" s="20"/>
      <c r="H20" s="21" t="s">
        <v>17</v>
      </c>
      <c r="J20" s="20" t="s">
        <v>17</v>
      </c>
      <c r="K20" s="21"/>
      <c r="L20" s="21" t="s">
        <v>17</v>
      </c>
      <c r="N20" s="248"/>
      <c r="O20" s="250"/>
    </row>
    <row r="21" spans="2:15" ht="22.5" customHeight="1">
      <c r="B21" s="22" t="s">
        <v>18</v>
      </c>
      <c r="C21" s="22"/>
      <c r="D21" s="23" t="s">
        <v>60</v>
      </c>
      <c r="E21" s="24"/>
      <c r="F21" s="175">
        <f>'[2]2013 Existing Rates'!$C$6</f>
        <v>10.09</v>
      </c>
      <c r="G21" s="26">
        <v>1</v>
      </c>
      <c r="H21" s="27">
        <f>G21*F21</f>
        <v>10.09</v>
      </c>
      <c r="I21" s="28"/>
      <c r="J21" s="174">
        <f>'[3]Rate Schedule '!$E$10</f>
        <v>16.58</v>
      </c>
      <c r="K21" s="30">
        <v>1</v>
      </c>
      <c r="L21" s="27">
        <f>K21*J21</f>
        <v>16.58</v>
      </c>
      <c r="M21" s="28"/>
      <c r="N21" s="31">
        <f>L21-H21</f>
        <v>6.489999999999998</v>
      </c>
      <c r="O21" s="32">
        <f>IF((H21)=0,"",(N21/H21))</f>
        <v>0.6432111000991079</v>
      </c>
    </row>
    <row r="22" spans="2:15" ht="36.75" customHeight="1">
      <c r="B22" s="65" t="s">
        <v>62</v>
      </c>
      <c r="C22" s="22"/>
      <c r="D22" s="56" t="s">
        <v>60</v>
      </c>
      <c r="E22" s="24"/>
      <c r="F22" s="174">
        <v>0.01</v>
      </c>
      <c r="G22" s="26">
        <v>1</v>
      </c>
      <c r="H22" s="27">
        <f aca="true" t="shared" si="0" ref="H22:H36">G22*F22</f>
        <v>0.01</v>
      </c>
      <c r="I22" s="28"/>
      <c r="J22" s="29"/>
      <c r="K22" s="30">
        <v>1</v>
      </c>
      <c r="L22" s="27">
        <f>K22*J22</f>
        <v>0</v>
      </c>
      <c r="M22" s="28"/>
      <c r="N22" s="31">
        <f>L22-H22</f>
        <v>-0.01</v>
      </c>
      <c r="O22" s="32">
        <f>IF((H22)=0,"",(N22/H22))</f>
        <v>-1</v>
      </c>
    </row>
    <row r="23" spans="2:15" ht="36.75" customHeight="1">
      <c r="B23" s="176" t="s">
        <v>63</v>
      </c>
      <c r="C23" s="22"/>
      <c r="D23" s="56" t="s">
        <v>60</v>
      </c>
      <c r="E23" s="57"/>
      <c r="F23" s="174">
        <v>2.22</v>
      </c>
      <c r="G23" s="26">
        <v>1</v>
      </c>
      <c r="H23" s="27">
        <f t="shared" si="0"/>
        <v>2.22</v>
      </c>
      <c r="I23" s="28"/>
      <c r="J23" s="29"/>
      <c r="K23" s="30">
        <v>1</v>
      </c>
      <c r="L23" s="27">
        <f aca="true" t="shared" si="1" ref="L23:L36">K23*J23</f>
        <v>0</v>
      </c>
      <c r="M23" s="28"/>
      <c r="N23" s="31">
        <f aca="true" t="shared" si="2" ref="N23:N64">L23-H23</f>
        <v>-2.22</v>
      </c>
      <c r="O23" s="32">
        <f aca="true" t="shared" si="3" ref="O23:O44">IF((H23)=0,"",(N23/H23))</f>
        <v>-1</v>
      </c>
    </row>
    <row r="24" spans="2:15" ht="15">
      <c r="B24" s="176" t="s">
        <v>64</v>
      </c>
      <c r="C24" s="22"/>
      <c r="D24" s="23" t="s">
        <v>60</v>
      </c>
      <c r="E24" s="24"/>
      <c r="F24" s="25"/>
      <c r="G24" s="26">
        <v>1</v>
      </c>
      <c r="H24" s="27">
        <f t="shared" si="0"/>
        <v>0</v>
      </c>
      <c r="I24" s="28"/>
      <c r="J24" s="174">
        <v>3.25</v>
      </c>
      <c r="K24" s="30">
        <v>1</v>
      </c>
      <c r="L24" s="27">
        <f t="shared" si="1"/>
        <v>3.25</v>
      </c>
      <c r="M24" s="28"/>
      <c r="N24" s="31">
        <f t="shared" si="2"/>
        <v>3.25</v>
      </c>
      <c r="O24" s="32">
        <f t="shared" si="3"/>
      </c>
    </row>
    <row r="25" spans="2:15" ht="15">
      <c r="B25" s="46" t="s">
        <v>65</v>
      </c>
      <c r="C25" s="22"/>
      <c r="D25" s="23" t="s">
        <v>61</v>
      </c>
      <c r="E25" s="24"/>
      <c r="F25" s="25">
        <v>-0.0001</v>
      </c>
      <c r="G25" s="26">
        <f>$F$16</f>
        <v>500</v>
      </c>
      <c r="H25" s="27">
        <f t="shared" si="0"/>
        <v>-0.05</v>
      </c>
      <c r="I25" s="28"/>
      <c r="J25" s="174"/>
      <c r="K25" s="26">
        <f>$F$16</f>
        <v>500</v>
      </c>
      <c r="L25" s="27">
        <f t="shared" si="1"/>
        <v>0</v>
      </c>
      <c r="M25" s="28"/>
      <c r="N25" s="31">
        <f t="shared" si="2"/>
        <v>0.05</v>
      </c>
      <c r="O25" s="32">
        <f t="shared" si="3"/>
        <v>-1</v>
      </c>
    </row>
    <row r="26" spans="2:15" ht="15">
      <c r="B26" s="46" t="s">
        <v>66</v>
      </c>
      <c r="C26" s="22"/>
      <c r="D26" s="23" t="s">
        <v>61</v>
      </c>
      <c r="E26" s="24"/>
      <c r="F26" s="25"/>
      <c r="G26" s="26">
        <f>$F$16</f>
        <v>500</v>
      </c>
      <c r="H26" s="27">
        <f t="shared" si="0"/>
        <v>0</v>
      </c>
      <c r="I26" s="28"/>
      <c r="J26" s="29">
        <f>'[4]6. Rate Rider Calculations'!$F$75</f>
        <v>-0.0023955525753637957</v>
      </c>
      <c r="K26" s="26">
        <f>$F$16</f>
        <v>500</v>
      </c>
      <c r="L26" s="27">
        <f t="shared" si="1"/>
        <v>-1.1977762876818978</v>
      </c>
      <c r="M26" s="28"/>
      <c r="N26" s="31">
        <f t="shared" si="2"/>
        <v>-1.1977762876818978</v>
      </c>
      <c r="O26" s="32">
        <f t="shared" si="3"/>
      </c>
    </row>
    <row r="27" spans="2:15" ht="15">
      <c r="B27" s="22" t="s">
        <v>19</v>
      </c>
      <c r="C27" s="22"/>
      <c r="D27" s="23" t="s">
        <v>61</v>
      </c>
      <c r="E27" s="24"/>
      <c r="F27" s="25">
        <f>'[2]2013 Existing Rates'!$E$6</f>
        <v>0.0163</v>
      </c>
      <c r="G27" s="26">
        <f>$F$16</f>
        <v>500</v>
      </c>
      <c r="H27" s="27">
        <f t="shared" si="0"/>
        <v>8.149999999999999</v>
      </c>
      <c r="I27" s="28"/>
      <c r="J27" s="29">
        <f>'[3]Rate Schedule '!$E$11</f>
        <v>0.0119</v>
      </c>
      <c r="K27" s="26">
        <f>$F$16</f>
        <v>500</v>
      </c>
      <c r="L27" s="27">
        <f t="shared" si="1"/>
        <v>5.95</v>
      </c>
      <c r="M27" s="28"/>
      <c r="N27" s="31">
        <f t="shared" si="2"/>
        <v>-2.1999999999999984</v>
      </c>
      <c r="O27" s="32">
        <f>IF((H27)=0,"",(N27/H27))</f>
        <v>-0.2699386503067483</v>
      </c>
    </row>
    <row r="28" spans="2:15" ht="15" hidden="1">
      <c r="B28" s="22" t="s">
        <v>20</v>
      </c>
      <c r="C28" s="22"/>
      <c r="D28" s="23"/>
      <c r="E28" s="24"/>
      <c r="F28" s="25"/>
      <c r="G28" s="26">
        <f>$F$16</f>
        <v>500</v>
      </c>
      <c r="H28" s="27">
        <f t="shared" si="0"/>
        <v>0</v>
      </c>
      <c r="I28" s="28"/>
      <c r="J28" s="29"/>
      <c r="K28" s="26">
        <f aca="true" t="shared" si="4" ref="K28:K36">$F$16</f>
        <v>500</v>
      </c>
      <c r="L28" s="27">
        <f t="shared" si="1"/>
        <v>0</v>
      </c>
      <c r="M28" s="28"/>
      <c r="N28" s="31">
        <f t="shared" si="2"/>
        <v>0</v>
      </c>
      <c r="O28" s="32">
        <f t="shared" si="3"/>
      </c>
    </row>
    <row r="29" spans="2:15" ht="15" hidden="1">
      <c r="B29" s="22" t="s">
        <v>21</v>
      </c>
      <c r="C29" s="22"/>
      <c r="D29" s="23"/>
      <c r="E29" s="24"/>
      <c r="F29" s="25"/>
      <c r="G29" s="26">
        <f>$F$16</f>
        <v>500</v>
      </c>
      <c r="H29" s="27">
        <f t="shared" si="0"/>
        <v>0</v>
      </c>
      <c r="I29" s="28"/>
      <c r="J29" s="29"/>
      <c r="K29" s="26">
        <f t="shared" si="4"/>
        <v>500</v>
      </c>
      <c r="L29" s="27">
        <f t="shared" si="1"/>
        <v>0</v>
      </c>
      <c r="M29" s="28"/>
      <c r="N29" s="31">
        <f t="shared" si="2"/>
        <v>0</v>
      </c>
      <c r="O29" s="32">
        <f t="shared" si="3"/>
      </c>
    </row>
    <row r="30" spans="2:15" ht="15" hidden="1">
      <c r="B30" s="33"/>
      <c r="C30" s="22"/>
      <c r="D30" s="23"/>
      <c r="E30" s="24"/>
      <c r="F30" s="25"/>
      <c r="G30" s="26">
        <f aca="true" t="shared" si="5" ref="G30:G36">$F$16</f>
        <v>500</v>
      </c>
      <c r="H30" s="27">
        <f t="shared" si="0"/>
        <v>0</v>
      </c>
      <c r="I30" s="28"/>
      <c r="J30" s="29"/>
      <c r="K30" s="26">
        <f t="shared" si="4"/>
        <v>500</v>
      </c>
      <c r="L30" s="27">
        <f t="shared" si="1"/>
        <v>0</v>
      </c>
      <c r="M30" s="28"/>
      <c r="N30" s="31">
        <f t="shared" si="2"/>
        <v>0</v>
      </c>
      <c r="O30" s="32">
        <f t="shared" si="3"/>
      </c>
    </row>
    <row r="31" spans="2:15" ht="15" hidden="1">
      <c r="B31" s="33"/>
      <c r="C31" s="22"/>
      <c r="D31" s="23"/>
      <c r="E31" s="24"/>
      <c r="F31" s="25"/>
      <c r="G31" s="26">
        <f t="shared" si="5"/>
        <v>500</v>
      </c>
      <c r="H31" s="27">
        <f t="shared" si="0"/>
        <v>0</v>
      </c>
      <c r="I31" s="28"/>
      <c r="J31" s="29"/>
      <c r="K31" s="26">
        <f t="shared" si="4"/>
        <v>500</v>
      </c>
      <c r="L31" s="27">
        <f t="shared" si="1"/>
        <v>0</v>
      </c>
      <c r="M31" s="28"/>
      <c r="N31" s="31">
        <f t="shared" si="2"/>
        <v>0</v>
      </c>
      <c r="O31" s="32">
        <f t="shared" si="3"/>
      </c>
    </row>
    <row r="32" spans="2:15" ht="15" hidden="1">
      <c r="B32" s="33"/>
      <c r="C32" s="22"/>
      <c r="D32" s="23"/>
      <c r="E32" s="24"/>
      <c r="F32" s="25"/>
      <c r="G32" s="26">
        <f t="shared" si="5"/>
        <v>500</v>
      </c>
      <c r="H32" s="27">
        <f t="shared" si="0"/>
        <v>0</v>
      </c>
      <c r="I32" s="28"/>
      <c r="J32" s="29"/>
      <c r="K32" s="26">
        <f t="shared" si="4"/>
        <v>500</v>
      </c>
      <c r="L32" s="27">
        <f t="shared" si="1"/>
        <v>0</v>
      </c>
      <c r="M32" s="28"/>
      <c r="N32" s="31">
        <f t="shared" si="2"/>
        <v>0</v>
      </c>
      <c r="O32" s="32">
        <f t="shared" si="3"/>
      </c>
    </row>
    <row r="33" spans="2:15" ht="15" hidden="1">
      <c r="B33" s="33"/>
      <c r="C33" s="22"/>
      <c r="D33" s="23"/>
      <c r="E33" s="24"/>
      <c r="F33" s="25"/>
      <c r="G33" s="26">
        <f t="shared" si="5"/>
        <v>500</v>
      </c>
      <c r="H33" s="27">
        <f t="shared" si="0"/>
        <v>0</v>
      </c>
      <c r="I33" s="28"/>
      <c r="J33" s="29"/>
      <c r="K33" s="26">
        <f t="shared" si="4"/>
        <v>500</v>
      </c>
      <c r="L33" s="27">
        <f t="shared" si="1"/>
        <v>0</v>
      </c>
      <c r="M33" s="28"/>
      <c r="N33" s="31">
        <f t="shared" si="2"/>
        <v>0</v>
      </c>
      <c r="O33" s="32">
        <f t="shared" si="3"/>
      </c>
    </row>
    <row r="34" spans="2:15" ht="15" hidden="1">
      <c r="B34" s="33"/>
      <c r="C34" s="22"/>
      <c r="D34" s="23"/>
      <c r="E34" s="24"/>
      <c r="F34" s="25"/>
      <c r="G34" s="26">
        <f t="shared" si="5"/>
        <v>500</v>
      </c>
      <c r="H34" s="27">
        <f t="shared" si="0"/>
        <v>0</v>
      </c>
      <c r="I34" s="28"/>
      <c r="J34" s="29"/>
      <c r="K34" s="26">
        <f t="shared" si="4"/>
        <v>500</v>
      </c>
      <c r="L34" s="27">
        <f t="shared" si="1"/>
        <v>0</v>
      </c>
      <c r="M34" s="28"/>
      <c r="N34" s="31">
        <f t="shared" si="2"/>
        <v>0</v>
      </c>
      <c r="O34" s="32">
        <f t="shared" si="3"/>
      </c>
    </row>
    <row r="35" spans="2:15" ht="15" hidden="1">
      <c r="B35" s="33"/>
      <c r="C35" s="22"/>
      <c r="D35" s="23"/>
      <c r="E35" s="24"/>
      <c r="F35" s="25"/>
      <c r="G35" s="26">
        <f t="shared" si="5"/>
        <v>500</v>
      </c>
      <c r="H35" s="27">
        <f t="shared" si="0"/>
        <v>0</v>
      </c>
      <c r="I35" s="28"/>
      <c r="J35" s="29"/>
      <c r="K35" s="26">
        <f t="shared" si="4"/>
        <v>500</v>
      </c>
      <c r="L35" s="27">
        <f t="shared" si="1"/>
        <v>0</v>
      </c>
      <c r="M35" s="28"/>
      <c r="N35" s="31">
        <f t="shared" si="2"/>
        <v>0</v>
      </c>
      <c r="O35" s="32">
        <f t="shared" si="3"/>
      </c>
    </row>
    <row r="36" spans="2:15" ht="15" hidden="1">
      <c r="B36" s="33"/>
      <c r="C36" s="22"/>
      <c r="D36" s="23"/>
      <c r="E36" s="24"/>
      <c r="F36" s="25"/>
      <c r="G36" s="26">
        <f t="shared" si="5"/>
        <v>500</v>
      </c>
      <c r="H36" s="27">
        <f t="shared" si="0"/>
        <v>0</v>
      </c>
      <c r="I36" s="28"/>
      <c r="J36" s="29"/>
      <c r="K36" s="26">
        <f t="shared" si="4"/>
        <v>500</v>
      </c>
      <c r="L36" s="27">
        <f t="shared" si="1"/>
        <v>0</v>
      </c>
      <c r="M36" s="28"/>
      <c r="N36" s="31">
        <f t="shared" si="2"/>
        <v>0</v>
      </c>
      <c r="O36" s="32">
        <f t="shared" si="3"/>
      </c>
    </row>
    <row r="37" spans="2:15" s="34" customFormat="1" ht="15">
      <c r="B37" s="35" t="s">
        <v>22</v>
      </c>
      <c r="C37" s="36"/>
      <c r="D37" s="37"/>
      <c r="E37" s="36"/>
      <c r="F37" s="38"/>
      <c r="G37" s="39"/>
      <c r="H37" s="40">
        <f>SUM(H21:H36)</f>
        <v>20.419999999999998</v>
      </c>
      <c r="I37" s="41"/>
      <c r="J37" s="42"/>
      <c r="K37" s="43"/>
      <c r="L37" s="40">
        <f>SUM(L21:L36)</f>
        <v>24.5822237123181</v>
      </c>
      <c r="M37" s="41"/>
      <c r="N37" s="44">
        <f t="shared" si="2"/>
        <v>4.162223712318102</v>
      </c>
      <c r="O37" s="45">
        <f t="shared" si="3"/>
        <v>0.2038307400743439</v>
      </c>
    </row>
    <row r="38" spans="2:15" ht="15" hidden="1">
      <c r="B38" s="176"/>
      <c r="C38" s="22"/>
      <c r="D38" s="56" t="s">
        <v>60</v>
      </c>
      <c r="E38" s="24"/>
      <c r="F38" s="25"/>
      <c r="G38" s="26">
        <v>1</v>
      </c>
      <c r="H38" s="27">
        <f>G38*F38</f>
        <v>0</v>
      </c>
      <c r="I38" s="28"/>
      <c r="J38" s="174"/>
      <c r="K38" s="30">
        <v>1</v>
      </c>
      <c r="L38" s="27">
        <f>K38*J38</f>
        <v>0</v>
      </c>
      <c r="M38" s="28"/>
      <c r="N38" s="31">
        <f>L38-H38</f>
        <v>0</v>
      </c>
      <c r="O38" s="32">
        <f>IF((H38)=0,"",(N38/H38))</f>
      </c>
    </row>
    <row r="39" spans="2:15" ht="25.5">
      <c r="B39" s="46" t="s">
        <v>23</v>
      </c>
      <c r="C39" s="22"/>
      <c r="D39" s="56" t="s">
        <v>61</v>
      </c>
      <c r="E39" s="57"/>
      <c r="F39" s="29">
        <v>0.0003</v>
      </c>
      <c r="G39" s="26">
        <f>$F$16</f>
        <v>500</v>
      </c>
      <c r="H39" s="27">
        <f aca="true" t="shared" si="6" ref="H39:H45">G39*F39</f>
        <v>0.15</v>
      </c>
      <c r="I39" s="28"/>
      <c r="J39" s="29">
        <f>'[4]6. Rate Rider Calculations'!$F$20</f>
        <v>-0.0007408030378165835</v>
      </c>
      <c r="K39" s="26">
        <f>$F$16</f>
        <v>500</v>
      </c>
      <c r="L39" s="27">
        <f aca="true" t="shared" si="7" ref="L39:L45">K39*J39</f>
        <v>-0.37040151890829176</v>
      </c>
      <c r="M39" s="28"/>
      <c r="N39" s="31">
        <f t="shared" si="2"/>
        <v>-0.5204015189082918</v>
      </c>
      <c r="O39" s="32">
        <f t="shared" si="3"/>
        <v>-3.469343459388612</v>
      </c>
    </row>
    <row r="40" spans="2:15" ht="15" customHeight="1" hidden="1">
      <c r="B40" s="46"/>
      <c r="C40" s="22"/>
      <c r="D40" s="23" t="s">
        <v>61</v>
      </c>
      <c r="E40" s="24"/>
      <c r="F40" s="25"/>
      <c r="G40" s="26">
        <f>$F$16</f>
        <v>500</v>
      </c>
      <c r="H40" s="27">
        <f t="shared" si="6"/>
        <v>0</v>
      </c>
      <c r="I40" s="47"/>
      <c r="J40" s="29"/>
      <c r="K40" s="26">
        <f>$F$16</f>
        <v>500</v>
      </c>
      <c r="L40" s="27">
        <f t="shared" si="7"/>
        <v>0</v>
      </c>
      <c r="M40" s="48"/>
      <c r="N40" s="31">
        <f t="shared" si="2"/>
        <v>0</v>
      </c>
      <c r="O40" s="32">
        <f t="shared" si="3"/>
      </c>
    </row>
    <row r="41" spans="2:15" ht="15" customHeight="1" hidden="1">
      <c r="B41" s="46"/>
      <c r="C41" s="22"/>
      <c r="D41" s="23" t="s">
        <v>61</v>
      </c>
      <c r="E41" s="24"/>
      <c r="F41" s="25"/>
      <c r="G41" s="26">
        <f>$F$16</f>
        <v>500</v>
      </c>
      <c r="H41" s="27">
        <f t="shared" si="6"/>
        <v>0</v>
      </c>
      <c r="I41" s="47"/>
      <c r="J41" s="29"/>
      <c r="K41" s="26">
        <f>$F$16</f>
        <v>500</v>
      </c>
      <c r="L41" s="27">
        <f t="shared" si="7"/>
        <v>0</v>
      </c>
      <c r="M41" s="48"/>
      <c r="N41" s="31">
        <f t="shared" si="2"/>
        <v>0</v>
      </c>
      <c r="O41" s="32">
        <f t="shared" si="3"/>
      </c>
    </row>
    <row r="42" spans="2:15" ht="15" hidden="1">
      <c r="B42" s="46"/>
      <c r="C42" s="22"/>
      <c r="D42" s="23"/>
      <c r="E42" s="24"/>
      <c r="F42" s="25"/>
      <c r="G42" s="26">
        <f>$F$16</f>
        <v>500</v>
      </c>
      <c r="H42" s="27">
        <f t="shared" si="6"/>
        <v>0</v>
      </c>
      <c r="I42" s="47"/>
      <c r="J42" s="29"/>
      <c r="K42" s="26">
        <f>$F$16</f>
        <v>500</v>
      </c>
      <c r="L42" s="27">
        <f t="shared" si="7"/>
        <v>0</v>
      </c>
      <c r="M42" s="48"/>
      <c r="N42" s="31">
        <f t="shared" si="2"/>
        <v>0</v>
      </c>
      <c r="O42" s="32">
        <f t="shared" si="3"/>
      </c>
    </row>
    <row r="43" spans="2:15" ht="15">
      <c r="B43" s="49" t="s">
        <v>24</v>
      </c>
      <c r="C43" s="22"/>
      <c r="D43" s="23" t="s">
        <v>61</v>
      </c>
      <c r="E43" s="24"/>
      <c r="F43" s="25">
        <f>0.0001</f>
        <v>0.0001</v>
      </c>
      <c r="G43" s="26">
        <f>$F$16</f>
        <v>500</v>
      </c>
      <c r="H43" s="27">
        <f t="shared" si="6"/>
        <v>0.05</v>
      </c>
      <c r="I43" s="28"/>
      <c r="J43" s="29">
        <f>'[3]Rate Schedule '!$E$12</f>
        <v>0.0001</v>
      </c>
      <c r="K43" s="26">
        <f>$F$16</f>
        <v>500</v>
      </c>
      <c r="L43" s="27">
        <f t="shared" si="7"/>
        <v>0.05</v>
      </c>
      <c r="M43" s="28"/>
      <c r="N43" s="31">
        <f t="shared" si="2"/>
        <v>0</v>
      </c>
      <c r="O43" s="32">
        <f t="shared" si="3"/>
        <v>0</v>
      </c>
    </row>
    <row r="44" spans="2:15" s="34" customFormat="1" ht="15">
      <c r="B44" s="182" t="s">
        <v>25</v>
      </c>
      <c r="C44" s="24"/>
      <c r="D44" s="183" t="s">
        <v>61</v>
      </c>
      <c r="E44" s="24"/>
      <c r="F44" s="184">
        <f>IF(ISBLANK(D14)=TRUE,0,IF(D14="TOU",0.64*$F$54+0.18*$F$55+0.18*$F$56,IF(AND(D14="non-TOU",G58&gt;0),F58,F57)))</f>
        <v>0.08892</v>
      </c>
      <c r="G44" s="26">
        <f>$F$16*(1+$F$73)-$F$16</f>
        <v>14.299999999999955</v>
      </c>
      <c r="H44" s="185">
        <f t="shared" si="6"/>
        <v>1.271555999999996</v>
      </c>
      <c r="I44" s="57"/>
      <c r="J44" s="186">
        <f>0.64*$F$54+0.18*$F$55+0.18*$F$56</f>
        <v>0.08892</v>
      </c>
      <c r="K44" s="26">
        <f>$F$16*(1+$J$73)-$F$16</f>
        <v>16.75</v>
      </c>
      <c r="L44" s="185">
        <f t="shared" si="7"/>
        <v>1.48941</v>
      </c>
      <c r="M44" s="57"/>
      <c r="N44" s="187">
        <f t="shared" si="2"/>
        <v>0.217854000000004</v>
      </c>
      <c r="O44" s="188">
        <f t="shared" si="3"/>
        <v>0.17132867132867502</v>
      </c>
    </row>
    <row r="45" spans="2:15" ht="15">
      <c r="B45" s="49" t="s">
        <v>26</v>
      </c>
      <c r="C45" s="22"/>
      <c r="D45" s="23" t="s">
        <v>60</v>
      </c>
      <c r="E45" s="24"/>
      <c r="F45" s="179">
        <v>0.79</v>
      </c>
      <c r="G45" s="26">
        <v>1</v>
      </c>
      <c r="H45" s="27">
        <f t="shared" si="6"/>
        <v>0.79</v>
      </c>
      <c r="I45" s="28"/>
      <c r="J45" s="179">
        <v>0.79</v>
      </c>
      <c r="K45" s="26">
        <v>1</v>
      </c>
      <c r="L45" s="27">
        <f t="shared" si="7"/>
        <v>0.79</v>
      </c>
      <c r="M45" s="28"/>
      <c r="N45" s="31">
        <f t="shared" si="2"/>
        <v>0</v>
      </c>
      <c r="O45" s="32"/>
    </row>
    <row r="46" spans="2:15" ht="25.5">
      <c r="B46" s="50" t="s">
        <v>27</v>
      </c>
      <c r="C46" s="51"/>
      <c r="D46" s="51"/>
      <c r="E46" s="51"/>
      <c r="F46" s="52"/>
      <c r="G46" s="53"/>
      <c r="H46" s="54">
        <f>SUM(H38:H45)+H37</f>
        <v>22.681555999999993</v>
      </c>
      <c r="I46" s="41"/>
      <c r="J46" s="53"/>
      <c r="K46" s="55"/>
      <c r="L46" s="54">
        <f>SUM(L38:L45)+L37</f>
        <v>26.541232193409808</v>
      </c>
      <c r="M46" s="41"/>
      <c r="N46" s="44">
        <f t="shared" si="2"/>
        <v>3.8596761934098147</v>
      </c>
      <c r="O46" s="45">
        <f aca="true" t="shared" si="8" ref="O46:O64">IF((H46)=0,"",(N46/H46))</f>
        <v>0.17016805167202004</v>
      </c>
    </row>
    <row r="47" spans="2:15" ht="15">
      <c r="B47" s="28" t="s">
        <v>28</v>
      </c>
      <c r="C47" s="28"/>
      <c r="D47" s="56" t="s">
        <v>61</v>
      </c>
      <c r="E47" s="57"/>
      <c r="F47" s="29">
        <v>0.0062</v>
      </c>
      <c r="G47" s="58">
        <f>F16*(1+F73)</f>
        <v>514.3</v>
      </c>
      <c r="H47" s="27">
        <f>G47*F47</f>
        <v>3.1886599999999996</v>
      </c>
      <c r="I47" s="28"/>
      <c r="J47" s="29">
        <f>'[5]13. Final 2014 RTS Rates'!$F$26</f>
        <v>0.006672891733385364</v>
      </c>
      <c r="K47" s="59">
        <f>F16*(1+J73)</f>
        <v>516.75</v>
      </c>
      <c r="L47" s="27">
        <f>K47*J47</f>
        <v>3.4482168032268867</v>
      </c>
      <c r="M47" s="28"/>
      <c r="N47" s="31">
        <f t="shared" si="2"/>
        <v>0.2595568032268871</v>
      </c>
      <c r="O47" s="32">
        <f t="shared" si="8"/>
        <v>0.0813999621241798</v>
      </c>
    </row>
    <row r="48" spans="2:15" ht="30">
      <c r="B48" s="60" t="s">
        <v>29</v>
      </c>
      <c r="C48" s="28"/>
      <c r="D48" s="56" t="s">
        <v>61</v>
      </c>
      <c r="E48" s="57"/>
      <c r="F48" s="29">
        <v>0.0036</v>
      </c>
      <c r="G48" s="58">
        <f>G47</f>
        <v>514.3</v>
      </c>
      <c r="H48" s="27">
        <f>G48*F48</f>
        <v>1.8514799999999998</v>
      </c>
      <c r="I48" s="28"/>
      <c r="J48" s="29">
        <f>'[5]13. Final 2014 RTS Rates'!$H$26</f>
        <v>0.004150792266205902</v>
      </c>
      <c r="K48" s="59">
        <f>K47</f>
        <v>516.75</v>
      </c>
      <c r="L48" s="27">
        <f>K48*J48</f>
        <v>2.1449219035619</v>
      </c>
      <c r="M48" s="28"/>
      <c r="N48" s="31">
        <f t="shared" si="2"/>
        <v>0.29344190356190025</v>
      </c>
      <c r="O48" s="32">
        <f t="shared" si="8"/>
        <v>0.15849045280634966</v>
      </c>
    </row>
    <row r="49" spans="2:15" ht="25.5">
      <c r="B49" s="50" t="s">
        <v>30</v>
      </c>
      <c r="C49" s="36"/>
      <c r="D49" s="36"/>
      <c r="E49" s="36"/>
      <c r="F49" s="61"/>
      <c r="G49" s="53"/>
      <c r="H49" s="54">
        <f>SUM(H46:H48)</f>
        <v>27.72169599999999</v>
      </c>
      <c r="I49" s="62"/>
      <c r="J49" s="63"/>
      <c r="K49" s="64"/>
      <c r="L49" s="54">
        <f>SUM(L46:L48)</f>
        <v>32.1343709001986</v>
      </c>
      <c r="M49" s="62"/>
      <c r="N49" s="44">
        <f t="shared" si="2"/>
        <v>4.412674900198606</v>
      </c>
      <c r="O49" s="45">
        <f t="shared" si="8"/>
        <v>0.15917766720328394</v>
      </c>
    </row>
    <row r="50" spans="2:15" ht="30">
      <c r="B50" s="65" t="s">
        <v>31</v>
      </c>
      <c r="C50" s="22"/>
      <c r="D50" s="23" t="s">
        <v>61</v>
      </c>
      <c r="E50" s="24"/>
      <c r="F50" s="66">
        <v>0.0044</v>
      </c>
      <c r="G50" s="58">
        <f>G48</f>
        <v>514.3</v>
      </c>
      <c r="H50" s="67">
        <f aca="true" t="shared" si="9" ref="H50:H56">G50*F50</f>
        <v>2.26292</v>
      </c>
      <c r="I50" s="28"/>
      <c r="J50" s="68">
        <v>0.0044</v>
      </c>
      <c r="K50" s="59">
        <f>K48</f>
        <v>516.75</v>
      </c>
      <c r="L50" s="67">
        <f aca="true" t="shared" si="10" ref="L50:L56">K50*J50</f>
        <v>2.2737000000000003</v>
      </c>
      <c r="M50" s="28"/>
      <c r="N50" s="31">
        <f t="shared" si="2"/>
        <v>0.010780000000000456</v>
      </c>
      <c r="O50" s="69">
        <f t="shared" si="8"/>
        <v>0.004763756562317915</v>
      </c>
    </row>
    <row r="51" spans="2:15" ht="15">
      <c r="B51" s="65" t="s">
        <v>32</v>
      </c>
      <c r="C51" s="22"/>
      <c r="D51" s="23" t="s">
        <v>61</v>
      </c>
      <c r="E51" s="24"/>
      <c r="F51" s="66">
        <v>0.0012</v>
      </c>
      <c r="G51" s="58">
        <f>G48</f>
        <v>514.3</v>
      </c>
      <c r="H51" s="67">
        <f t="shared" si="9"/>
        <v>0.6171599999999999</v>
      </c>
      <c r="I51" s="28"/>
      <c r="J51" s="68">
        <v>0.0012</v>
      </c>
      <c r="K51" s="59">
        <f>K48</f>
        <v>516.75</v>
      </c>
      <c r="L51" s="67">
        <f t="shared" si="10"/>
        <v>0.6201</v>
      </c>
      <c r="M51" s="28"/>
      <c r="N51" s="31">
        <f t="shared" si="2"/>
        <v>0.0029400000000000537</v>
      </c>
      <c r="O51" s="69">
        <f t="shared" si="8"/>
        <v>0.004763756562317801</v>
      </c>
    </row>
    <row r="52" spans="2:15" ht="15">
      <c r="B52" s="22" t="s">
        <v>33</v>
      </c>
      <c r="C52" s="22"/>
      <c r="D52" s="23" t="s">
        <v>60</v>
      </c>
      <c r="E52" s="24"/>
      <c r="F52" s="177">
        <v>0.25</v>
      </c>
      <c r="G52" s="26">
        <v>1</v>
      </c>
      <c r="H52" s="67">
        <f t="shared" si="9"/>
        <v>0.25</v>
      </c>
      <c r="I52" s="28"/>
      <c r="J52" s="178">
        <v>0.25</v>
      </c>
      <c r="K52" s="30">
        <v>1</v>
      </c>
      <c r="L52" s="67">
        <f t="shared" si="10"/>
        <v>0.25</v>
      </c>
      <c r="M52" s="28"/>
      <c r="N52" s="31">
        <f t="shared" si="2"/>
        <v>0</v>
      </c>
      <c r="O52" s="69">
        <f t="shared" si="8"/>
        <v>0</v>
      </c>
    </row>
    <row r="53" spans="2:15" ht="15">
      <c r="B53" s="22" t="s">
        <v>34</v>
      </c>
      <c r="C53" s="22"/>
      <c r="D53" s="23" t="s">
        <v>61</v>
      </c>
      <c r="E53" s="24"/>
      <c r="F53" s="66">
        <v>0.007</v>
      </c>
      <c r="G53" s="70">
        <f>F16</f>
        <v>500</v>
      </c>
      <c r="H53" s="67">
        <f t="shared" si="9"/>
        <v>3.5</v>
      </c>
      <c r="I53" s="28"/>
      <c r="J53" s="68">
        <f>0.007</f>
        <v>0.007</v>
      </c>
      <c r="K53" s="71">
        <f>F16</f>
        <v>500</v>
      </c>
      <c r="L53" s="67">
        <f t="shared" si="10"/>
        <v>3.5</v>
      </c>
      <c r="M53" s="28"/>
      <c r="N53" s="31">
        <f t="shared" si="2"/>
        <v>0</v>
      </c>
      <c r="O53" s="69">
        <f t="shared" si="8"/>
        <v>0</v>
      </c>
    </row>
    <row r="54" spans="2:19" ht="15">
      <c r="B54" s="49" t="s">
        <v>35</v>
      </c>
      <c r="C54" s="22"/>
      <c r="D54" s="23" t="s">
        <v>61</v>
      </c>
      <c r="E54" s="24"/>
      <c r="F54" s="72">
        <v>0.072</v>
      </c>
      <c r="G54" s="70">
        <f>0.64*$F$16</f>
        <v>320</v>
      </c>
      <c r="H54" s="67">
        <f t="shared" si="9"/>
        <v>23.04</v>
      </c>
      <c r="I54" s="28"/>
      <c r="J54" s="66">
        <v>0.072</v>
      </c>
      <c r="K54" s="70">
        <f>G54</f>
        <v>320</v>
      </c>
      <c r="L54" s="67">
        <f t="shared" si="10"/>
        <v>23.04</v>
      </c>
      <c r="M54" s="28"/>
      <c r="N54" s="31">
        <f t="shared" si="2"/>
        <v>0</v>
      </c>
      <c r="O54" s="69">
        <f t="shared" si="8"/>
        <v>0</v>
      </c>
      <c r="S54" s="73"/>
    </row>
    <row r="55" spans="2:19" ht="15">
      <c r="B55" s="49" t="s">
        <v>36</v>
      </c>
      <c r="C55" s="22"/>
      <c r="D55" s="23" t="s">
        <v>61</v>
      </c>
      <c r="E55" s="24"/>
      <c r="F55" s="72">
        <v>0.109</v>
      </c>
      <c r="G55" s="70">
        <f>0.18*$F$16</f>
        <v>90</v>
      </c>
      <c r="H55" s="67">
        <f t="shared" si="9"/>
        <v>9.81</v>
      </c>
      <c r="I55" s="28"/>
      <c r="J55" s="66">
        <v>0.109</v>
      </c>
      <c r="K55" s="70">
        <f>G55</f>
        <v>90</v>
      </c>
      <c r="L55" s="67">
        <f t="shared" si="10"/>
        <v>9.81</v>
      </c>
      <c r="M55" s="28"/>
      <c r="N55" s="31">
        <f t="shared" si="2"/>
        <v>0</v>
      </c>
      <c r="O55" s="69">
        <f t="shared" si="8"/>
        <v>0</v>
      </c>
      <c r="S55" s="73"/>
    </row>
    <row r="56" spans="2:19" ht="15">
      <c r="B56" s="12" t="s">
        <v>37</v>
      </c>
      <c r="C56" s="22"/>
      <c r="D56" s="23" t="s">
        <v>61</v>
      </c>
      <c r="E56" s="24"/>
      <c r="F56" s="72">
        <v>0.129</v>
      </c>
      <c r="G56" s="70">
        <f>0.18*$F$16</f>
        <v>90</v>
      </c>
      <c r="H56" s="67">
        <f t="shared" si="9"/>
        <v>11.61</v>
      </c>
      <c r="I56" s="28"/>
      <c r="J56" s="66">
        <v>0.129</v>
      </c>
      <c r="K56" s="70">
        <f>G56</f>
        <v>90</v>
      </c>
      <c r="L56" s="67">
        <f t="shared" si="10"/>
        <v>11.61</v>
      </c>
      <c r="M56" s="28"/>
      <c r="N56" s="31">
        <f t="shared" si="2"/>
        <v>0</v>
      </c>
      <c r="O56" s="69">
        <f t="shared" si="8"/>
        <v>0</v>
      </c>
      <c r="S56" s="73"/>
    </row>
    <row r="57" spans="2:15" s="74" customFormat="1" ht="15">
      <c r="B57" s="75" t="s">
        <v>38</v>
      </c>
      <c r="C57" s="76"/>
      <c r="D57" s="77" t="s">
        <v>61</v>
      </c>
      <c r="E57" s="78"/>
      <c r="F57" s="72">
        <v>0.083</v>
      </c>
      <c r="G57" s="79">
        <f>IF(AND($T$1=1,F16&gt;=600),600,IF(AND($T$1=1,AND(F16&lt;600,F16&gt;=0)),F16,IF(AND($T$1=2,F16&gt;=1000),1000,IF(AND($T$1=2,AND(F16&lt;1000,F16&gt;=0)),F16))))</f>
        <v>500</v>
      </c>
      <c r="H57" s="67">
        <f>G57*F57</f>
        <v>41.5</v>
      </c>
      <c r="I57" s="80"/>
      <c r="J57" s="66">
        <v>0.083</v>
      </c>
      <c r="K57" s="79">
        <f>G57</f>
        <v>500</v>
      </c>
      <c r="L57" s="67">
        <f>K57*J57</f>
        <v>41.5</v>
      </c>
      <c r="M57" s="80"/>
      <c r="N57" s="81">
        <f t="shared" si="2"/>
        <v>0</v>
      </c>
      <c r="O57" s="69">
        <f t="shared" si="8"/>
        <v>0</v>
      </c>
    </row>
    <row r="58" spans="2:15" s="74" customFormat="1" ht="15.75" thickBot="1">
      <c r="B58" s="75" t="s">
        <v>39</v>
      </c>
      <c r="C58" s="76"/>
      <c r="D58" s="77" t="s">
        <v>61</v>
      </c>
      <c r="E58" s="78"/>
      <c r="F58" s="72">
        <v>0.097</v>
      </c>
      <c r="G58" s="79">
        <f>IF(AND($T$1=1,F16&gt;=600),F16-600,IF(AND($T$1=1,AND(F16&lt;600,F16&gt;=0)),0,IF(AND($T$1=2,F16&gt;=1000),F16-1000,IF(AND($T$1=2,AND(F16&lt;1000,F16&gt;=0)),0))))</f>
        <v>0</v>
      </c>
      <c r="H58" s="67">
        <f>G58*F58</f>
        <v>0</v>
      </c>
      <c r="I58" s="80"/>
      <c r="J58" s="66">
        <v>0.097</v>
      </c>
      <c r="K58" s="79">
        <f>G58</f>
        <v>0</v>
      </c>
      <c r="L58" s="67">
        <f>K58*J58</f>
        <v>0</v>
      </c>
      <c r="M58" s="80"/>
      <c r="N58" s="81">
        <f t="shared" si="2"/>
        <v>0</v>
      </c>
      <c r="O58" s="69">
        <f t="shared" si="8"/>
      </c>
    </row>
    <row r="59" spans="2:15" ht="8.25" customHeight="1" thickBot="1">
      <c r="B59" s="82"/>
      <c r="C59" s="83"/>
      <c r="D59" s="84"/>
      <c r="E59" s="83"/>
      <c r="F59" s="85"/>
      <c r="G59" s="86"/>
      <c r="H59" s="87"/>
      <c r="I59" s="88"/>
      <c r="J59" s="85"/>
      <c r="K59" s="89"/>
      <c r="L59" s="87"/>
      <c r="M59" s="88"/>
      <c r="N59" s="90"/>
      <c r="O59" s="91"/>
    </row>
    <row r="60" spans="2:19" ht="15">
      <c r="B60" s="92" t="s">
        <v>40</v>
      </c>
      <c r="C60" s="22"/>
      <c r="D60" s="22"/>
      <c r="E60" s="22"/>
      <c r="F60" s="93"/>
      <c r="G60" s="94"/>
      <c r="H60" s="95">
        <f>SUM(H50:H56,H49)</f>
        <v>78.811776</v>
      </c>
      <c r="I60" s="96"/>
      <c r="J60" s="97"/>
      <c r="K60" s="97"/>
      <c r="L60" s="191">
        <f>SUM(L50:L56,L49)</f>
        <v>83.2381709001986</v>
      </c>
      <c r="M60" s="98"/>
      <c r="N60" s="99">
        <f>L60-H60</f>
        <v>4.426394900198602</v>
      </c>
      <c r="O60" s="100">
        <f>IF((H60)=0,"",(N60/H60))</f>
        <v>0.05616413085524938</v>
      </c>
      <c r="S60" s="73"/>
    </row>
    <row r="61" spans="2:19" ht="15">
      <c r="B61" s="101" t="s">
        <v>41</v>
      </c>
      <c r="C61" s="22"/>
      <c r="D61" s="22"/>
      <c r="E61" s="22"/>
      <c r="F61" s="102">
        <v>0.13</v>
      </c>
      <c r="G61" s="103"/>
      <c r="H61" s="104">
        <f>H60*F61</f>
        <v>10.24553088</v>
      </c>
      <c r="I61" s="105"/>
      <c r="J61" s="106">
        <v>0.13</v>
      </c>
      <c r="K61" s="105"/>
      <c r="L61" s="107">
        <f>L60*J61</f>
        <v>10.820962217025818</v>
      </c>
      <c r="M61" s="108"/>
      <c r="N61" s="109">
        <f t="shared" si="2"/>
        <v>0.5754313370258171</v>
      </c>
      <c r="O61" s="110">
        <f t="shared" si="8"/>
        <v>0.05616413085524925</v>
      </c>
      <c r="S61" s="73"/>
    </row>
    <row r="62" spans="2:19" ht="15">
      <c r="B62" s="111" t="s">
        <v>42</v>
      </c>
      <c r="C62" s="22"/>
      <c r="D62" s="22"/>
      <c r="E62" s="22"/>
      <c r="F62" s="112"/>
      <c r="G62" s="103"/>
      <c r="H62" s="104">
        <f>H60+H61</f>
        <v>89.05730688</v>
      </c>
      <c r="I62" s="105"/>
      <c r="J62" s="105"/>
      <c r="K62" s="105"/>
      <c r="L62" s="107">
        <f>L60+L61</f>
        <v>94.05913311722442</v>
      </c>
      <c r="M62" s="108"/>
      <c r="N62" s="109">
        <f t="shared" si="2"/>
        <v>5.001826237224421</v>
      </c>
      <c r="O62" s="110">
        <f t="shared" si="8"/>
        <v>0.05616413085524938</v>
      </c>
      <c r="S62" s="73"/>
    </row>
    <row r="63" spans="2:15" ht="15.75" customHeight="1">
      <c r="B63" s="251" t="s">
        <v>43</v>
      </c>
      <c r="C63" s="251"/>
      <c r="D63" s="251"/>
      <c r="E63" s="22"/>
      <c r="F63" s="112"/>
      <c r="G63" s="103"/>
      <c r="H63" s="113">
        <f>ROUND(-H62*10%,2)</f>
        <v>-8.91</v>
      </c>
      <c r="I63" s="105"/>
      <c r="J63" s="105"/>
      <c r="K63" s="105"/>
      <c r="L63" s="114">
        <f>ROUND(-L62*10%,2)</f>
        <v>-9.41</v>
      </c>
      <c r="M63" s="108"/>
      <c r="N63" s="115">
        <f t="shared" si="2"/>
        <v>-0.5</v>
      </c>
      <c r="O63" s="116">
        <f t="shared" si="8"/>
        <v>0.05611672278338945</v>
      </c>
    </row>
    <row r="64" spans="2:15" ht="15.75" thickBot="1">
      <c r="B64" s="233" t="s">
        <v>44</v>
      </c>
      <c r="C64" s="233"/>
      <c r="D64" s="233"/>
      <c r="E64" s="117"/>
      <c r="F64" s="118"/>
      <c r="G64" s="119"/>
      <c r="H64" s="120">
        <f>H62+H63</f>
        <v>80.14730688</v>
      </c>
      <c r="I64" s="121"/>
      <c r="J64" s="121"/>
      <c r="K64" s="121"/>
      <c r="L64" s="122">
        <f>L62+L63</f>
        <v>84.64913311722442</v>
      </c>
      <c r="M64" s="123"/>
      <c r="N64" s="124">
        <f t="shared" si="2"/>
        <v>4.501826237224421</v>
      </c>
      <c r="O64" s="125">
        <f t="shared" si="8"/>
        <v>0.05616940122473172</v>
      </c>
    </row>
    <row r="65" spans="2:15" s="74" customFormat="1" ht="8.25" customHeight="1" thickBot="1">
      <c r="B65" s="126"/>
      <c r="C65" s="127"/>
      <c r="D65" s="128"/>
      <c r="E65" s="127"/>
      <c r="F65" s="85"/>
      <c r="G65" s="129"/>
      <c r="H65" s="87"/>
      <c r="I65" s="130"/>
      <c r="J65" s="85"/>
      <c r="K65" s="131"/>
      <c r="L65" s="87"/>
      <c r="M65" s="130"/>
      <c r="N65" s="132"/>
      <c r="O65" s="91"/>
    </row>
    <row r="66" spans="2:15" s="74" customFormat="1" ht="12.75">
      <c r="B66" s="133" t="s">
        <v>45</v>
      </c>
      <c r="C66" s="76"/>
      <c r="D66" s="76"/>
      <c r="E66" s="76"/>
      <c r="F66" s="134"/>
      <c r="G66" s="135"/>
      <c r="H66" s="136">
        <f>SUM(H57:H58,H49,H50:H53)</f>
        <v>75.85177599999999</v>
      </c>
      <c r="I66" s="137"/>
      <c r="J66" s="138"/>
      <c r="K66" s="138"/>
      <c r="L66" s="190">
        <f>SUM(L57:L58,L49,L50:L53)</f>
        <v>80.2781709001986</v>
      </c>
      <c r="M66" s="139"/>
      <c r="N66" s="140">
        <f>L66-H66</f>
        <v>4.426394900198616</v>
      </c>
      <c r="O66" s="100">
        <f>IF((H66)=0,"",(N66/H66))</f>
        <v>0.05835585049714086</v>
      </c>
    </row>
    <row r="67" spans="2:15" s="74" customFormat="1" ht="12.75">
      <c r="B67" s="141" t="s">
        <v>41</v>
      </c>
      <c r="C67" s="76"/>
      <c r="D67" s="76"/>
      <c r="E67" s="76"/>
      <c r="F67" s="142">
        <v>0.13</v>
      </c>
      <c r="G67" s="135"/>
      <c r="H67" s="143">
        <f>H66*F67</f>
        <v>9.860730879999998</v>
      </c>
      <c r="I67" s="144"/>
      <c r="J67" s="145">
        <v>0.13</v>
      </c>
      <c r="K67" s="146"/>
      <c r="L67" s="147">
        <f>L66*J67</f>
        <v>10.436162217025819</v>
      </c>
      <c r="M67" s="148"/>
      <c r="N67" s="149">
        <f>L67-H67</f>
        <v>0.5754313370258206</v>
      </c>
      <c r="O67" s="110">
        <f>IF((H67)=0,"",(N67/H67))</f>
        <v>0.058355850497140906</v>
      </c>
    </row>
    <row r="68" spans="2:15" s="74" customFormat="1" ht="12.75">
      <c r="B68" s="150" t="s">
        <v>42</v>
      </c>
      <c r="C68" s="76"/>
      <c r="D68" s="76"/>
      <c r="E68" s="76"/>
      <c r="F68" s="151"/>
      <c r="G68" s="152"/>
      <c r="H68" s="143">
        <f>H66+H67</f>
        <v>85.71250687999998</v>
      </c>
      <c r="I68" s="144"/>
      <c r="J68" s="144"/>
      <c r="K68" s="144"/>
      <c r="L68" s="147">
        <f>L66+L67</f>
        <v>90.71433311722443</v>
      </c>
      <c r="M68" s="148"/>
      <c r="N68" s="149">
        <f>L68-H68</f>
        <v>5.001826237224449</v>
      </c>
      <c r="O68" s="110">
        <f>IF((H68)=0,"",(N68/H68))</f>
        <v>0.05835585049714102</v>
      </c>
    </row>
    <row r="69" spans="2:15" s="74" customFormat="1" ht="15.75" customHeight="1">
      <c r="B69" s="239" t="s">
        <v>43</v>
      </c>
      <c r="C69" s="239"/>
      <c r="D69" s="239"/>
      <c r="E69" s="76"/>
      <c r="F69" s="151"/>
      <c r="G69" s="152"/>
      <c r="H69" s="153">
        <f>ROUND(-H68*10%,2)</f>
        <v>-8.57</v>
      </c>
      <c r="I69" s="144"/>
      <c r="J69" s="144"/>
      <c r="K69" s="144"/>
      <c r="L69" s="154">
        <f>ROUND(-L68*10%,2)</f>
        <v>-9.07</v>
      </c>
      <c r="M69" s="148"/>
      <c r="N69" s="155">
        <f>L69-H69</f>
        <v>-0.5</v>
      </c>
      <c r="O69" s="116">
        <f>IF((H69)=0,"",(N69/H69))</f>
        <v>0.058343057176196034</v>
      </c>
    </row>
    <row r="70" spans="2:15" s="74" customFormat="1" ht="13.5" thickBot="1">
      <c r="B70" s="244" t="s">
        <v>46</v>
      </c>
      <c r="C70" s="244"/>
      <c r="D70" s="244"/>
      <c r="E70" s="156"/>
      <c r="F70" s="157"/>
      <c r="G70" s="158"/>
      <c r="H70" s="159">
        <f>SUM(H68:H69)</f>
        <v>77.14250687999998</v>
      </c>
      <c r="I70" s="160"/>
      <c r="J70" s="160"/>
      <c r="K70" s="160"/>
      <c r="L70" s="161">
        <f>SUM(L68:L69)</f>
        <v>81.64433311722442</v>
      </c>
      <c r="M70" s="162"/>
      <c r="N70" s="163">
        <f>L70-H70</f>
        <v>4.501826237224435</v>
      </c>
      <c r="O70" s="164">
        <f>IF((H70)=0,"",(N70/H70))</f>
        <v>0.05835727174678558</v>
      </c>
    </row>
    <row r="71" spans="2:15" s="74" customFormat="1" ht="8.25" customHeight="1" thickBot="1">
      <c r="B71" s="126"/>
      <c r="C71" s="127"/>
      <c r="D71" s="128"/>
      <c r="E71" s="127"/>
      <c r="F71" s="165"/>
      <c r="G71" s="166"/>
      <c r="H71" s="167"/>
      <c r="I71" s="168"/>
      <c r="J71" s="165"/>
      <c r="K71" s="129"/>
      <c r="L71" s="169"/>
      <c r="M71" s="130"/>
      <c r="N71" s="170"/>
      <c r="O71" s="91"/>
    </row>
    <row r="72" ht="10.5" customHeight="1">
      <c r="L72" s="73"/>
    </row>
    <row r="73" spans="2:10" ht="15">
      <c r="B73" s="13" t="s">
        <v>47</v>
      </c>
      <c r="F73" s="171">
        <v>0.0286</v>
      </c>
      <c r="J73" s="171">
        <v>0.0335</v>
      </c>
    </row>
    <row r="74" ht="10.5" customHeight="1"/>
    <row r="75" ht="15">
      <c r="A75" s="172" t="s">
        <v>48</v>
      </c>
    </row>
    <row r="76" ht="10.5" customHeight="1"/>
    <row r="77" ht="15">
      <c r="A77" s="7" t="s">
        <v>49</v>
      </c>
    </row>
    <row r="78" ht="15">
      <c r="A78" s="7" t="s">
        <v>50</v>
      </c>
    </row>
    <row r="80" ht="15">
      <c r="A80" s="12" t="s">
        <v>51</v>
      </c>
    </row>
    <row r="81" ht="15">
      <c r="A81" s="12" t="s">
        <v>52</v>
      </c>
    </row>
    <row r="83" ht="15">
      <c r="A83" s="7" t="s">
        <v>53</v>
      </c>
    </row>
    <row r="84" ht="15">
      <c r="A84" s="7" t="s">
        <v>54</v>
      </c>
    </row>
    <row r="85" ht="15">
      <c r="A85" s="7" t="s">
        <v>55</v>
      </c>
    </row>
    <row r="86" ht="15">
      <c r="A86" s="7" t="s">
        <v>56</v>
      </c>
    </row>
    <row r="87" ht="15">
      <c r="A87" s="7" t="s">
        <v>57</v>
      </c>
    </row>
    <row r="89" spans="1:2" ht="15">
      <c r="A89" s="173"/>
      <c r="B89" s="7" t="s">
        <v>58</v>
      </c>
    </row>
  </sheetData>
  <sheetProtection/>
  <mergeCells count="17">
    <mergeCell ref="B69:D69"/>
    <mergeCell ref="F18:H18"/>
    <mergeCell ref="J18:L18"/>
    <mergeCell ref="N18:O18"/>
    <mergeCell ref="N3:O3"/>
    <mergeCell ref="B70:D70"/>
    <mergeCell ref="D19:D20"/>
    <mergeCell ref="N19:N20"/>
    <mergeCell ref="O19:O20"/>
    <mergeCell ref="B63:D63"/>
    <mergeCell ref="B64:D64"/>
    <mergeCell ref="N1:O1"/>
    <mergeCell ref="N2:O2"/>
    <mergeCell ref="N5:O5"/>
    <mergeCell ref="B8:O8"/>
    <mergeCell ref="B9:O9"/>
    <mergeCell ref="D12:O12"/>
  </mergeCells>
  <dataValidations count="4">
    <dataValidation type="list" allowBlank="1" showInputMessage="1" showErrorMessage="1" sqref="E47:E48 E50:E56 E59 E38:E45 E21:E36">
      <formula1>'Res (500kWh)'!#REF!</formula1>
    </dataValidation>
    <dataValidation type="list" allowBlank="1" showInputMessage="1" showErrorMessage="1" prompt="Select Charge Unit - monthly, per kWh, per kW" sqref="D47:D48 D65 D71 D50:D59 D38:D45 D21:D36">
      <formula1>"Monthly, per kWh, per kW"</formula1>
    </dataValidation>
    <dataValidation type="list" allowBlank="1" showInputMessage="1" showErrorMessage="1" sqref="E71 E65 E57:E58">
      <formula1>'Res (500kWh)'!#REF!</formula1>
    </dataValidation>
    <dataValidation type="list" allowBlank="1" showInputMessage="1" showErrorMessage="1" sqref="D14">
      <formula1>"TOU, non-TOU"</formula1>
    </dataValidation>
  </dataValidations>
  <printOptions/>
  <pageMargins left="0.7" right="0.7" top="0.75" bottom="0.75" header="0.3" footer="0.3"/>
  <pageSetup fitToHeight="0" fitToWidth="1" horizontalDpi="600" verticalDpi="600" orientation="portrait" scale="5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T89"/>
  <sheetViews>
    <sheetView showGridLines="0" zoomScalePageLayoutView="0" workbookViewId="0" topLeftCell="A1">
      <selection activeCell="J3" sqref="J3"/>
    </sheetView>
  </sheetViews>
  <sheetFormatPr defaultColWidth="9.140625" defaultRowHeight="15"/>
  <cols>
    <col min="1" max="1" width="2.140625" style="7" customWidth="1"/>
    <col min="2" max="2" width="44.57421875" style="7" customWidth="1"/>
    <col min="3" max="3" width="1.28515625" style="7" customWidth="1"/>
    <col min="4" max="4" width="11.28125" style="7" customWidth="1"/>
    <col min="5" max="5" width="1.28515625" style="7" customWidth="1"/>
    <col min="6" max="6" width="12.28125" style="7" customWidth="1"/>
    <col min="7" max="7" width="8.57421875" style="7" customWidth="1"/>
    <col min="8" max="8" width="9.7109375" style="7" customWidth="1"/>
    <col min="9" max="9" width="2.8515625" style="7" customWidth="1"/>
    <col min="10" max="10" width="12.140625" style="7" customWidth="1"/>
    <col min="11" max="11" width="8.57421875" style="7" customWidth="1"/>
    <col min="12" max="12" width="9.7109375" style="7" customWidth="1"/>
    <col min="13" max="13" width="2.8515625" style="7" customWidth="1"/>
    <col min="14" max="14" width="12.7109375" style="7" bestFit="1" customWidth="1"/>
    <col min="15" max="15" width="10.8515625" style="7" customWidth="1"/>
    <col min="16" max="16" width="6.28125" style="7" customWidth="1"/>
    <col min="17" max="20" width="9.140625" style="7" customWidth="1"/>
    <col min="21" max="16384" width="9.140625" style="7" customWidth="1"/>
  </cols>
  <sheetData>
    <row r="1" spans="1:20" s="2" customFormat="1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234" t="str">
        <f>EBNUMBER</f>
        <v>EB-2013-0116</v>
      </c>
      <c r="O1" s="234"/>
      <c r="T1" s="2">
        <v>1</v>
      </c>
    </row>
    <row r="2" spans="1:16" s="2" customFormat="1" ht="1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110</v>
      </c>
      <c r="N2" s="235" t="s">
        <v>111</v>
      </c>
      <c r="O2" s="235"/>
      <c r="P2" s="196"/>
    </row>
    <row r="3" spans="3:16" s="2" customFormat="1" ht="15" customHeight="1">
      <c r="C3" s="6"/>
      <c r="D3" s="6"/>
      <c r="E3" s="6"/>
      <c r="L3" s="3" t="s">
        <v>78</v>
      </c>
      <c r="N3" s="236" t="s">
        <v>79</v>
      </c>
      <c r="O3" s="236"/>
      <c r="P3" s="195"/>
    </row>
    <row r="4" spans="12:16" s="2" customFormat="1" ht="9" customHeight="1">
      <c r="L4" s="3"/>
      <c r="N4" s="194"/>
      <c r="O4" s="4"/>
      <c r="P4"/>
    </row>
    <row r="5" spans="12:16" s="2" customFormat="1" ht="15">
      <c r="L5" s="3" t="s">
        <v>100</v>
      </c>
      <c r="N5" s="237">
        <v>41695</v>
      </c>
      <c r="O5" s="237"/>
      <c r="P5" s="193"/>
    </row>
    <row r="6" spans="14:16" s="2" customFormat="1" ht="15" customHeight="1">
      <c r="N6" s="7"/>
      <c r="O6"/>
      <c r="P6"/>
    </row>
    <row r="7" spans="12:16" ht="7.5" customHeight="1">
      <c r="L7"/>
      <c r="M7"/>
      <c r="N7"/>
      <c r="O7"/>
      <c r="P7"/>
    </row>
    <row r="8" spans="2:16" ht="18.75" customHeight="1">
      <c r="B8" s="238" t="s">
        <v>1</v>
      </c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/>
    </row>
    <row r="9" spans="2:16" ht="18.75" customHeight="1">
      <c r="B9" s="238" t="s">
        <v>2</v>
      </c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/>
    </row>
    <row r="10" spans="12:16" ht="7.5" customHeight="1">
      <c r="L10"/>
      <c r="M10"/>
      <c r="N10"/>
      <c r="O10"/>
      <c r="P10"/>
    </row>
    <row r="11" spans="12:16" ht="7.5" customHeight="1">
      <c r="L11"/>
      <c r="M11"/>
      <c r="N11"/>
      <c r="O11"/>
      <c r="P11"/>
    </row>
    <row r="12" spans="2:15" ht="15.75">
      <c r="B12" s="8" t="s">
        <v>3</v>
      </c>
      <c r="D12" s="240" t="s">
        <v>59</v>
      </c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</row>
    <row r="13" spans="2:15" ht="7.5" customHeight="1">
      <c r="B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2:15" ht="15.75">
      <c r="B14" s="8" t="s">
        <v>4</v>
      </c>
      <c r="D14" s="11" t="s">
        <v>5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2:15" ht="15.75">
      <c r="B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2:7" ht="15">
      <c r="B16" s="12"/>
      <c r="D16" s="13" t="s">
        <v>6</v>
      </c>
      <c r="E16" s="13"/>
      <c r="F16" s="14">
        <v>800</v>
      </c>
      <c r="G16" s="13" t="s">
        <v>7</v>
      </c>
    </row>
    <row r="17" ht="15">
      <c r="B17" s="12"/>
    </row>
    <row r="18" spans="2:15" ht="15">
      <c r="B18" s="12"/>
      <c r="D18" s="15"/>
      <c r="E18" s="15"/>
      <c r="F18" s="241" t="s">
        <v>8</v>
      </c>
      <c r="G18" s="242"/>
      <c r="H18" s="243"/>
      <c r="J18" s="241" t="s">
        <v>9</v>
      </c>
      <c r="K18" s="242"/>
      <c r="L18" s="243"/>
      <c r="N18" s="241" t="s">
        <v>10</v>
      </c>
      <c r="O18" s="243"/>
    </row>
    <row r="19" spans="2:15" ht="15">
      <c r="B19" s="12"/>
      <c r="D19" s="245" t="s">
        <v>11</v>
      </c>
      <c r="E19" s="16"/>
      <c r="F19" s="17" t="s">
        <v>12</v>
      </c>
      <c r="G19" s="17" t="s">
        <v>13</v>
      </c>
      <c r="H19" s="18" t="s">
        <v>14</v>
      </c>
      <c r="J19" s="17" t="s">
        <v>12</v>
      </c>
      <c r="K19" s="19" t="s">
        <v>13</v>
      </c>
      <c r="L19" s="18" t="s">
        <v>14</v>
      </c>
      <c r="N19" s="247" t="s">
        <v>15</v>
      </c>
      <c r="O19" s="249" t="s">
        <v>16</v>
      </c>
    </row>
    <row r="20" spans="2:15" ht="15">
      <c r="B20" s="12"/>
      <c r="D20" s="246"/>
      <c r="E20" s="16"/>
      <c r="F20" s="20" t="s">
        <v>17</v>
      </c>
      <c r="G20" s="20"/>
      <c r="H20" s="21" t="s">
        <v>17</v>
      </c>
      <c r="J20" s="20" t="s">
        <v>17</v>
      </c>
      <c r="K20" s="21"/>
      <c r="L20" s="21" t="s">
        <v>17</v>
      </c>
      <c r="N20" s="248"/>
      <c r="O20" s="250"/>
    </row>
    <row r="21" spans="2:15" ht="22.5" customHeight="1">
      <c r="B21" s="22" t="s">
        <v>18</v>
      </c>
      <c r="C21" s="22"/>
      <c r="D21" s="23" t="s">
        <v>60</v>
      </c>
      <c r="E21" s="24"/>
      <c r="F21" s="175">
        <f>'[2]2013 Existing Rates'!$C$6</f>
        <v>10.09</v>
      </c>
      <c r="G21" s="26">
        <v>1</v>
      </c>
      <c r="H21" s="27">
        <f>G21*F21</f>
        <v>10.09</v>
      </c>
      <c r="I21" s="28"/>
      <c r="J21" s="174">
        <f>'[3]Rate Schedule '!$E$10</f>
        <v>16.58</v>
      </c>
      <c r="K21" s="30">
        <v>1</v>
      </c>
      <c r="L21" s="27">
        <f>K21*J21</f>
        <v>16.58</v>
      </c>
      <c r="M21" s="28"/>
      <c r="N21" s="31">
        <f>L21-H21</f>
        <v>6.489999999999998</v>
      </c>
      <c r="O21" s="32">
        <f>IF((H21)=0,"",(N21/H21))</f>
        <v>0.6432111000991079</v>
      </c>
    </row>
    <row r="22" spans="2:15" ht="36.75" customHeight="1">
      <c r="B22" s="65" t="s">
        <v>62</v>
      </c>
      <c r="C22" s="22"/>
      <c r="D22" s="56" t="s">
        <v>60</v>
      </c>
      <c r="E22" s="24"/>
      <c r="F22" s="174">
        <v>0.01</v>
      </c>
      <c r="G22" s="26">
        <v>1</v>
      </c>
      <c r="H22" s="27">
        <f aca="true" t="shared" si="0" ref="H22:H36">G22*F22</f>
        <v>0.01</v>
      </c>
      <c r="I22" s="28"/>
      <c r="J22" s="29"/>
      <c r="K22" s="30">
        <v>1</v>
      </c>
      <c r="L22" s="27">
        <f>K22*J22</f>
        <v>0</v>
      </c>
      <c r="M22" s="28"/>
      <c r="N22" s="31">
        <f>L22-H22</f>
        <v>-0.01</v>
      </c>
      <c r="O22" s="32">
        <f>IF((H22)=0,"",(N22/H22))</f>
        <v>-1</v>
      </c>
    </row>
    <row r="23" spans="2:15" ht="36.75" customHeight="1">
      <c r="B23" s="176" t="s">
        <v>63</v>
      </c>
      <c r="C23" s="22"/>
      <c r="D23" s="56" t="s">
        <v>60</v>
      </c>
      <c r="E23" s="57"/>
      <c r="F23" s="174">
        <v>2.22</v>
      </c>
      <c r="G23" s="26">
        <v>1</v>
      </c>
      <c r="H23" s="27">
        <f t="shared" si="0"/>
        <v>2.22</v>
      </c>
      <c r="I23" s="28"/>
      <c r="J23" s="29"/>
      <c r="K23" s="30">
        <v>1</v>
      </c>
      <c r="L23" s="27">
        <f aca="true" t="shared" si="1" ref="L23:L36">K23*J23</f>
        <v>0</v>
      </c>
      <c r="M23" s="28"/>
      <c r="N23" s="31">
        <f aca="true" t="shared" si="2" ref="N23:N64">L23-H23</f>
        <v>-2.22</v>
      </c>
      <c r="O23" s="32">
        <f aca="true" t="shared" si="3" ref="O23:O44">IF((H23)=0,"",(N23/H23))</f>
        <v>-1</v>
      </c>
    </row>
    <row r="24" spans="2:15" ht="15">
      <c r="B24" s="176" t="s">
        <v>64</v>
      </c>
      <c r="C24" s="22"/>
      <c r="D24" s="23" t="s">
        <v>60</v>
      </c>
      <c r="E24" s="24"/>
      <c r="F24" s="25"/>
      <c r="G24" s="26">
        <v>1</v>
      </c>
      <c r="H24" s="27">
        <f t="shared" si="0"/>
        <v>0</v>
      </c>
      <c r="I24" s="28"/>
      <c r="J24" s="174">
        <v>3.25</v>
      </c>
      <c r="K24" s="30">
        <v>1</v>
      </c>
      <c r="L24" s="27">
        <f t="shared" si="1"/>
        <v>3.25</v>
      </c>
      <c r="M24" s="28"/>
      <c r="N24" s="31">
        <f t="shared" si="2"/>
        <v>3.25</v>
      </c>
      <c r="O24" s="32">
        <f t="shared" si="3"/>
      </c>
    </row>
    <row r="25" spans="2:15" ht="15">
      <c r="B25" s="46" t="s">
        <v>65</v>
      </c>
      <c r="C25" s="22"/>
      <c r="D25" s="23" t="s">
        <v>61</v>
      </c>
      <c r="E25" s="24"/>
      <c r="F25" s="25">
        <v>-0.0001</v>
      </c>
      <c r="G25" s="26">
        <f>$F$16</f>
        <v>800</v>
      </c>
      <c r="H25" s="27">
        <f t="shared" si="0"/>
        <v>-0.08</v>
      </c>
      <c r="I25" s="28"/>
      <c r="J25" s="174"/>
      <c r="K25" s="26">
        <f>$F$16</f>
        <v>800</v>
      </c>
      <c r="L25" s="27">
        <f t="shared" si="1"/>
        <v>0</v>
      </c>
      <c r="M25" s="28"/>
      <c r="N25" s="31">
        <f t="shared" si="2"/>
        <v>0.08</v>
      </c>
      <c r="O25" s="32">
        <f t="shared" si="3"/>
        <v>-1</v>
      </c>
    </row>
    <row r="26" spans="2:15" ht="15" customHeight="1">
      <c r="B26" s="46" t="s">
        <v>66</v>
      </c>
      <c r="C26" s="22"/>
      <c r="D26" s="23" t="s">
        <v>61</v>
      </c>
      <c r="E26" s="24"/>
      <c r="F26" s="25"/>
      <c r="G26" s="26">
        <f>$F$16</f>
        <v>800</v>
      </c>
      <c r="H26" s="27">
        <f t="shared" si="0"/>
        <v>0</v>
      </c>
      <c r="I26" s="28"/>
      <c r="J26" s="29">
        <f>'[4]6. Rate Rider Calculations'!$F$75</f>
        <v>-0.0023955525753637957</v>
      </c>
      <c r="K26" s="26">
        <f>$F$16</f>
        <v>800</v>
      </c>
      <c r="L26" s="27">
        <f t="shared" si="1"/>
        <v>-1.9164420602910366</v>
      </c>
      <c r="M26" s="28"/>
      <c r="N26" s="31">
        <f t="shared" si="2"/>
        <v>-1.9164420602910366</v>
      </c>
      <c r="O26" s="32">
        <f t="shared" si="3"/>
      </c>
    </row>
    <row r="27" spans="2:15" ht="15">
      <c r="B27" s="22" t="s">
        <v>19</v>
      </c>
      <c r="C27" s="22"/>
      <c r="D27" s="23" t="s">
        <v>61</v>
      </c>
      <c r="E27" s="24"/>
      <c r="F27" s="25">
        <f>'[2]2013 Existing Rates'!$E$6</f>
        <v>0.0163</v>
      </c>
      <c r="G27" s="26">
        <f>$F$16</f>
        <v>800</v>
      </c>
      <c r="H27" s="27">
        <f t="shared" si="0"/>
        <v>13.04</v>
      </c>
      <c r="I27" s="28"/>
      <c r="J27" s="29">
        <f>'[3]Rate Schedule '!$E$11</f>
        <v>0.0119</v>
      </c>
      <c r="K27" s="26">
        <f>$F$16</f>
        <v>800</v>
      </c>
      <c r="L27" s="27">
        <f t="shared" si="1"/>
        <v>9.520000000000001</v>
      </c>
      <c r="M27" s="28"/>
      <c r="N27" s="31">
        <f t="shared" si="2"/>
        <v>-3.519999999999998</v>
      </c>
      <c r="O27" s="32">
        <f t="shared" si="3"/>
        <v>-0.2699386503067483</v>
      </c>
    </row>
    <row r="28" spans="2:15" ht="15" hidden="1">
      <c r="B28" s="22" t="s">
        <v>20</v>
      </c>
      <c r="C28" s="22"/>
      <c r="D28" s="23"/>
      <c r="E28" s="24"/>
      <c r="F28" s="25"/>
      <c r="G28" s="26">
        <f>$F$16</f>
        <v>800</v>
      </c>
      <c r="H28" s="27">
        <f t="shared" si="0"/>
        <v>0</v>
      </c>
      <c r="I28" s="28"/>
      <c r="J28" s="29"/>
      <c r="K28" s="26">
        <f aca="true" t="shared" si="4" ref="K28:K36">$F$16</f>
        <v>800</v>
      </c>
      <c r="L28" s="27">
        <f t="shared" si="1"/>
        <v>0</v>
      </c>
      <c r="M28" s="28"/>
      <c r="N28" s="31">
        <f t="shared" si="2"/>
        <v>0</v>
      </c>
      <c r="O28" s="32">
        <f t="shared" si="3"/>
      </c>
    </row>
    <row r="29" spans="2:15" ht="15" hidden="1">
      <c r="B29" s="22" t="s">
        <v>21</v>
      </c>
      <c r="C29" s="22"/>
      <c r="D29" s="23"/>
      <c r="E29" s="24"/>
      <c r="F29" s="25"/>
      <c r="G29" s="26">
        <f>$F$16</f>
        <v>800</v>
      </c>
      <c r="H29" s="27">
        <f t="shared" si="0"/>
        <v>0</v>
      </c>
      <c r="I29" s="28"/>
      <c r="J29" s="29"/>
      <c r="K29" s="26">
        <f t="shared" si="4"/>
        <v>800</v>
      </c>
      <c r="L29" s="27">
        <f t="shared" si="1"/>
        <v>0</v>
      </c>
      <c r="M29" s="28"/>
      <c r="N29" s="31">
        <f t="shared" si="2"/>
        <v>0</v>
      </c>
      <c r="O29" s="32">
        <f t="shared" si="3"/>
      </c>
    </row>
    <row r="30" spans="2:15" ht="15" hidden="1">
      <c r="B30" s="33"/>
      <c r="C30" s="22"/>
      <c r="D30" s="23"/>
      <c r="E30" s="24"/>
      <c r="F30" s="25"/>
      <c r="G30" s="26">
        <f aca="true" t="shared" si="5" ref="G30:G36">$F$16</f>
        <v>800</v>
      </c>
      <c r="H30" s="27">
        <f t="shared" si="0"/>
        <v>0</v>
      </c>
      <c r="I30" s="28"/>
      <c r="J30" s="29"/>
      <c r="K30" s="26">
        <f t="shared" si="4"/>
        <v>800</v>
      </c>
      <c r="L30" s="27">
        <f t="shared" si="1"/>
        <v>0</v>
      </c>
      <c r="M30" s="28"/>
      <c r="N30" s="31">
        <f t="shared" si="2"/>
        <v>0</v>
      </c>
      <c r="O30" s="32">
        <f t="shared" si="3"/>
      </c>
    </row>
    <row r="31" spans="2:15" ht="15" hidden="1">
      <c r="B31" s="33"/>
      <c r="C31" s="22"/>
      <c r="D31" s="23"/>
      <c r="E31" s="24"/>
      <c r="F31" s="25"/>
      <c r="G31" s="26">
        <f t="shared" si="5"/>
        <v>800</v>
      </c>
      <c r="H31" s="27">
        <f t="shared" si="0"/>
        <v>0</v>
      </c>
      <c r="I31" s="28"/>
      <c r="J31" s="29"/>
      <c r="K31" s="26">
        <f t="shared" si="4"/>
        <v>800</v>
      </c>
      <c r="L31" s="27">
        <f t="shared" si="1"/>
        <v>0</v>
      </c>
      <c r="M31" s="28"/>
      <c r="N31" s="31">
        <f t="shared" si="2"/>
        <v>0</v>
      </c>
      <c r="O31" s="32">
        <f t="shared" si="3"/>
      </c>
    </row>
    <row r="32" spans="2:15" ht="15" hidden="1">
      <c r="B32" s="33"/>
      <c r="C32" s="22"/>
      <c r="D32" s="23"/>
      <c r="E32" s="24"/>
      <c r="F32" s="25"/>
      <c r="G32" s="26">
        <f t="shared" si="5"/>
        <v>800</v>
      </c>
      <c r="H32" s="27">
        <f t="shared" si="0"/>
        <v>0</v>
      </c>
      <c r="I32" s="28"/>
      <c r="J32" s="29"/>
      <c r="K32" s="26">
        <f t="shared" si="4"/>
        <v>800</v>
      </c>
      <c r="L32" s="27">
        <f t="shared" si="1"/>
        <v>0</v>
      </c>
      <c r="M32" s="28"/>
      <c r="N32" s="31">
        <f t="shared" si="2"/>
        <v>0</v>
      </c>
      <c r="O32" s="32">
        <f t="shared" si="3"/>
      </c>
    </row>
    <row r="33" spans="2:15" ht="15" hidden="1">
      <c r="B33" s="33"/>
      <c r="C33" s="22"/>
      <c r="D33" s="23"/>
      <c r="E33" s="24"/>
      <c r="F33" s="25"/>
      <c r="G33" s="26">
        <f t="shared" si="5"/>
        <v>800</v>
      </c>
      <c r="H33" s="27">
        <f t="shared" si="0"/>
        <v>0</v>
      </c>
      <c r="I33" s="28"/>
      <c r="J33" s="29"/>
      <c r="K33" s="26">
        <f t="shared" si="4"/>
        <v>800</v>
      </c>
      <c r="L33" s="27">
        <f t="shared" si="1"/>
        <v>0</v>
      </c>
      <c r="M33" s="28"/>
      <c r="N33" s="31">
        <f t="shared" si="2"/>
        <v>0</v>
      </c>
      <c r="O33" s="32">
        <f t="shared" si="3"/>
      </c>
    </row>
    <row r="34" spans="2:15" ht="15" hidden="1">
      <c r="B34" s="33"/>
      <c r="C34" s="22"/>
      <c r="D34" s="23"/>
      <c r="E34" s="24"/>
      <c r="F34" s="25"/>
      <c r="G34" s="26">
        <f t="shared" si="5"/>
        <v>800</v>
      </c>
      <c r="H34" s="27">
        <f t="shared" si="0"/>
        <v>0</v>
      </c>
      <c r="I34" s="28"/>
      <c r="J34" s="29"/>
      <c r="K34" s="26">
        <f t="shared" si="4"/>
        <v>800</v>
      </c>
      <c r="L34" s="27">
        <f t="shared" si="1"/>
        <v>0</v>
      </c>
      <c r="M34" s="28"/>
      <c r="N34" s="31">
        <f t="shared" si="2"/>
        <v>0</v>
      </c>
      <c r="O34" s="32">
        <f t="shared" si="3"/>
      </c>
    </row>
    <row r="35" spans="2:15" ht="15" hidden="1">
      <c r="B35" s="33"/>
      <c r="C35" s="22"/>
      <c r="D35" s="23"/>
      <c r="E35" s="24"/>
      <c r="F35" s="25"/>
      <c r="G35" s="26">
        <f t="shared" si="5"/>
        <v>800</v>
      </c>
      <c r="H35" s="27">
        <f t="shared" si="0"/>
        <v>0</v>
      </c>
      <c r="I35" s="28"/>
      <c r="J35" s="29"/>
      <c r="K35" s="26">
        <f t="shared" si="4"/>
        <v>800</v>
      </c>
      <c r="L35" s="27">
        <f t="shared" si="1"/>
        <v>0</v>
      </c>
      <c r="M35" s="28"/>
      <c r="N35" s="31">
        <f t="shared" si="2"/>
        <v>0</v>
      </c>
      <c r="O35" s="32">
        <f t="shared" si="3"/>
      </c>
    </row>
    <row r="36" spans="2:15" ht="15" hidden="1">
      <c r="B36" s="33"/>
      <c r="C36" s="22"/>
      <c r="D36" s="23"/>
      <c r="E36" s="24"/>
      <c r="F36" s="25"/>
      <c r="G36" s="26">
        <f t="shared" si="5"/>
        <v>800</v>
      </c>
      <c r="H36" s="27">
        <f t="shared" si="0"/>
        <v>0</v>
      </c>
      <c r="I36" s="28"/>
      <c r="J36" s="29"/>
      <c r="K36" s="26">
        <f t="shared" si="4"/>
        <v>800</v>
      </c>
      <c r="L36" s="27">
        <f t="shared" si="1"/>
        <v>0</v>
      </c>
      <c r="M36" s="28"/>
      <c r="N36" s="31">
        <f t="shared" si="2"/>
        <v>0</v>
      </c>
      <c r="O36" s="32">
        <f t="shared" si="3"/>
      </c>
    </row>
    <row r="37" spans="2:15" s="34" customFormat="1" ht="15">
      <c r="B37" s="35" t="s">
        <v>22</v>
      </c>
      <c r="C37" s="36"/>
      <c r="D37" s="37"/>
      <c r="E37" s="36"/>
      <c r="F37" s="38"/>
      <c r="G37" s="39"/>
      <c r="H37" s="40">
        <f>SUM(H21:H36)</f>
        <v>25.28</v>
      </c>
      <c r="I37" s="41"/>
      <c r="J37" s="42"/>
      <c r="K37" s="43"/>
      <c r="L37" s="40">
        <f>SUM(L21:L36)</f>
        <v>27.43355793970896</v>
      </c>
      <c r="M37" s="41"/>
      <c r="N37" s="44">
        <f t="shared" si="2"/>
        <v>2.1535579397089606</v>
      </c>
      <c r="O37" s="45">
        <f t="shared" si="3"/>
        <v>0.08518820964038609</v>
      </c>
    </row>
    <row r="38" spans="2:15" ht="15" customHeight="1" hidden="1">
      <c r="B38" s="176"/>
      <c r="C38" s="22"/>
      <c r="D38" s="56" t="s">
        <v>60</v>
      </c>
      <c r="E38" s="24"/>
      <c r="F38" s="25"/>
      <c r="G38" s="26">
        <v>1</v>
      </c>
      <c r="H38" s="27">
        <f>G38*F38</f>
        <v>0</v>
      </c>
      <c r="I38" s="28"/>
      <c r="J38" s="174"/>
      <c r="K38" s="30">
        <v>1</v>
      </c>
      <c r="L38" s="27">
        <f>K38*J38</f>
        <v>0</v>
      </c>
      <c r="M38" s="28"/>
      <c r="N38" s="31">
        <f>L38-H38</f>
        <v>0</v>
      </c>
      <c r="O38" s="32">
        <f>IF((H38)=0,"",(N38/H38))</f>
      </c>
    </row>
    <row r="39" spans="2:15" ht="25.5">
      <c r="B39" s="46" t="s">
        <v>23</v>
      </c>
      <c r="C39" s="22"/>
      <c r="D39" s="56" t="s">
        <v>61</v>
      </c>
      <c r="E39" s="57"/>
      <c r="F39" s="29">
        <v>0.0003</v>
      </c>
      <c r="G39" s="26">
        <f>$F$16</f>
        <v>800</v>
      </c>
      <c r="H39" s="27">
        <f aca="true" t="shared" si="6" ref="H39:H45">G39*F39</f>
        <v>0.24</v>
      </c>
      <c r="I39" s="28"/>
      <c r="J39" s="29">
        <f>'[4]6. Rate Rider Calculations'!$F$20</f>
        <v>-0.0007408030378165835</v>
      </c>
      <c r="K39" s="26">
        <f>$F$16</f>
        <v>800</v>
      </c>
      <c r="L39" s="27">
        <f aca="true" t="shared" si="7" ref="L39:L45">K39*J39</f>
        <v>-0.5926424302532668</v>
      </c>
      <c r="M39" s="28"/>
      <c r="N39" s="31">
        <f t="shared" si="2"/>
        <v>-0.8326424302532668</v>
      </c>
      <c r="O39" s="32">
        <f t="shared" si="3"/>
        <v>-3.469343459388612</v>
      </c>
    </row>
    <row r="40" spans="2:15" ht="15" hidden="1">
      <c r="B40" s="46"/>
      <c r="C40" s="22"/>
      <c r="D40" s="23" t="s">
        <v>61</v>
      </c>
      <c r="E40" s="24"/>
      <c r="F40" s="25"/>
      <c r="G40" s="26">
        <f>$F$16</f>
        <v>800</v>
      </c>
      <c r="H40" s="27">
        <f t="shared" si="6"/>
        <v>0</v>
      </c>
      <c r="I40" s="47"/>
      <c r="J40" s="29"/>
      <c r="K40" s="26">
        <f>$F$16</f>
        <v>800</v>
      </c>
      <c r="L40" s="27">
        <f t="shared" si="7"/>
        <v>0</v>
      </c>
      <c r="M40" s="48"/>
      <c r="N40" s="31">
        <f t="shared" si="2"/>
        <v>0</v>
      </c>
      <c r="O40" s="32">
        <f t="shared" si="3"/>
      </c>
    </row>
    <row r="41" spans="2:15" ht="15" hidden="1">
      <c r="B41" s="46"/>
      <c r="C41" s="22"/>
      <c r="D41" s="23" t="s">
        <v>61</v>
      </c>
      <c r="E41" s="24"/>
      <c r="F41" s="25"/>
      <c r="G41" s="26">
        <f>$F$16</f>
        <v>800</v>
      </c>
      <c r="H41" s="27">
        <f t="shared" si="6"/>
        <v>0</v>
      </c>
      <c r="I41" s="47"/>
      <c r="J41" s="29"/>
      <c r="K41" s="26">
        <f>$F$16</f>
        <v>800</v>
      </c>
      <c r="L41" s="27">
        <f t="shared" si="7"/>
        <v>0</v>
      </c>
      <c r="M41" s="48"/>
      <c r="N41" s="31">
        <f t="shared" si="2"/>
        <v>0</v>
      </c>
      <c r="O41" s="32">
        <f t="shared" si="3"/>
      </c>
    </row>
    <row r="42" spans="2:15" ht="15" hidden="1">
      <c r="B42" s="46"/>
      <c r="C42" s="22"/>
      <c r="D42" s="23"/>
      <c r="E42" s="24"/>
      <c r="F42" s="25"/>
      <c r="G42" s="26">
        <f>$F$16</f>
        <v>800</v>
      </c>
      <c r="H42" s="27">
        <f t="shared" si="6"/>
        <v>0</v>
      </c>
      <c r="I42" s="47"/>
      <c r="J42" s="29"/>
      <c r="K42" s="26">
        <f>$F$16</f>
        <v>800</v>
      </c>
      <c r="L42" s="27">
        <f t="shared" si="7"/>
        <v>0</v>
      </c>
      <c r="M42" s="48"/>
      <c r="N42" s="31">
        <f t="shared" si="2"/>
        <v>0</v>
      </c>
      <c r="O42" s="32">
        <f t="shared" si="3"/>
      </c>
    </row>
    <row r="43" spans="2:15" ht="15">
      <c r="B43" s="49" t="s">
        <v>24</v>
      </c>
      <c r="C43" s="22"/>
      <c r="D43" s="23" t="s">
        <v>61</v>
      </c>
      <c r="E43" s="24"/>
      <c r="F43" s="25">
        <f>0.0001</f>
        <v>0.0001</v>
      </c>
      <c r="G43" s="26">
        <f>$F$16</f>
        <v>800</v>
      </c>
      <c r="H43" s="27">
        <f t="shared" si="6"/>
        <v>0.08</v>
      </c>
      <c r="I43" s="28"/>
      <c r="J43" s="29">
        <f>'[3]Rate Schedule '!$E$12</f>
        <v>0.0001</v>
      </c>
      <c r="K43" s="26">
        <f>$F$16</f>
        <v>800</v>
      </c>
      <c r="L43" s="27">
        <f t="shared" si="7"/>
        <v>0.08</v>
      </c>
      <c r="M43" s="28"/>
      <c r="N43" s="31">
        <f t="shared" si="2"/>
        <v>0</v>
      </c>
      <c r="O43" s="32">
        <f t="shared" si="3"/>
        <v>0</v>
      </c>
    </row>
    <row r="44" spans="2:15" s="34" customFormat="1" ht="15">
      <c r="B44" s="182" t="s">
        <v>25</v>
      </c>
      <c r="C44" s="24"/>
      <c r="D44" s="183" t="s">
        <v>61</v>
      </c>
      <c r="E44" s="24"/>
      <c r="F44" s="184">
        <f>IF(ISBLANK(D14)=TRUE,0,IF(D14="TOU",0.64*$F$54+0.18*$F$55+0.18*$F$56,IF(AND(D14="non-TOU",G58&gt;0),F58,F57)))</f>
        <v>0.08892</v>
      </c>
      <c r="G44" s="26">
        <f>$F$16*(1+$F$73)-$F$16</f>
        <v>22.879999999999995</v>
      </c>
      <c r="H44" s="185">
        <f t="shared" si="6"/>
        <v>2.0344895999999997</v>
      </c>
      <c r="I44" s="57"/>
      <c r="J44" s="186">
        <f>0.64*$F$54+0.18*$F$55+0.18*$F$56</f>
        <v>0.08892</v>
      </c>
      <c r="K44" s="26">
        <f>$F$16*(1+$J$73)-$F$16</f>
        <v>26.800000000000068</v>
      </c>
      <c r="L44" s="185">
        <f t="shared" si="7"/>
        <v>2.383056000000006</v>
      </c>
      <c r="M44" s="57"/>
      <c r="N44" s="187">
        <f t="shared" si="2"/>
        <v>0.3485664000000064</v>
      </c>
      <c r="O44" s="188">
        <f t="shared" si="3"/>
        <v>0.1713286713286745</v>
      </c>
    </row>
    <row r="45" spans="2:15" ht="15">
      <c r="B45" s="49" t="s">
        <v>26</v>
      </c>
      <c r="C45" s="22"/>
      <c r="D45" s="23" t="s">
        <v>60</v>
      </c>
      <c r="E45" s="24"/>
      <c r="F45" s="179">
        <v>0.79</v>
      </c>
      <c r="G45" s="26">
        <v>1</v>
      </c>
      <c r="H45" s="27">
        <f t="shared" si="6"/>
        <v>0.79</v>
      </c>
      <c r="I45" s="28"/>
      <c r="J45" s="179">
        <v>0.79</v>
      </c>
      <c r="K45" s="26">
        <v>1</v>
      </c>
      <c r="L45" s="27">
        <f t="shared" si="7"/>
        <v>0.79</v>
      </c>
      <c r="M45" s="28"/>
      <c r="N45" s="31">
        <f t="shared" si="2"/>
        <v>0</v>
      </c>
      <c r="O45" s="32"/>
    </row>
    <row r="46" spans="2:15" ht="25.5">
      <c r="B46" s="50" t="s">
        <v>27</v>
      </c>
      <c r="C46" s="51"/>
      <c r="D46" s="51"/>
      <c r="E46" s="51"/>
      <c r="F46" s="52"/>
      <c r="G46" s="53"/>
      <c r="H46" s="54">
        <f>SUM(H38:H45)+H37</f>
        <v>28.4244896</v>
      </c>
      <c r="I46" s="41"/>
      <c r="J46" s="53"/>
      <c r="K46" s="55"/>
      <c r="L46" s="54">
        <f>SUM(L38:L45)+L37</f>
        <v>30.093971509455702</v>
      </c>
      <c r="M46" s="41"/>
      <c r="N46" s="44">
        <f t="shared" si="2"/>
        <v>1.6694819094557012</v>
      </c>
      <c r="O46" s="45">
        <f aca="true" t="shared" si="8" ref="O46:O64">IF((H46)=0,"",(N46/H46))</f>
        <v>0.058733927431917764</v>
      </c>
    </row>
    <row r="47" spans="2:15" ht="15">
      <c r="B47" s="28" t="s">
        <v>28</v>
      </c>
      <c r="C47" s="28"/>
      <c r="D47" s="56" t="s">
        <v>61</v>
      </c>
      <c r="E47" s="57"/>
      <c r="F47" s="29">
        <v>0.0062</v>
      </c>
      <c r="G47" s="58">
        <f>F16*(1+F73)</f>
        <v>822.88</v>
      </c>
      <c r="H47" s="27">
        <f>G47*F47</f>
        <v>5.101856</v>
      </c>
      <c r="I47" s="28"/>
      <c r="J47" s="29">
        <f>'[5]13. Final 2014 RTS Rates'!$F$26</f>
        <v>0.006672891733385364</v>
      </c>
      <c r="K47" s="59">
        <f>F16*(1+J73)</f>
        <v>826.8000000000001</v>
      </c>
      <c r="L47" s="27">
        <f>K47*J47</f>
        <v>5.51714688516302</v>
      </c>
      <c r="M47" s="28"/>
      <c r="N47" s="31">
        <f t="shared" si="2"/>
        <v>0.41529088516301993</v>
      </c>
      <c r="O47" s="32">
        <f t="shared" si="8"/>
        <v>0.0813999621241799</v>
      </c>
    </row>
    <row r="48" spans="2:15" ht="30">
      <c r="B48" s="60" t="s">
        <v>29</v>
      </c>
      <c r="C48" s="28"/>
      <c r="D48" s="56" t="s">
        <v>61</v>
      </c>
      <c r="E48" s="57"/>
      <c r="F48" s="29">
        <v>0.0036</v>
      </c>
      <c r="G48" s="58">
        <f>G47</f>
        <v>822.88</v>
      </c>
      <c r="H48" s="27">
        <f>G48*F48</f>
        <v>2.962368</v>
      </c>
      <c r="I48" s="28"/>
      <c r="J48" s="29">
        <f>'[5]13. Final 2014 RTS Rates'!$H$26</f>
        <v>0.004150792266205902</v>
      </c>
      <c r="K48" s="59">
        <f>K47</f>
        <v>826.8000000000001</v>
      </c>
      <c r="L48" s="27">
        <f>K48*J48</f>
        <v>3.4318750456990403</v>
      </c>
      <c r="M48" s="28"/>
      <c r="N48" s="31">
        <f t="shared" si="2"/>
        <v>0.4695070456990402</v>
      </c>
      <c r="O48" s="32">
        <f t="shared" si="8"/>
        <v>0.15849045280634957</v>
      </c>
    </row>
    <row r="49" spans="2:15" ht="25.5">
      <c r="B49" s="50" t="s">
        <v>30</v>
      </c>
      <c r="C49" s="36"/>
      <c r="D49" s="36"/>
      <c r="E49" s="36"/>
      <c r="F49" s="61"/>
      <c r="G49" s="53"/>
      <c r="H49" s="54">
        <f>SUM(H46:H48)</f>
        <v>36.4887136</v>
      </c>
      <c r="I49" s="62"/>
      <c r="J49" s="63"/>
      <c r="K49" s="64"/>
      <c r="L49" s="54">
        <f>SUM(L46:L48)</f>
        <v>39.04299344031776</v>
      </c>
      <c r="M49" s="62"/>
      <c r="N49" s="44">
        <f t="shared" si="2"/>
        <v>2.5542798403177613</v>
      </c>
      <c r="O49" s="45">
        <f t="shared" si="8"/>
        <v>0.07000191534068664</v>
      </c>
    </row>
    <row r="50" spans="2:15" ht="30">
      <c r="B50" s="65" t="s">
        <v>31</v>
      </c>
      <c r="C50" s="22"/>
      <c r="D50" s="23" t="s">
        <v>61</v>
      </c>
      <c r="E50" s="24"/>
      <c r="F50" s="66">
        <v>0.0044</v>
      </c>
      <c r="G50" s="58">
        <f>G48</f>
        <v>822.88</v>
      </c>
      <c r="H50" s="67">
        <f aca="true" t="shared" si="9" ref="H50:H56">G50*F50</f>
        <v>3.6206720000000003</v>
      </c>
      <c r="I50" s="28"/>
      <c r="J50" s="68">
        <v>0.0044</v>
      </c>
      <c r="K50" s="59">
        <f>K48</f>
        <v>826.8000000000001</v>
      </c>
      <c r="L50" s="67">
        <f aca="true" t="shared" si="10" ref="L50:L56">K50*J50</f>
        <v>3.6379200000000007</v>
      </c>
      <c r="M50" s="28"/>
      <c r="N50" s="31">
        <f t="shared" si="2"/>
        <v>0.017248000000000374</v>
      </c>
      <c r="O50" s="69">
        <f t="shared" si="8"/>
        <v>0.0047637565623178165</v>
      </c>
    </row>
    <row r="51" spans="2:15" ht="15">
      <c r="B51" s="65" t="s">
        <v>32</v>
      </c>
      <c r="C51" s="22"/>
      <c r="D51" s="23" t="s">
        <v>61</v>
      </c>
      <c r="E51" s="24"/>
      <c r="F51" s="66">
        <v>0.0012</v>
      </c>
      <c r="G51" s="58">
        <f>G48</f>
        <v>822.88</v>
      </c>
      <c r="H51" s="67">
        <f t="shared" si="9"/>
        <v>0.9874559999999999</v>
      </c>
      <c r="I51" s="28"/>
      <c r="J51" s="68">
        <v>0.0012</v>
      </c>
      <c r="K51" s="59">
        <f>K48</f>
        <v>826.8000000000001</v>
      </c>
      <c r="L51" s="67">
        <f t="shared" si="10"/>
        <v>0.99216</v>
      </c>
      <c r="M51" s="28"/>
      <c r="N51" s="31">
        <f t="shared" si="2"/>
        <v>0.0047040000000001525</v>
      </c>
      <c r="O51" s="69">
        <f t="shared" si="8"/>
        <v>0.0047637565623178686</v>
      </c>
    </row>
    <row r="52" spans="2:15" ht="15">
      <c r="B52" s="22" t="s">
        <v>33</v>
      </c>
      <c r="C52" s="22"/>
      <c r="D52" s="23" t="s">
        <v>60</v>
      </c>
      <c r="E52" s="24"/>
      <c r="F52" s="177">
        <v>0.25</v>
      </c>
      <c r="G52" s="26">
        <v>1</v>
      </c>
      <c r="H52" s="67">
        <f t="shared" si="9"/>
        <v>0.25</v>
      </c>
      <c r="I52" s="28"/>
      <c r="J52" s="178">
        <v>0.25</v>
      </c>
      <c r="K52" s="30">
        <v>1</v>
      </c>
      <c r="L52" s="67">
        <f t="shared" si="10"/>
        <v>0.25</v>
      </c>
      <c r="M52" s="28"/>
      <c r="N52" s="31">
        <f t="shared" si="2"/>
        <v>0</v>
      </c>
      <c r="O52" s="69">
        <f t="shared" si="8"/>
        <v>0</v>
      </c>
    </row>
    <row r="53" spans="2:15" ht="15">
      <c r="B53" s="22" t="s">
        <v>34</v>
      </c>
      <c r="C53" s="22"/>
      <c r="D53" s="23" t="s">
        <v>61</v>
      </c>
      <c r="E53" s="24"/>
      <c r="F53" s="66">
        <v>0.007</v>
      </c>
      <c r="G53" s="70">
        <f>F16</f>
        <v>800</v>
      </c>
      <c r="H53" s="67">
        <f t="shared" si="9"/>
        <v>5.6000000000000005</v>
      </c>
      <c r="I53" s="28"/>
      <c r="J53" s="68">
        <f>0.007</f>
        <v>0.007</v>
      </c>
      <c r="K53" s="71">
        <f>F16</f>
        <v>800</v>
      </c>
      <c r="L53" s="67">
        <f t="shared" si="10"/>
        <v>5.6000000000000005</v>
      </c>
      <c r="M53" s="28"/>
      <c r="N53" s="31">
        <f t="shared" si="2"/>
        <v>0</v>
      </c>
      <c r="O53" s="69">
        <f t="shared" si="8"/>
        <v>0</v>
      </c>
    </row>
    <row r="54" spans="2:19" ht="15">
      <c r="B54" s="49" t="s">
        <v>35</v>
      </c>
      <c r="C54" s="22"/>
      <c r="D54" s="23" t="s">
        <v>61</v>
      </c>
      <c r="E54" s="24"/>
      <c r="F54" s="72">
        <v>0.072</v>
      </c>
      <c r="G54" s="70">
        <f>0.64*$F$16</f>
        <v>512</v>
      </c>
      <c r="H54" s="67">
        <f t="shared" si="9"/>
        <v>36.864</v>
      </c>
      <c r="I54" s="28"/>
      <c r="J54" s="66">
        <v>0.072</v>
      </c>
      <c r="K54" s="70">
        <f>G54</f>
        <v>512</v>
      </c>
      <c r="L54" s="67">
        <f t="shared" si="10"/>
        <v>36.864</v>
      </c>
      <c r="M54" s="28"/>
      <c r="N54" s="31">
        <f t="shared" si="2"/>
        <v>0</v>
      </c>
      <c r="O54" s="69">
        <f t="shared" si="8"/>
        <v>0</v>
      </c>
      <c r="S54" s="73"/>
    </row>
    <row r="55" spans="2:19" ht="15">
      <c r="B55" s="49" t="s">
        <v>36</v>
      </c>
      <c r="C55" s="22"/>
      <c r="D55" s="23" t="s">
        <v>61</v>
      </c>
      <c r="E55" s="24"/>
      <c r="F55" s="72">
        <v>0.109</v>
      </c>
      <c r="G55" s="70">
        <f>0.18*$F$16</f>
        <v>144</v>
      </c>
      <c r="H55" s="67">
        <f t="shared" si="9"/>
        <v>15.696</v>
      </c>
      <c r="I55" s="28"/>
      <c r="J55" s="66">
        <v>0.109</v>
      </c>
      <c r="K55" s="70">
        <f>G55</f>
        <v>144</v>
      </c>
      <c r="L55" s="67">
        <f t="shared" si="10"/>
        <v>15.696</v>
      </c>
      <c r="M55" s="28"/>
      <c r="N55" s="31">
        <f t="shared" si="2"/>
        <v>0</v>
      </c>
      <c r="O55" s="69">
        <f t="shared" si="8"/>
        <v>0</v>
      </c>
      <c r="S55" s="73"/>
    </row>
    <row r="56" spans="2:19" ht="15">
      <c r="B56" s="12" t="s">
        <v>37</v>
      </c>
      <c r="C56" s="22"/>
      <c r="D56" s="23" t="s">
        <v>61</v>
      </c>
      <c r="E56" s="24"/>
      <c r="F56" s="72">
        <v>0.129</v>
      </c>
      <c r="G56" s="70">
        <f>0.18*$F$16</f>
        <v>144</v>
      </c>
      <c r="H56" s="67">
        <f t="shared" si="9"/>
        <v>18.576</v>
      </c>
      <c r="I56" s="28"/>
      <c r="J56" s="66">
        <v>0.129</v>
      </c>
      <c r="K56" s="70">
        <f>G56</f>
        <v>144</v>
      </c>
      <c r="L56" s="67">
        <f t="shared" si="10"/>
        <v>18.576</v>
      </c>
      <c r="M56" s="28"/>
      <c r="N56" s="31">
        <f t="shared" si="2"/>
        <v>0</v>
      </c>
      <c r="O56" s="69">
        <f t="shared" si="8"/>
        <v>0</v>
      </c>
      <c r="S56" s="73"/>
    </row>
    <row r="57" spans="2:15" s="74" customFormat="1" ht="15">
      <c r="B57" s="75" t="s">
        <v>38</v>
      </c>
      <c r="C57" s="76"/>
      <c r="D57" s="77" t="s">
        <v>61</v>
      </c>
      <c r="E57" s="78"/>
      <c r="F57" s="72">
        <v>0.083</v>
      </c>
      <c r="G57" s="79">
        <f>IF(AND($T$1=1,F16&gt;=600),600,IF(AND($T$1=1,AND(F16&lt;600,F16&gt;=0)),F16,IF(AND($T$1=2,F16&gt;=1000),1000,IF(AND($T$1=2,AND(F16&lt;1000,F16&gt;=0)),F16))))</f>
        <v>600</v>
      </c>
      <c r="H57" s="67">
        <f>G57*F57</f>
        <v>49.800000000000004</v>
      </c>
      <c r="I57" s="80"/>
      <c r="J57" s="66">
        <v>0.083</v>
      </c>
      <c r="K57" s="79">
        <f>G57</f>
        <v>600</v>
      </c>
      <c r="L57" s="67">
        <f>K57*J57</f>
        <v>49.800000000000004</v>
      </c>
      <c r="M57" s="80"/>
      <c r="N57" s="81">
        <f t="shared" si="2"/>
        <v>0</v>
      </c>
      <c r="O57" s="69">
        <f t="shared" si="8"/>
        <v>0</v>
      </c>
    </row>
    <row r="58" spans="2:15" s="74" customFormat="1" ht="15.75" thickBot="1">
      <c r="B58" s="75" t="s">
        <v>39</v>
      </c>
      <c r="C58" s="76"/>
      <c r="D58" s="77" t="s">
        <v>61</v>
      </c>
      <c r="E58" s="78"/>
      <c r="F58" s="72">
        <v>0.097</v>
      </c>
      <c r="G58" s="79">
        <f>IF(AND($T$1=1,F16&gt;=600),F16-600,IF(AND($T$1=1,AND(F16&lt;600,F16&gt;=0)),0,IF(AND($T$1=2,F16&gt;=1000),F16-1000,IF(AND($T$1=2,AND(F16&lt;1000,F16&gt;=0)),0))))</f>
        <v>200</v>
      </c>
      <c r="H58" s="67">
        <f>G58*F58</f>
        <v>19.400000000000002</v>
      </c>
      <c r="I58" s="80"/>
      <c r="J58" s="66">
        <v>0.097</v>
      </c>
      <c r="K58" s="79">
        <f>G58</f>
        <v>200</v>
      </c>
      <c r="L58" s="67">
        <f>K58*J58</f>
        <v>19.400000000000002</v>
      </c>
      <c r="M58" s="80"/>
      <c r="N58" s="81">
        <f t="shared" si="2"/>
        <v>0</v>
      </c>
      <c r="O58" s="69">
        <f t="shared" si="8"/>
        <v>0</v>
      </c>
    </row>
    <row r="59" spans="2:15" ht="8.25" customHeight="1" thickBot="1">
      <c r="B59" s="82"/>
      <c r="C59" s="83"/>
      <c r="D59" s="84"/>
      <c r="E59" s="83"/>
      <c r="F59" s="85"/>
      <c r="G59" s="86"/>
      <c r="H59" s="87"/>
      <c r="I59" s="88"/>
      <c r="J59" s="85"/>
      <c r="K59" s="89"/>
      <c r="L59" s="87"/>
      <c r="M59" s="88"/>
      <c r="N59" s="90"/>
      <c r="O59" s="91"/>
    </row>
    <row r="60" spans="2:19" ht="15">
      <c r="B60" s="92" t="s">
        <v>40</v>
      </c>
      <c r="C60" s="22"/>
      <c r="D60" s="22"/>
      <c r="E60" s="22"/>
      <c r="F60" s="93"/>
      <c r="G60" s="94"/>
      <c r="H60" s="95">
        <f>SUM(H50:H56,H49)</f>
        <v>118.0828416</v>
      </c>
      <c r="I60" s="96"/>
      <c r="J60" s="97"/>
      <c r="K60" s="97"/>
      <c r="L60" s="191">
        <f>SUM(L50:L56,L49)</f>
        <v>120.65907344031775</v>
      </c>
      <c r="M60" s="98"/>
      <c r="N60" s="99">
        <f>L60-H60</f>
        <v>2.57623184031776</v>
      </c>
      <c r="O60" s="100">
        <f>IF((H60)=0,"",(N60/H60))</f>
        <v>0.021817156543747676</v>
      </c>
      <c r="S60" s="73"/>
    </row>
    <row r="61" spans="2:19" ht="15">
      <c r="B61" s="101" t="s">
        <v>41</v>
      </c>
      <c r="C61" s="22"/>
      <c r="D61" s="22"/>
      <c r="E61" s="22"/>
      <c r="F61" s="102">
        <v>0.13</v>
      </c>
      <c r="G61" s="103"/>
      <c r="H61" s="104">
        <f>H60*F61</f>
        <v>15.350769408</v>
      </c>
      <c r="I61" s="105"/>
      <c r="J61" s="106">
        <v>0.13</v>
      </c>
      <c r="K61" s="105"/>
      <c r="L61" s="107">
        <f>L60*J61</f>
        <v>15.685679547241309</v>
      </c>
      <c r="M61" s="108"/>
      <c r="N61" s="109">
        <f t="shared" si="2"/>
        <v>0.33491013924130897</v>
      </c>
      <c r="O61" s="110">
        <f t="shared" si="8"/>
        <v>0.021817156543747687</v>
      </c>
      <c r="S61" s="73"/>
    </row>
    <row r="62" spans="2:19" ht="15">
      <c r="B62" s="111" t="s">
        <v>42</v>
      </c>
      <c r="C62" s="22"/>
      <c r="D62" s="22"/>
      <c r="E62" s="22"/>
      <c r="F62" s="112"/>
      <c r="G62" s="103"/>
      <c r="H62" s="104">
        <f>H60+H61</f>
        <v>133.43361100799999</v>
      </c>
      <c r="I62" s="105"/>
      <c r="J62" s="105"/>
      <c r="K62" s="105"/>
      <c r="L62" s="107">
        <f>L60+L61</f>
        <v>136.34475298755908</v>
      </c>
      <c r="M62" s="108"/>
      <c r="N62" s="109">
        <f t="shared" si="2"/>
        <v>2.9111419795590905</v>
      </c>
      <c r="O62" s="110">
        <f t="shared" si="8"/>
        <v>0.02181715654374784</v>
      </c>
      <c r="S62" s="73"/>
    </row>
    <row r="63" spans="2:15" ht="15.75" customHeight="1">
      <c r="B63" s="251" t="s">
        <v>43</v>
      </c>
      <c r="C63" s="251"/>
      <c r="D63" s="251"/>
      <c r="E63" s="22"/>
      <c r="F63" s="112"/>
      <c r="G63" s="103"/>
      <c r="H63" s="113">
        <f>ROUND(-H62*10%,2)</f>
        <v>-13.34</v>
      </c>
      <c r="I63" s="105"/>
      <c r="J63" s="105"/>
      <c r="K63" s="105"/>
      <c r="L63" s="114">
        <f>ROUND(-L62*10%,2)</f>
        <v>-13.63</v>
      </c>
      <c r="M63" s="108"/>
      <c r="N63" s="115">
        <f t="shared" si="2"/>
        <v>-0.2900000000000009</v>
      </c>
      <c r="O63" s="116">
        <f t="shared" si="8"/>
        <v>0.021739130434782677</v>
      </c>
    </row>
    <row r="64" spans="2:15" ht="15.75" thickBot="1">
      <c r="B64" s="233" t="s">
        <v>44</v>
      </c>
      <c r="C64" s="233"/>
      <c r="D64" s="233"/>
      <c r="E64" s="117"/>
      <c r="F64" s="118"/>
      <c r="G64" s="119"/>
      <c r="H64" s="120">
        <f>H62+H63</f>
        <v>120.09361100799998</v>
      </c>
      <c r="I64" s="121"/>
      <c r="J64" s="121"/>
      <c r="K64" s="121"/>
      <c r="L64" s="122">
        <f>L62+L63</f>
        <v>122.71475298755908</v>
      </c>
      <c r="M64" s="123"/>
      <c r="N64" s="124">
        <f t="shared" si="2"/>
        <v>2.6211419795590984</v>
      </c>
      <c r="O64" s="125">
        <f t="shared" si="8"/>
        <v>0.021825823685029274</v>
      </c>
    </row>
    <row r="65" spans="2:15" s="74" customFormat="1" ht="8.25" customHeight="1" thickBot="1">
      <c r="B65" s="126"/>
      <c r="C65" s="127"/>
      <c r="D65" s="128"/>
      <c r="E65" s="127"/>
      <c r="F65" s="85"/>
      <c r="G65" s="129"/>
      <c r="H65" s="87"/>
      <c r="I65" s="130"/>
      <c r="J65" s="85"/>
      <c r="K65" s="131"/>
      <c r="L65" s="87"/>
      <c r="M65" s="130"/>
      <c r="N65" s="132"/>
      <c r="O65" s="91"/>
    </row>
    <row r="66" spans="2:15" s="74" customFormat="1" ht="12.75">
      <c r="B66" s="133" t="s">
        <v>45</v>
      </c>
      <c r="C66" s="76"/>
      <c r="D66" s="76"/>
      <c r="E66" s="76"/>
      <c r="F66" s="134"/>
      <c r="G66" s="135"/>
      <c r="H66" s="136">
        <f>SUM(H57:H58,H49,H50:H53)</f>
        <v>116.14684159999999</v>
      </c>
      <c r="I66" s="137"/>
      <c r="J66" s="138"/>
      <c r="K66" s="138"/>
      <c r="L66" s="190">
        <f>SUM(L57:L58,L49,L50:L53)</f>
        <v>118.72307344031775</v>
      </c>
      <c r="M66" s="139"/>
      <c r="N66" s="140">
        <f>L66-H66</f>
        <v>2.57623184031776</v>
      </c>
      <c r="O66" s="100">
        <f>IF((H66)=0,"",(N66/H66))</f>
        <v>0.022180817014293745</v>
      </c>
    </row>
    <row r="67" spans="2:15" s="74" customFormat="1" ht="12.75">
      <c r="B67" s="141" t="s">
        <v>41</v>
      </c>
      <c r="C67" s="76"/>
      <c r="D67" s="76"/>
      <c r="E67" s="76"/>
      <c r="F67" s="142">
        <v>0.13</v>
      </c>
      <c r="G67" s="135"/>
      <c r="H67" s="143">
        <f>H66*F67</f>
        <v>15.099089408</v>
      </c>
      <c r="I67" s="144"/>
      <c r="J67" s="145">
        <v>0.13</v>
      </c>
      <c r="K67" s="146"/>
      <c r="L67" s="147">
        <f>L66*J67</f>
        <v>15.433999547241308</v>
      </c>
      <c r="M67" s="148"/>
      <c r="N67" s="149">
        <f>L67-H67</f>
        <v>0.33491013924130897</v>
      </c>
      <c r="O67" s="110">
        <f>IF((H67)=0,"",(N67/H67))</f>
        <v>0.022180817014293752</v>
      </c>
    </row>
    <row r="68" spans="2:15" s="74" customFormat="1" ht="12.75">
      <c r="B68" s="150" t="s">
        <v>42</v>
      </c>
      <c r="C68" s="76"/>
      <c r="D68" s="76"/>
      <c r="E68" s="76"/>
      <c r="F68" s="151"/>
      <c r="G68" s="152"/>
      <c r="H68" s="143">
        <f>H66+H67</f>
        <v>131.24593100799999</v>
      </c>
      <c r="I68" s="144"/>
      <c r="J68" s="144"/>
      <c r="K68" s="144"/>
      <c r="L68" s="147">
        <f>L66+L67</f>
        <v>134.15707298755905</v>
      </c>
      <c r="M68" s="148"/>
      <c r="N68" s="149">
        <f>L68-H68</f>
        <v>2.911141979559062</v>
      </c>
      <c r="O68" s="110">
        <f>IF((H68)=0,"",(N68/H68))</f>
        <v>0.022180817014293693</v>
      </c>
    </row>
    <row r="69" spans="2:15" s="74" customFormat="1" ht="15.75" customHeight="1">
      <c r="B69" s="239" t="s">
        <v>43</v>
      </c>
      <c r="C69" s="239"/>
      <c r="D69" s="239"/>
      <c r="E69" s="76"/>
      <c r="F69" s="151"/>
      <c r="G69" s="152"/>
      <c r="H69" s="153">
        <f>ROUND(-H68*10%,2)</f>
        <v>-13.12</v>
      </c>
      <c r="I69" s="144"/>
      <c r="J69" s="144"/>
      <c r="K69" s="144"/>
      <c r="L69" s="154">
        <f>ROUND(-L68*10%,2)</f>
        <v>-13.42</v>
      </c>
      <c r="M69" s="148"/>
      <c r="N69" s="155">
        <f>L69-H69</f>
        <v>-0.3000000000000007</v>
      </c>
      <c r="O69" s="116">
        <f>IF((H69)=0,"",(N69/H69))</f>
        <v>0.02286585365853664</v>
      </c>
    </row>
    <row r="70" spans="2:15" s="74" customFormat="1" ht="13.5" thickBot="1">
      <c r="B70" s="244" t="s">
        <v>46</v>
      </c>
      <c r="C70" s="244"/>
      <c r="D70" s="244"/>
      <c r="E70" s="156"/>
      <c r="F70" s="157"/>
      <c r="G70" s="158"/>
      <c r="H70" s="159">
        <f>SUM(H68:H69)</f>
        <v>118.12593100799998</v>
      </c>
      <c r="I70" s="160"/>
      <c r="J70" s="160"/>
      <c r="K70" s="160"/>
      <c r="L70" s="161">
        <f>SUM(L68:L69)</f>
        <v>120.73707298755905</v>
      </c>
      <c r="M70" s="162"/>
      <c r="N70" s="163">
        <f>L70-H70</f>
        <v>2.611141979559065</v>
      </c>
      <c r="O70" s="164">
        <f>IF((H70)=0,"",(N70/H70))</f>
        <v>0.022104731427532432</v>
      </c>
    </row>
    <row r="71" spans="2:15" s="74" customFormat="1" ht="8.25" customHeight="1" thickBot="1">
      <c r="B71" s="126"/>
      <c r="C71" s="127"/>
      <c r="D71" s="128"/>
      <c r="E71" s="127"/>
      <c r="F71" s="165"/>
      <c r="G71" s="166"/>
      <c r="H71" s="167"/>
      <c r="I71" s="168"/>
      <c r="J71" s="165"/>
      <c r="K71" s="129"/>
      <c r="L71" s="169"/>
      <c r="M71" s="130"/>
      <c r="N71" s="170"/>
      <c r="O71" s="91"/>
    </row>
    <row r="72" ht="10.5" customHeight="1">
      <c r="L72" s="73"/>
    </row>
    <row r="73" spans="2:10" ht="15">
      <c r="B73" s="13" t="s">
        <v>47</v>
      </c>
      <c r="F73" s="171">
        <v>0.0286</v>
      </c>
      <c r="J73" s="171">
        <v>0.0335</v>
      </c>
    </row>
    <row r="74" ht="10.5" customHeight="1"/>
    <row r="75" ht="15">
      <c r="A75" s="172" t="s">
        <v>48</v>
      </c>
    </row>
    <row r="76" ht="10.5" customHeight="1"/>
    <row r="77" ht="15">
      <c r="A77" s="7" t="s">
        <v>49</v>
      </c>
    </row>
    <row r="78" ht="15">
      <c r="A78" s="7" t="s">
        <v>50</v>
      </c>
    </row>
    <row r="80" ht="15">
      <c r="A80" s="12" t="s">
        <v>51</v>
      </c>
    </row>
    <row r="81" ht="15">
      <c r="A81" s="12" t="s">
        <v>52</v>
      </c>
    </row>
    <row r="83" ht="15">
      <c r="A83" s="7" t="s">
        <v>53</v>
      </c>
    </row>
    <row r="84" ht="15">
      <c r="A84" s="7" t="s">
        <v>54</v>
      </c>
    </row>
    <row r="85" ht="15">
      <c r="A85" s="7" t="s">
        <v>55</v>
      </c>
    </row>
    <row r="86" ht="15">
      <c r="A86" s="7" t="s">
        <v>56</v>
      </c>
    </row>
    <row r="87" ht="15">
      <c r="A87" s="7" t="s">
        <v>57</v>
      </c>
    </row>
    <row r="89" spans="1:2" ht="15">
      <c r="A89" s="173"/>
      <c r="B89" s="7" t="s">
        <v>58</v>
      </c>
    </row>
  </sheetData>
  <sheetProtection/>
  <mergeCells count="17">
    <mergeCell ref="B69:D69"/>
    <mergeCell ref="F18:H18"/>
    <mergeCell ref="J18:L18"/>
    <mergeCell ref="N18:O18"/>
    <mergeCell ref="N3:O3"/>
    <mergeCell ref="B70:D70"/>
    <mergeCell ref="D19:D20"/>
    <mergeCell ref="N19:N20"/>
    <mergeCell ref="O19:O20"/>
    <mergeCell ref="B63:D63"/>
    <mergeCell ref="B64:D64"/>
    <mergeCell ref="N1:O1"/>
    <mergeCell ref="N2:O2"/>
    <mergeCell ref="N5:O5"/>
    <mergeCell ref="B8:O8"/>
    <mergeCell ref="B9:O9"/>
    <mergeCell ref="D12:O12"/>
  </mergeCells>
  <dataValidations count="4">
    <dataValidation type="list" allowBlank="1" showInputMessage="1" showErrorMessage="1" sqref="D14">
      <formula1>"TOU, non-TOU"</formula1>
    </dataValidation>
    <dataValidation type="list" allowBlank="1" showInputMessage="1" showErrorMessage="1" sqref="E71 E65 E57:E58">
      <formula1>'Res (800kWh)'!#REF!</formula1>
    </dataValidation>
    <dataValidation type="list" allowBlank="1" showInputMessage="1" showErrorMessage="1" prompt="Select Charge Unit - monthly, per kWh, per kW" sqref="D47:D48 D65 D71 D50:D59 D38:D45 D21:D36">
      <formula1>"Monthly, per kWh, per kW"</formula1>
    </dataValidation>
    <dataValidation type="list" allowBlank="1" showInputMessage="1" showErrorMessage="1" sqref="E47:E48 E50:E56 E59 E38:E45 E21:E36">
      <formula1>'Res (800kWh)'!#REF!</formula1>
    </dataValidation>
  </dataValidations>
  <printOptions/>
  <pageMargins left="0.7" right="0.7" top="0.75" bottom="0.75" header="0.3" footer="0.3"/>
  <pageSetup fitToHeight="0" fitToWidth="1" horizontalDpi="600" verticalDpi="600" orientation="portrait" scale="5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9"/>
  <sheetViews>
    <sheetView showGridLines="0" zoomScalePageLayoutView="0" workbookViewId="0" topLeftCell="A1">
      <selection activeCell="J6" sqref="J6"/>
    </sheetView>
  </sheetViews>
  <sheetFormatPr defaultColWidth="9.140625" defaultRowHeight="15"/>
  <cols>
    <col min="1" max="1" width="2.140625" style="7" customWidth="1"/>
    <col min="2" max="2" width="44.57421875" style="7" customWidth="1"/>
    <col min="3" max="3" width="1.28515625" style="7" customWidth="1"/>
    <col min="4" max="4" width="11.28125" style="7" customWidth="1"/>
    <col min="5" max="5" width="1.28515625" style="7" customWidth="1"/>
    <col min="6" max="6" width="12.28125" style="7" customWidth="1"/>
    <col min="7" max="7" width="8.57421875" style="7" customWidth="1"/>
    <col min="8" max="8" width="9.7109375" style="7" customWidth="1"/>
    <col min="9" max="9" width="2.8515625" style="7" customWidth="1"/>
    <col min="10" max="10" width="12.140625" style="7" customWidth="1"/>
    <col min="11" max="11" width="8.57421875" style="7" customWidth="1"/>
    <col min="12" max="12" width="9.7109375" style="7" customWidth="1"/>
    <col min="13" max="13" width="2.8515625" style="7" customWidth="1"/>
    <col min="14" max="14" width="12.7109375" style="7" bestFit="1" customWidth="1"/>
    <col min="15" max="15" width="10.8515625" style="7" bestFit="1" customWidth="1"/>
    <col min="16" max="16" width="7.421875" style="7" customWidth="1"/>
    <col min="17" max="20" width="9.140625" style="7" customWidth="1"/>
    <col min="21" max="16384" width="9.140625" style="7" customWidth="1"/>
  </cols>
  <sheetData>
    <row r="1" spans="1:20" s="2" customFormat="1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234" t="str">
        <f>EBNUMBER</f>
        <v>EB-2013-0116</v>
      </c>
      <c r="O1" s="234"/>
      <c r="P1" s="193"/>
      <c r="T1" s="2">
        <v>1</v>
      </c>
    </row>
    <row r="2" spans="1:16" s="2" customFormat="1" ht="1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110</v>
      </c>
      <c r="N2" s="235" t="s">
        <v>111</v>
      </c>
      <c r="O2" s="235"/>
      <c r="P2" s="196"/>
    </row>
    <row r="3" spans="3:16" s="2" customFormat="1" ht="15" customHeight="1">
      <c r="C3" s="6"/>
      <c r="D3" s="6"/>
      <c r="E3" s="6"/>
      <c r="L3" s="3" t="s">
        <v>78</v>
      </c>
      <c r="N3" s="236" t="s">
        <v>83</v>
      </c>
      <c r="O3" s="236"/>
      <c r="P3" s="195"/>
    </row>
    <row r="4" spans="12:16" s="2" customFormat="1" ht="9" customHeight="1">
      <c r="L4" s="3"/>
      <c r="N4" s="194"/>
      <c r="O4" s="4"/>
      <c r="P4" s="197"/>
    </row>
    <row r="5" spans="12:16" s="2" customFormat="1" ht="15">
      <c r="L5" s="3" t="s">
        <v>100</v>
      </c>
      <c r="N5" s="237">
        <v>41695</v>
      </c>
      <c r="O5" s="237"/>
      <c r="P5" s="195"/>
    </row>
    <row r="6" spans="14:16" s="2" customFormat="1" ht="15" customHeight="1">
      <c r="N6" s="7"/>
      <c r="O6"/>
      <c r="P6"/>
    </row>
    <row r="7" spans="12:16" ht="7.5" customHeight="1">
      <c r="L7"/>
      <c r="M7"/>
      <c r="N7"/>
      <c r="O7"/>
      <c r="P7"/>
    </row>
    <row r="8" spans="2:16" ht="18.75" customHeight="1">
      <c r="B8" s="238" t="s">
        <v>1</v>
      </c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/>
    </row>
    <row r="9" spans="2:16" ht="18.75" customHeight="1">
      <c r="B9" s="238" t="s">
        <v>2</v>
      </c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/>
    </row>
    <row r="10" spans="12:16" ht="7.5" customHeight="1">
      <c r="L10"/>
      <c r="M10"/>
      <c r="N10"/>
      <c r="O10"/>
      <c r="P10"/>
    </row>
    <row r="11" spans="12:16" ht="7.5" customHeight="1">
      <c r="L11"/>
      <c r="M11"/>
      <c r="N11"/>
      <c r="O11"/>
      <c r="P11"/>
    </row>
    <row r="12" spans="2:15" ht="15.75">
      <c r="B12" s="8" t="s">
        <v>3</v>
      </c>
      <c r="D12" s="240" t="s">
        <v>59</v>
      </c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</row>
    <row r="13" spans="2:15" ht="7.5" customHeight="1">
      <c r="B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2:15" ht="15.75">
      <c r="B14" s="8" t="s">
        <v>4</v>
      </c>
      <c r="D14" s="11" t="s">
        <v>5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2:15" ht="15.75">
      <c r="B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2:7" ht="15">
      <c r="B16" s="12"/>
      <c r="D16" s="13" t="s">
        <v>6</v>
      </c>
      <c r="E16" s="13"/>
      <c r="F16" s="14">
        <v>1000</v>
      </c>
      <c r="G16" s="13" t="s">
        <v>7</v>
      </c>
    </row>
    <row r="17" ht="15">
      <c r="B17" s="12"/>
    </row>
    <row r="18" spans="2:15" ht="15">
      <c r="B18" s="12"/>
      <c r="D18" s="15"/>
      <c r="E18" s="15"/>
      <c r="F18" s="241" t="s">
        <v>8</v>
      </c>
      <c r="G18" s="242"/>
      <c r="H18" s="243"/>
      <c r="J18" s="241" t="s">
        <v>9</v>
      </c>
      <c r="K18" s="242"/>
      <c r="L18" s="243"/>
      <c r="N18" s="241" t="s">
        <v>10</v>
      </c>
      <c r="O18" s="243"/>
    </row>
    <row r="19" spans="2:15" ht="15">
      <c r="B19" s="12"/>
      <c r="D19" s="245" t="s">
        <v>11</v>
      </c>
      <c r="E19" s="16"/>
      <c r="F19" s="17" t="s">
        <v>12</v>
      </c>
      <c r="G19" s="17" t="s">
        <v>13</v>
      </c>
      <c r="H19" s="18" t="s">
        <v>14</v>
      </c>
      <c r="J19" s="17" t="s">
        <v>12</v>
      </c>
      <c r="K19" s="19" t="s">
        <v>13</v>
      </c>
      <c r="L19" s="18" t="s">
        <v>14</v>
      </c>
      <c r="N19" s="247" t="s">
        <v>15</v>
      </c>
      <c r="O19" s="249" t="s">
        <v>16</v>
      </c>
    </row>
    <row r="20" spans="2:15" ht="15">
      <c r="B20" s="12"/>
      <c r="D20" s="246"/>
      <c r="E20" s="16"/>
      <c r="F20" s="20" t="s">
        <v>17</v>
      </c>
      <c r="G20" s="20"/>
      <c r="H20" s="21" t="s">
        <v>17</v>
      </c>
      <c r="J20" s="20" t="s">
        <v>17</v>
      </c>
      <c r="K20" s="21"/>
      <c r="L20" s="21" t="s">
        <v>17</v>
      </c>
      <c r="N20" s="248"/>
      <c r="O20" s="250"/>
    </row>
    <row r="21" spans="2:15" ht="22.5" customHeight="1">
      <c r="B21" s="22" t="s">
        <v>18</v>
      </c>
      <c r="C21" s="22"/>
      <c r="D21" s="23" t="s">
        <v>60</v>
      </c>
      <c r="E21" s="24"/>
      <c r="F21" s="175">
        <f>'[2]2013 Existing Rates'!$C$6</f>
        <v>10.09</v>
      </c>
      <c r="G21" s="26">
        <v>1</v>
      </c>
      <c r="H21" s="27">
        <f>G21*F21</f>
        <v>10.09</v>
      </c>
      <c r="I21" s="28"/>
      <c r="J21" s="174">
        <f>'[3]Rate Schedule '!$E$10</f>
        <v>16.58</v>
      </c>
      <c r="K21" s="30">
        <v>1</v>
      </c>
      <c r="L21" s="27">
        <f>K21*J21</f>
        <v>16.58</v>
      </c>
      <c r="M21" s="28"/>
      <c r="N21" s="31">
        <f>L21-H21</f>
        <v>6.489999999999998</v>
      </c>
      <c r="O21" s="32">
        <f>IF((H21)=0,"",(N21/H21))</f>
        <v>0.6432111000991079</v>
      </c>
    </row>
    <row r="22" spans="2:15" ht="36.75" customHeight="1">
      <c r="B22" s="65" t="s">
        <v>62</v>
      </c>
      <c r="C22" s="22"/>
      <c r="D22" s="56" t="s">
        <v>60</v>
      </c>
      <c r="E22" s="24"/>
      <c r="F22" s="174">
        <v>0.01</v>
      </c>
      <c r="G22" s="26">
        <v>1</v>
      </c>
      <c r="H22" s="27">
        <f aca="true" t="shared" si="0" ref="H22:H36">G22*F22</f>
        <v>0.01</v>
      </c>
      <c r="I22" s="28"/>
      <c r="J22" s="29"/>
      <c r="K22" s="30">
        <v>1</v>
      </c>
      <c r="L22" s="27">
        <f>K22*J22</f>
        <v>0</v>
      </c>
      <c r="M22" s="28"/>
      <c r="N22" s="31">
        <f>L22-H22</f>
        <v>-0.01</v>
      </c>
      <c r="O22" s="32">
        <f>IF((H22)=0,"",(N22/H22))</f>
        <v>-1</v>
      </c>
    </row>
    <row r="23" spans="2:15" ht="36.75" customHeight="1">
      <c r="B23" s="176" t="s">
        <v>63</v>
      </c>
      <c r="C23" s="22"/>
      <c r="D23" s="56" t="s">
        <v>60</v>
      </c>
      <c r="E23" s="57"/>
      <c r="F23" s="174">
        <v>2.22</v>
      </c>
      <c r="G23" s="26">
        <v>1</v>
      </c>
      <c r="H23" s="27">
        <f t="shared" si="0"/>
        <v>2.22</v>
      </c>
      <c r="I23" s="28"/>
      <c r="J23" s="29"/>
      <c r="K23" s="30">
        <v>1</v>
      </c>
      <c r="L23" s="27">
        <f aca="true" t="shared" si="1" ref="L23:L36">K23*J23</f>
        <v>0</v>
      </c>
      <c r="M23" s="28"/>
      <c r="N23" s="31">
        <f aca="true" t="shared" si="2" ref="N23:N64">L23-H23</f>
        <v>-2.22</v>
      </c>
      <c r="O23" s="32">
        <f aca="true" t="shared" si="3" ref="O23:O44">IF((H23)=0,"",(N23/H23))</f>
        <v>-1</v>
      </c>
    </row>
    <row r="24" spans="2:15" ht="15">
      <c r="B24" s="176" t="s">
        <v>64</v>
      </c>
      <c r="C24" s="22"/>
      <c r="D24" s="23" t="s">
        <v>60</v>
      </c>
      <c r="E24" s="24"/>
      <c r="F24" s="25"/>
      <c r="G24" s="26">
        <v>1</v>
      </c>
      <c r="H24" s="27">
        <f t="shared" si="0"/>
        <v>0</v>
      </c>
      <c r="I24" s="28"/>
      <c r="J24" s="174">
        <v>3.25</v>
      </c>
      <c r="K24" s="30">
        <v>1</v>
      </c>
      <c r="L24" s="27">
        <f t="shared" si="1"/>
        <v>3.25</v>
      </c>
      <c r="M24" s="28"/>
      <c r="N24" s="31">
        <f t="shared" si="2"/>
        <v>3.25</v>
      </c>
      <c r="O24" s="32">
        <f t="shared" si="3"/>
      </c>
    </row>
    <row r="25" spans="2:15" ht="15">
      <c r="B25" s="46" t="s">
        <v>65</v>
      </c>
      <c r="C25" s="22"/>
      <c r="D25" s="23" t="s">
        <v>61</v>
      </c>
      <c r="E25" s="24"/>
      <c r="F25" s="25">
        <v>-0.0001</v>
      </c>
      <c r="G25" s="26">
        <f>$F$16</f>
        <v>1000</v>
      </c>
      <c r="H25" s="27">
        <f t="shared" si="0"/>
        <v>-0.1</v>
      </c>
      <c r="I25" s="28"/>
      <c r="J25" s="174"/>
      <c r="K25" s="26">
        <f>$F$16</f>
        <v>1000</v>
      </c>
      <c r="L25" s="27">
        <f t="shared" si="1"/>
        <v>0</v>
      </c>
      <c r="M25" s="28"/>
      <c r="N25" s="31">
        <f t="shared" si="2"/>
        <v>0.1</v>
      </c>
      <c r="O25" s="32">
        <f t="shared" si="3"/>
        <v>-1</v>
      </c>
    </row>
    <row r="26" spans="2:15" ht="15">
      <c r="B26" s="46" t="s">
        <v>66</v>
      </c>
      <c r="C26" s="22"/>
      <c r="D26" s="23" t="s">
        <v>61</v>
      </c>
      <c r="E26" s="24"/>
      <c r="F26" s="25"/>
      <c r="G26" s="26">
        <f>$F$16</f>
        <v>1000</v>
      </c>
      <c r="H26" s="27">
        <f t="shared" si="0"/>
        <v>0</v>
      </c>
      <c r="I26" s="28"/>
      <c r="J26" s="29">
        <f>'[4]6. Rate Rider Calculations'!$F$75</f>
        <v>-0.0023955525753637957</v>
      </c>
      <c r="K26" s="26">
        <f>$F$16</f>
        <v>1000</v>
      </c>
      <c r="L26" s="27">
        <f t="shared" si="1"/>
        <v>-2.3955525753637956</v>
      </c>
      <c r="M26" s="28"/>
      <c r="N26" s="31">
        <f t="shared" si="2"/>
        <v>-2.3955525753637956</v>
      </c>
      <c r="O26" s="32">
        <f t="shared" si="3"/>
      </c>
    </row>
    <row r="27" spans="2:15" ht="15">
      <c r="B27" s="22" t="s">
        <v>19</v>
      </c>
      <c r="C27" s="22"/>
      <c r="D27" s="23" t="s">
        <v>61</v>
      </c>
      <c r="E27" s="24"/>
      <c r="F27" s="25">
        <f>'[2]2013 Existing Rates'!$E$6</f>
        <v>0.0163</v>
      </c>
      <c r="G27" s="26">
        <f>$F$16</f>
        <v>1000</v>
      </c>
      <c r="H27" s="27">
        <f t="shared" si="0"/>
        <v>16.299999999999997</v>
      </c>
      <c r="I27" s="28"/>
      <c r="J27" s="29">
        <f>'[3]Rate Schedule '!$E$11</f>
        <v>0.0119</v>
      </c>
      <c r="K27" s="26">
        <f>$F$16</f>
        <v>1000</v>
      </c>
      <c r="L27" s="27">
        <f t="shared" si="1"/>
        <v>11.9</v>
      </c>
      <c r="M27" s="28"/>
      <c r="N27" s="31">
        <f t="shared" si="2"/>
        <v>-4.399999999999997</v>
      </c>
      <c r="O27" s="32">
        <f t="shared" si="3"/>
        <v>-0.2699386503067483</v>
      </c>
    </row>
    <row r="28" spans="2:15" ht="15" hidden="1">
      <c r="B28" s="22" t="s">
        <v>20</v>
      </c>
      <c r="C28" s="22"/>
      <c r="D28" s="23"/>
      <c r="E28" s="24"/>
      <c r="F28" s="25"/>
      <c r="G28" s="26">
        <f>$F$16</f>
        <v>1000</v>
      </c>
      <c r="H28" s="27">
        <f t="shared" si="0"/>
        <v>0</v>
      </c>
      <c r="I28" s="28"/>
      <c r="J28" s="29"/>
      <c r="K28" s="26">
        <f aca="true" t="shared" si="4" ref="K28:K36">$F$16</f>
        <v>1000</v>
      </c>
      <c r="L28" s="27">
        <f t="shared" si="1"/>
        <v>0</v>
      </c>
      <c r="M28" s="28"/>
      <c r="N28" s="31">
        <f t="shared" si="2"/>
        <v>0</v>
      </c>
      <c r="O28" s="32">
        <f t="shared" si="3"/>
      </c>
    </row>
    <row r="29" spans="2:15" ht="15" hidden="1">
      <c r="B29" s="22" t="s">
        <v>21</v>
      </c>
      <c r="C29" s="22"/>
      <c r="D29" s="23"/>
      <c r="E29" s="24"/>
      <c r="F29" s="25"/>
      <c r="G29" s="26">
        <f>$F$16</f>
        <v>1000</v>
      </c>
      <c r="H29" s="27">
        <f t="shared" si="0"/>
        <v>0</v>
      </c>
      <c r="I29" s="28"/>
      <c r="J29" s="29"/>
      <c r="K29" s="26">
        <f t="shared" si="4"/>
        <v>1000</v>
      </c>
      <c r="L29" s="27">
        <f t="shared" si="1"/>
        <v>0</v>
      </c>
      <c r="M29" s="28"/>
      <c r="N29" s="31">
        <f t="shared" si="2"/>
        <v>0</v>
      </c>
      <c r="O29" s="32">
        <f t="shared" si="3"/>
      </c>
    </row>
    <row r="30" spans="2:15" ht="15" hidden="1">
      <c r="B30" s="33"/>
      <c r="C30" s="22"/>
      <c r="D30" s="23"/>
      <c r="E30" s="24"/>
      <c r="F30" s="25"/>
      <c r="G30" s="26">
        <f aca="true" t="shared" si="5" ref="G30:G36">$F$16</f>
        <v>1000</v>
      </c>
      <c r="H30" s="27">
        <f t="shared" si="0"/>
        <v>0</v>
      </c>
      <c r="I30" s="28"/>
      <c r="J30" s="29"/>
      <c r="K30" s="26">
        <f t="shared" si="4"/>
        <v>1000</v>
      </c>
      <c r="L30" s="27">
        <f t="shared" si="1"/>
        <v>0</v>
      </c>
      <c r="M30" s="28"/>
      <c r="N30" s="31">
        <f t="shared" si="2"/>
        <v>0</v>
      </c>
      <c r="O30" s="32">
        <f t="shared" si="3"/>
      </c>
    </row>
    <row r="31" spans="2:15" ht="15" hidden="1">
      <c r="B31" s="33"/>
      <c r="C31" s="22"/>
      <c r="D31" s="23"/>
      <c r="E31" s="24"/>
      <c r="F31" s="25"/>
      <c r="G31" s="26">
        <f t="shared" si="5"/>
        <v>1000</v>
      </c>
      <c r="H31" s="27">
        <f t="shared" si="0"/>
        <v>0</v>
      </c>
      <c r="I31" s="28"/>
      <c r="J31" s="29"/>
      <c r="K31" s="26">
        <f t="shared" si="4"/>
        <v>1000</v>
      </c>
      <c r="L31" s="27">
        <f t="shared" si="1"/>
        <v>0</v>
      </c>
      <c r="M31" s="28"/>
      <c r="N31" s="31">
        <f t="shared" si="2"/>
        <v>0</v>
      </c>
      <c r="O31" s="32">
        <f t="shared" si="3"/>
      </c>
    </row>
    <row r="32" spans="2:15" ht="15" hidden="1">
      <c r="B32" s="33"/>
      <c r="C32" s="22"/>
      <c r="D32" s="23"/>
      <c r="E32" s="24"/>
      <c r="F32" s="25"/>
      <c r="G32" s="26">
        <f t="shared" si="5"/>
        <v>1000</v>
      </c>
      <c r="H32" s="27">
        <f t="shared" si="0"/>
        <v>0</v>
      </c>
      <c r="I32" s="28"/>
      <c r="J32" s="29"/>
      <c r="K32" s="26">
        <f t="shared" si="4"/>
        <v>1000</v>
      </c>
      <c r="L32" s="27">
        <f t="shared" si="1"/>
        <v>0</v>
      </c>
      <c r="M32" s="28"/>
      <c r="N32" s="31">
        <f t="shared" si="2"/>
        <v>0</v>
      </c>
      <c r="O32" s="32">
        <f t="shared" si="3"/>
      </c>
    </row>
    <row r="33" spans="2:15" ht="15" hidden="1">
      <c r="B33" s="33"/>
      <c r="C33" s="22"/>
      <c r="D33" s="23"/>
      <c r="E33" s="24"/>
      <c r="F33" s="25"/>
      <c r="G33" s="26">
        <f t="shared" si="5"/>
        <v>1000</v>
      </c>
      <c r="H33" s="27">
        <f t="shared" si="0"/>
        <v>0</v>
      </c>
      <c r="I33" s="28"/>
      <c r="J33" s="29"/>
      <c r="K33" s="26">
        <f t="shared" si="4"/>
        <v>1000</v>
      </c>
      <c r="L33" s="27">
        <f t="shared" si="1"/>
        <v>0</v>
      </c>
      <c r="M33" s="28"/>
      <c r="N33" s="31">
        <f t="shared" si="2"/>
        <v>0</v>
      </c>
      <c r="O33" s="32">
        <f t="shared" si="3"/>
      </c>
    </row>
    <row r="34" spans="2:15" ht="15" hidden="1">
      <c r="B34" s="33"/>
      <c r="C34" s="22"/>
      <c r="D34" s="23"/>
      <c r="E34" s="24"/>
      <c r="F34" s="25"/>
      <c r="G34" s="26">
        <f t="shared" si="5"/>
        <v>1000</v>
      </c>
      <c r="H34" s="27">
        <f t="shared" si="0"/>
        <v>0</v>
      </c>
      <c r="I34" s="28"/>
      <c r="J34" s="29"/>
      <c r="K34" s="26">
        <f t="shared" si="4"/>
        <v>1000</v>
      </c>
      <c r="L34" s="27">
        <f t="shared" si="1"/>
        <v>0</v>
      </c>
      <c r="M34" s="28"/>
      <c r="N34" s="31">
        <f t="shared" si="2"/>
        <v>0</v>
      </c>
      <c r="O34" s="32">
        <f t="shared" si="3"/>
      </c>
    </row>
    <row r="35" spans="2:15" ht="15" hidden="1">
      <c r="B35" s="33"/>
      <c r="C35" s="22"/>
      <c r="D35" s="23"/>
      <c r="E35" s="24"/>
      <c r="F35" s="25"/>
      <c r="G35" s="26">
        <f t="shared" si="5"/>
        <v>1000</v>
      </c>
      <c r="H35" s="27">
        <f t="shared" si="0"/>
        <v>0</v>
      </c>
      <c r="I35" s="28"/>
      <c r="J35" s="29"/>
      <c r="K35" s="26">
        <f t="shared" si="4"/>
        <v>1000</v>
      </c>
      <c r="L35" s="27">
        <f t="shared" si="1"/>
        <v>0</v>
      </c>
      <c r="M35" s="28"/>
      <c r="N35" s="31">
        <f t="shared" si="2"/>
        <v>0</v>
      </c>
      <c r="O35" s="32">
        <f t="shared" si="3"/>
      </c>
    </row>
    <row r="36" spans="2:15" ht="15" hidden="1">
      <c r="B36" s="33"/>
      <c r="C36" s="22"/>
      <c r="D36" s="23"/>
      <c r="E36" s="24"/>
      <c r="F36" s="25"/>
      <c r="G36" s="26">
        <f t="shared" si="5"/>
        <v>1000</v>
      </c>
      <c r="H36" s="27">
        <f t="shared" si="0"/>
        <v>0</v>
      </c>
      <c r="I36" s="28"/>
      <c r="J36" s="29"/>
      <c r="K36" s="26">
        <f t="shared" si="4"/>
        <v>1000</v>
      </c>
      <c r="L36" s="27">
        <f t="shared" si="1"/>
        <v>0</v>
      </c>
      <c r="M36" s="28"/>
      <c r="N36" s="31">
        <f t="shared" si="2"/>
        <v>0</v>
      </c>
      <c r="O36" s="32">
        <f t="shared" si="3"/>
      </c>
    </row>
    <row r="37" spans="2:15" s="34" customFormat="1" ht="15">
      <c r="B37" s="35" t="s">
        <v>22</v>
      </c>
      <c r="C37" s="36"/>
      <c r="D37" s="37"/>
      <c r="E37" s="36"/>
      <c r="F37" s="38"/>
      <c r="G37" s="39"/>
      <c r="H37" s="40">
        <f>SUM(H21:H36)</f>
        <v>28.519999999999996</v>
      </c>
      <c r="I37" s="41"/>
      <c r="J37" s="42"/>
      <c r="K37" s="43"/>
      <c r="L37" s="40">
        <f>SUM(L21:L36)</f>
        <v>29.334447424636203</v>
      </c>
      <c r="M37" s="41"/>
      <c r="N37" s="44">
        <f t="shared" si="2"/>
        <v>0.8144474246362066</v>
      </c>
      <c r="O37" s="45">
        <f t="shared" si="3"/>
        <v>0.028557062574902058</v>
      </c>
    </row>
    <row r="38" spans="2:15" ht="15" hidden="1">
      <c r="B38" s="176"/>
      <c r="C38" s="22"/>
      <c r="D38" s="56" t="s">
        <v>60</v>
      </c>
      <c r="E38" s="24"/>
      <c r="F38" s="25"/>
      <c r="G38" s="26">
        <v>1</v>
      </c>
      <c r="H38" s="27">
        <f>G38*F38</f>
        <v>0</v>
      </c>
      <c r="I38" s="28"/>
      <c r="J38" s="174"/>
      <c r="K38" s="30">
        <v>1</v>
      </c>
      <c r="L38" s="27">
        <f>K38*J38</f>
        <v>0</v>
      </c>
      <c r="M38" s="28"/>
      <c r="N38" s="31">
        <f>L38-H38</f>
        <v>0</v>
      </c>
      <c r="O38" s="32">
        <f>IF((H38)=0,"",(N38/H38))</f>
      </c>
    </row>
    <row r="39" spans="2:15" ht="25.5">
      <c r="B39" s="46" t="s">
        <v>23</v>
      </c>
      <c r="C39" s="22"/>
      <c r="D39" s="56" t="s">
        <v>61</v>
      </c>
      <c r="E39" s="57"/>
      <c r="F39" s="29">
        <v>0.0003</v>
      </c>
      <c r="G39" s="26">
        <f>$F$16</f>
        <v>1000</v>
      </c>
      <c r="H39" s="27">
        <f aca="true" t="shared" si="6" ref="H39:H45">G39*F39</f>
        <v>0.3</v>
      </c>
      <c r="I39" s="28"/>
      <c r="J39" s="29">
        <f>'[4]6. Rate Rider Calculations'!$F$20</f>
        <v>-0.0007408030378165835</v>
      </c>
      <c r="K39" s="26">
        <f>$F$16</f>
        <v>1000</v>
      </c>
      <c r="L39" s="27">
        <f aca="true" t="shared" si="7" ref="L39:L45">K39*J39</f>
        <v>-0.7408030378165835</v>
      </c>
      <c r="M39" s="28"/>
      <c r="N39" s="31">
        <f t="shared" si="2"/>
        <v>-1.0408030378165836</v>
      </c>
      <c r="O39" s="32">
        <f t="shared" si="3"/>
        <v>-3.469343459388612</v>
      </c>
    </row>
    <row r="40" spans="2:15" ht="15" hidden="1">
      <c r="B40" s="46"/>
      <c r="C40" s="22"/>
      <c r="D40" s="23" t="s">
        <v>61</v>
      </c>
      <c r="E40" s="24"/>
      <c r="F40" s="25"/>
      <c r="G40" s="26">
        <f>$F$16</f>
        <v>1000</v>
      </c>
      <c r="H40" s="27">
        <f t="shared" si="6"/>
        <v>0</v>
      </c>
      <c r="I40" s="47"/>
      <c r="J40" s="29"/>
      <c r="K40" s="26">
        <f>$F$16</f>
        <v>1000</v>
      </c>
      <c r="L40" s="27">
        <f t="shared" si="7"/>
        <v>0</v>
      </c>
      <c r="M40" s="48"/>
      <c r="N40" s="31">
        <f t="shared" si="2"/>
        <v>0</v>
      </c>
      <c r="O40" s="32">
        <f t="shared" si="3"/>
      </c>
    </row>
    <row r="41" spans="2:15" ht="15" hidden="1">
      <c r="B41" s="46"/>
      <c r="C41" s="22"/>
      <c r="D41" s="23" t="s">
        <v>61</v>
      </c>
      <c r="E41" s="24"/>
      <c r="F41" s="25"/>
      <c r="G41" s="26">
        <f>$F$16</f>
        <v>1000</v>
      </c>
      <c r="H41" s="27">
        <f t="shared" si="6"/>
        <v>0</v>
      </c>
      <c r="I41" s="47"/>
      <c r="J41" s="29"/>
      <c r="K41" s="26">
        <f>$F$16</f>
        <v>1000</v>
      </c>
      <c r="L41" s="27">
        <f t="shared" si="7"/>
        <v>0</v>
      </c>
      <c r="M41" s="48"/>
      <c r="N41" s="31">
        <f t="shared" si="2"/>
        <v>0</v>
      </c>
      <c r="O41" s="32">
        <f t="shared" si="3"/>
      </c>
    </row>
    <row r="42" spans="2:15" ht="15" hidden="1">
      <c r="B42" s="46"/>
      <c r="C42" s="22"/>
      <c r="D42" s="23"/>
      <c r="E42" s="24"/>
      <c r="F42" s="25"/>
      <c r="G42" s="26">
        <f>$F$16</f>
        <v>1000</v>
      </c>
      <c r="H42" s="27">
        <f t="shared" si="6"/>
        <v>0</v>
      </c>
      <c r="I42" s="47"/>
      <c r="J42" s="29"/>
      <c r="K42" s="26">
        <f>$F$16</f>
        <v>1000</v>
      </c>
      <c r="L42" s="27">
        <f t="shared" si="7"/>
        <v>0</v>
      </c>
      <c r="M42" s="48"/>
      <c r="N42" s="31">
        <f t="shared" si="2"/>
        <v>0</v>
      </c>
      <c r="O42" s="32">
        <f t="shared" si="3"/>
      </c>
    </row>
    <row r="43" spans="2:15" ht="15">
      <c r="B43" s="49" t="s">
        <v>24</v>
      </c>
      <c r="C43" s="22"/>
      <c r="D43" s="23" t="s">
        <v>61</v>
      </c>
      <c r="E43" s="24"/>
      <c r="F43" s="25">
        <f>0.0001</f>
        <v>0.0001</v>
      </c>
      <c r="G43" s="26">
        <f>$F$16</f>
        <v>1000</v>
      </c>
      <c r="H43" s="27">
        <f t="shared" si="6"/>
        <v>0.1</v>
      </c>
      <c r="I43" s="28"/>
      <c r="J43" s="29">
        <f>'[3]Rate Schedule '!$E$12</f>
        <v>0.0001</v>
      </c>
      <c r="K43" s="26">
        <f>$F$16</f>
        <v>1000</v>
      </c>
      <c r="L43" s="27">
        <f t="shared" si="7"/>
        <v>0.1</v>
      </c>
      <c r="M43" s="28"/>
      <c r="N43" s="31">
        <f t="shared" si="2"/>
        <v>0</v>
      </c>
      <c r="O43" s="32">
        <f t="shared" si="3"/>
        <v>0</v>
      </c>
    </row>
    <row r="44" spans="2:15" s="34" customFormat="1" ht="15">
      <c r="B44" s="182" t="s">
        <v>25</v>
      </c>
      <c r="C44" s="24"/>
      <c r="D44" s="183" t="s">
        <v>61</v>
      </c>
      <c r="E44" s="24"/>
      <c r="F44" s="184">
        <f>IF(ISBLANK(D14)=TRUE,0,IF(D14="TOU",0.64*$F$54+0.18*$F$55+0.18*$F$56,IF(AND(D14="non-TOU",G58&gt;0),F58,F57)))</f>
        <v>0.08892</v>
      </c>
      <c r="G44" s="26">
        <f>$F$16*(1+$F$73)-$F$16</f>
        <v>28.59999999999991</v>
      </c>
      <c r="H44" s="185">
        <f t="shared" si="6"/>
        <v>2.543111999999992</v>
      </c>
      <c r="I44" s="57"/>
      <c r="J44" s="186">
        <f>0.64*$F$54+0.18*$F$55+0.18*$F$56</f>
        <v>0.08892</v>
      </c>
      <c r="K44" s="26">
        <f>$F$16*(1+$J$73)-$F$16</f>
        <v>33.5</v>
      </c>
      <c r="L44" s="185">
        <f t="shared" si="7"/>
        <v>2.97882</v>
      </c>
      <c r="M44" s="57"/>
      <c r="N44" s="187">
        <f t="shared" si="2"/>
        <v>0.435708000000008</v>
      </c>
      <c r="O44" s="188">
        <f t="shared" si="3"/>
        <v>0.17132867132867502</v>
      </c>
    </row>
    <row r="45" spans="2:15" ht="15">
      <c r="B45" s="49" t="s">
        <v>26</v>
      </c>
      <c r="C45" s="22"/>
      <c r="D45" s="23" t="s">
        <v>60</v>
      </c>
      <c r="E45" s="24"/>
      <c r="F45" s="179">
        <v>0.79</v>
      </c>
      <c r="G45" s="26">
        <v>1</v>
      </c>
      <c r="H45" s="27">
        <f t="shared" si="6"/>
        <v>0.79</v>
      </c>
      <c r="I45" s="28"/>
      <c r="J45" s="179">
        <v>0.79</v>
      </c>
      <c r="K45" s="26">
        <v>1</v>
      </c>
      <c r="L45" s="27">
        <f t="shared" si="7"/>
        <v>0.79</v>
      </c>
      <c r="M45" s="28"/>
      <c r="N45" s="31">
        <f t="shared" si="2"/>
        <v>0</v>
      </c>
      <c r="O45" s="32"/>
    </row>
    <row r="46" spans="2:15" ht="25.5">
      <c r="B46" s="50" t="s">
        <v>27</v>
      </c>
      <c r="C46" s="51"/>
      <c r="D46" s="51"/>
      <c r="E46" s="51"/>
      <c r="F46" s="52"/>
      <c r="G46" s="53"/>
      <c r="H46" s="54">
        <f>SUM(H38:H45)+H37</f>
        <v>32.25311199999999</v>
      </c>
      <c r="I46" s="41"/>
      <c r="J46" s="53"/>
      <c r="K46" s="55"/>
      <c r="L46" s="54">
        <f>SUM(L38:L45)+L37</f>
        <v>32.46246438681962</v>
      </c>
      <c r="M46" s="41"/>
      <c r="N46" s="44">
        <f>L46-H46</f>
        <v>0.20935238681963142</v>
      </c>
      <c r="O46" s="45">
        <f>IF((H46)=0,"",(N46/H46))</f>
        <v>0.006490920529455622</v>
      </c>
    </row>
    <row r="47" spans="2:15" ht="15">
      <c r="B47" s="28" t="s">
        <v>28</v>
      </c>
      <c r="C47" s="28"/>
      <c r="D47" s="56" t="s">
        <v>61</v>
      </c>
      <c r="E47" s="57"/>
      <c r="F47" s="29">
        <v>0.0062</v>
      </c>
      <c r="G47" s="58">
        <f>F16*(1+F73)</f>
        <v>1028.6</v>
      </c>
      <c r="H47" s="27">
        <f>G47*F47</f>
        <v>6.377319999999999</v>
      </c>
      <c r="I47" s="28"/>
      <c r="J47" s="29">
        <f>'[5]13. Final 2014 RTS Rates'!$F$26</f>
        <v>0.006672891733385364</v>
      </c>
      <c r="K47" s="59">
        <f>F16*(1+J73)</f>
        <v>1033.5</v>
      </c>
      <c r="L47" s="27">
        <f>K47*J47</f>
        <v>6.8964336064537735</v>
      </c>
      <c r="M47" s="28"/>
      <c r="N47" s="31">
        <f t="shared" si="2"/>
        <v>0.5191136064537742</v>
      </c>
      <c r="O47" s="32">
        <f aca="true" t="shared" si="8" ref="O47:O64">IF((H47)=0,"",(N47/H47))</f>
        <v>0.0813999621241798</v>
      </c>
    </row>
    <row r="48" spans="2:15" ht="30">
      <c r="B48" s="60" t="s">
        <v>29</v>
      </c>
      <c r="C48" s="28"/>
      <c r="D48" s="56" t="s">
        <v>61</v>
      </c>
      <c r="E48" s="57"/>
      <c r="F48" s="29">
        <v>0.0036</v>
      </c>
      <c r="G48" s="58">
        <f>G47</f>
        <v>1028.6</v>
      </c>
      <c r="H48" s="27">
        <f>G48*F48</f>
        <v>3.7029599999999996</v>
      </c>
      <c r="I48" s="28"/>
      <c r="J48" s="29">
        <f>'[5]13. Final 2014 RTS Rates'!$H$26</f>
        <v>0.004150792266205902</v>
      </c>
      <c r="K48" s="59">
        <f>K47</f>
        <v>1033.5</v>
      </c>
      <c r="L48" s="27">
        <f>K48*J48</f>
        <v>4.2898438071238</v>
      </c>
      <c r="M48" s="28"/>
      <c r="N48" s="31">
        <f t="shared" si="2"/>
        <v>0.5868838071238005</v>
      </c>
      <c r="O48" s="32">
        <f t="shared" si="8"/>
        <v>0.15849045280634966</v>
      </c>
    </row>
    <row r="49" spans="2:15" ht="25.5">
      <c r="B49" s="50" t="s">
        <v>30</v>
      </c>
      <c r="C49" s="36"/>
      <c r="D49" s="36"/>
      <c r="E49" s="36"/>
      <c r="F49" s="61"/>
      <c r="G49" s="53"/>
      <c r="H49" s="54">
        <f>SUM(H46:H48)</f>
        <v>42.33339199999998</v>
      </c>
      <c r="I49" s="62"/>
      <c r="J49" s="63"/>
      <c r="K49" s="64"/>
      <c r="L49" s="54">
        <f>SUM(L46:L48)</f>
        <v>43.6487418003972</v>
      </c>
      <c r="M49" s="62"/>
      <c r="N49" s="44">
        <f t="shared" si="2"/>
        <v>1.3153498003972146</v>
      </c>
      <c r="O49" s="45">
        <f t="shared" si="8"/>
        <v>0.03107121206817576</v>
      </c>
    </row>
    <row r="50" spans="2:15" ht="30">
      <c r="B50" s="65" t="s">
        <v>31</v>
      </c>
      <c r="C50" s="22"/>
      <c r="D50" s="23" t="s">
        <v>61</v>
      </c>
      <c r="E50" s="24"/>
      <c r="F50" s="66">
        <v>0.0044</v>
      </c>
      <c r="G50" s="58">
        <f>G48</f>
        <v>1028.6</v>
      </c>
      <c r="H50" s="67">
        <f aca="true" t="shared" si="9" ref="H50:H56">G50*F50</f>
        <v>4.52584</v>
      </c>
      <c r="I50" s="28"/>
      <c r="J50" s="68">
        <v>0.0044</v>
      </c>
      <c r="K50" s="59">
        <f>K48</f>
        <v>1033.5</v>
      </c>
      <c r="L50" s="67">
        <f aca="true" t="shared" si="10" ref="L50:L56">K50*J50</f>
        <v>4.5474000000000006</v>
      </c>
      <c r="M50" s="28"/>
      <c r="N50" s="31">
        <f t="shared" si="2"/>
        <v>0.021560000000000912</v>
      </c>
      <c r="O50" s="69">
        <f t="shared" si="8"/>
        <v>0.004763756562317915</v>
      </c>
    </row>
    <row r="51" spans="2:15" ht="15">
      <c r="B51" s="65" t="s">
        <v>32</v>
      </c>
      <c r="C51" s="22"/>
      <c r="D51" s="23" t="s">
        <v>61</v>
      </c>
      <c r="E51" s="24"/>
      <c r="F51" s="66">
        <v>0.0012</v>
      </c>
      <c r="G51" s="58">
        <f>G48</f>
        <v>1028.6</v>
      </c>
      <c r="H51" s="67">
        <f t="shared" si="9"/>
        <v>1.2343199999999999</v>
      </c>
      <c r="I51" s="28"/>
      <c r="J51" s="68">
        <v>0.0012</v>
      </c>
      <c r="K51" s="59">
        <f>K48</f>
        <v>1033.5</v>
      </c>
      <c r="L51" s="67">
        <f t="shared" si="10"/>
        <v>1.2402</v>
      </c>
      <c r="M51" s="28"/>
      <c r="N51" s="31">
        <f t="shared" si="2"/>
        <v>0.005880000000000107</v>
      </c>
      <c r="O51" s="69">
        <f t="shared" si="8"/>
        <v>0.004763756562317801</v>
      </c>
    </row>
    <row r="52" spans="2:15" ht="15">
      <c r="B52" s="22" t="s">
        <v>33</v>
      </c>
      <c r="C52" s="22"/>
      <c r="D52" s="23" t="s">
        <v>60</v>
      </c>
      <c r="E52" s="24"/>
      <c r="F52" s="177">
        <v>0.25</v>
      </c>
      <c r="G52" s="26">
        <v>1</v>
      </c>
      <c r="H52" s="67">
        <f t="shared" si="9"/>
        <v>0.25</v>
      </c>
      <c r="I52" s="28"/>
      <c r="J52" s="178">
        <v>0.25</v>
      </c>
      <c r="K52" s="30">
        <v>1</v>
      </c>
      <c r="L52" s="67">
        <f t="shared" si="10"/>
        <v>0.25</v>
      </c>
      <c r="M52" s="28"/>
      <c r="N52" s="31">
        <f t="shared" si="2"/>
        <v>0</v>
      </c>
      <c r="O52" s="69">
        <f t="shared" si="8"/>
        <v>0</v>
      </c>
    </row>
    <row r="53" spans="2:15" ht="15">
      <c r="B53" s="22" t="s">
        <v>34</v>
      </c>
      <c r="C53" s="22"/>
      <c r="D53" s="23" t="s">
        <v>61</v>
      </c>
      <c r="E53" s="24"/>
      <c r="F53" s="66">
        <v>0.007</v>
      </c>
      <c r="G53" s="70">
        <f>F16</f>
        <v>1000</v>
      </c>
      <c r="H53" s="67">
        <f t="shared" si="9"/>
        <v>7</v>
      </c>
      <c r="I53" s="28"/>
      <c r="J53" s="68">
        <f>0.007</f>
        <v>0.007</v>
      </c>
      <c r="K53" s="71">
        <f>F16</f>
        <v>1000</v>
      </c>
      <c r="L53" s="67">
        <f t="shared" si="10"/>
        <v>7</v>
      </c>
      <c r="M53" s="28"/>
      <c r="N53" s="31">
        <f t="shared" si="2"/>
        <v>0</v>
      </c>
      <c r="O53" s="69">
        <f t="shared" si="8"/>
        <v>0</v>
      </c>
    </row>
    <row r="54" spans="2:19" ht="15">
      <c r="B54" s="49" t="s">
        <v>35</v>
      </c>
      <c r="C54" s="22"/>
      <c r="D54" s="23" t="s">
        <v>61</v>
      </c>
      <c r="E54" s="24"/>
      <c r="F54" s="72">
        <v>0.072</v>
      </c>
      <c r="G54" s="70">
        <f>0.64*$F$16</f>
        <v>640</v>
      </c>
      <c r="H54" s="67">
        <f t="shared" si="9"/>
        <v>46.08</v>
      </c>
      <c r="I54" s="28"/>
      <c r="J54" s="66">
        <v>0.072</v>
      </c>
      <c r="K54" s="70">
        <f>G54</f>
        <v>640</v>
      </c>
      <c r="L54" s="67">
        <f t="shared" si="10"/>
        <v>46.08</v>
      </c>
      <c r="M54" s="28"/>
      <c r="N54" s="31">
        <f t="shared" si="2"/>
        <v>0</v>
      </c>
      <c r="O54" s="69">
        <f t="shared" si="8"/>
        <v>0</v>
      </c>
      <c r="S54" s="73"/>
    </row>
    <row r="55" spans="2:19" ht="15">
      <c r="B55" s="49" t="s">
        <v>36</v>
      </c>
      <c r="C55" s="22"/>
      <c r="D55" s="23" t="s">
        <v>61</v>
      </c>
      <c r="E55" s="24"/>
      <c r="F55" s="72">
        <v>0.109</v>
      </c>
      <c r="G55" s="70">
        <f>0.18*$F$16</f>
        <v>180</v>
      </c>
      <c r="H55" s="67">
        <f t="shared" si="9"/>
        <v>19.62</v>
      </c>
      <c r="I55" s="28"/>
      <c r="J55" s="66">
        <v>0.109</v>
      </c>
      <c r="K55" s="70">
        <f>G55</f>
        <v>180</v>
      </c>
      <c r="L55" s="67">
        <f t="shared" si="10"/>
        <v>19.62</v>
      </c>
      <c r="M55" s="28"/>
      <c r="N55" s="31">
        <f t="shared" si="2"/>
        <v>0</v>
      </c>
      <c r="O55" s="69">
        <f t="shared" si="8"/>
        <v>0</v>
      </c>
      <c r="S55" s="73"/>
    </row>
    <row r="56" spans="2:19" ht="15">
      <c r="B56" s="12" t="s">
        <v>37</v>
      </c>
      <c r="C56" s="22"/>
      <c r="D56" s="23" t="s">
        <v>61</v>
      </c>
      <c r="E56" s="24"/>
      <c r="F56" s="72">
        <v>0.129</v>
      </c>
      <c r="G56" s="70">
        <f>0.18*$F$16</f>
        <v>180</v>
      </c>
      <c r="H56" s="67">
        <f t="shared" si="9"/>
        <v>23.22</v>
      </c>
      <c r="I56" s="28"/>
      <c r="J56" s="66">
        <v>0.129</v>
      </c>
      <c r="K56" s="70">
        <f>G56</f>
        <v>180</v>
      </c>
      <c r="L56" s="67">
        <f t="shared" si="10"/>
        <v>23.22</v>
      </c>
      <c r="M56" s="28"/>
      <c r="N56" s="31">
        <f t="shared" si="2"/>
        <v>0</v>
      </c>
      <c r="O56" s="69">
        <f t="shared" si="8"/>
        <v>0</v>
      </c>
      <c r="S56" s="73"/>
    </row>
    <row r="57" spans="2:15" s="74" customFormat="1" ht="15">
      <c r="B57" s="75" t="s">
        <v>38</v>
      </c>
      <c r="C57" s="76"/>
      <c r="D57" s="77" t="s">
        <v>61</v>
      </c>
      <c r="E57" s="78"/>
      <c r="F57" s="72">
        <v>0.083</v>
      </c>
      <c r="G57" s="79">
        <f>IF(AND($T$1=1,F16&gt;=600),600,IF(AND($T$1=1,AND(F16&lt;600,F16&gt;=0)),F16,IF(AND($T$1=2,F16&gt;=1000),1000,IF(AND($T$1=2,AND(F16&lt;1000,F16&gt;=0)),F16))))</f>
        <v>600</v>
      </c>
      <c r="H57" s="67">
        <f>G57*F57</f>
        <v>49.800000000000004</v>
      </c>
      <c r="I57" s="80"/>
      <c r="J57" s="66">
        <v>0.083</v>
      </c>
      <c r="K57" s="79">
        <f>G57</f>
        <v>600</v>
      </c>
      <c r="L57" s="67">
        <f>K57*J57</f>
        <v>49.800000000000004</v>
      </c>
      <c r="M57" s="80"/>
      <c r="N57" s="81">
        <f t="shared" si="2"/>
        <v>0</v>
      </c>
      <c r="O57" s="69">
        <f t="shared" si="8"/>
        <v>0</v>
      </c>
    </row>
    <row r="58" spans="2:15" s="74" customFormat="1" ht="15.75" thickBot="1">
      <c r="B58" s="75" t="s">
        <v>39</v>
      </c>
      <c r="C58" s="76"/>
      <c r="D58" s="77" t="s">
        <v>61</v>
      </c>
      <c r="E58" s="78"/>
      <c r="F58" s="72">
        <v>0.097</v>
      </c>
      <c r="G58" s="79">
        <f>IF(AND($T$1=1,F16&gt;=600),F16-600,IF(AND($T$1=1,AND(F16&lt;600,F16&gt;=0)),0,IF(AND($T$1=2,F16&gt;=1000),F16-1000,IF(AND($T$1=2,AND(F16&lt;1000,F16&gt;=0)),0))))</f>
        <v>400</v>
      </c>
      <c r="H58" s="67">
        <f>G58*F58</f>
        <v>38.800000000000004</v>
      </c>
      <c r="I58" s="80"/>
      <c r="J58" s="66">
        <v>0.097</v>
      </c>
      <c r="K58" s="79">
        <f>G58</f>
        <v>400</v>
      </c>
      <c r="L58" s="67">
        <f>K58*J58</f>
        <v>38.800000000000004</v>
      </c>
      <c r="M58" s="80"/>
      <c r="N58" s="81">
        <f t="shared" si="2"/>
        <v>0</v>
      </c>
      <c r="O58" s="69">
        <f t="shared" si="8"/>
        <v>0</v>
      </c>
    </row>
    <row r="59" spans="2:15" ht="8.25" customHeight="1" thickBot="1">
      <c r="B59" s="82"/>
      <c r="C59" s="83"/>
      <c r="D59" s="84"/>
      <c r="E59" s="83"/>
      <c r="F59" s="85"/>
      <c r="G59" s="86"/>
      <c r="H59" s="87"/>
      <c r="I59" s="88"/>
      <c r="J59" s="85"/>
      <c r="K59" s="89"/>
      <c r="L59" s="87"/>
      <c r="M59" s="88"/>
      <c r="N59" s="90"/>
      <c r="O59" s="91"/>
    </row>
    <row r="60" spans="2:19" ht="15">
      <c r="B60" s="92" t="s">
        <v>40</v>
      </c>
      <c r="C60" s="22"/>
      <c r="D60" s="22"/>
      <c r="E60" s="22"/>
      <c r="F60" s="93"/>
      <c r="G60" s="94"/>
      <c r="H60" s="95">
        <f>SUM(H50:H56,H49)</f>
        <v>144.26355199999998</v>
      </c>
      <c r="I60" s="96"/>
      <c r="J60" s="97"/>
      <c r="K60" s="97"/>
      <c r="L60" s="191">
        <f>SUM(L50:L56,L49)</f>
        <v>145.6063418003972</v>
      </c>
      <c r="M60" s="98"/>
      <c r="N60" s="99">
        <f>L60-H60</f>
        <v>1.3427898003972132</v>
      </c>
      <c r="O60" s="100">
        <f>IF((H60)=0,"",(N60/H60))</f>
        <v>0.009307893655614507</v>
      </c>
      <c r="S60" s="73"/>
    </row>
    <row r="61" spans="2:19" ht="15">
      <c r="B61" s="101" t="s">
        <v>41</v>
      </c>
      <c r="C61" s="22"/>
      <c r="D61" s="22"/>
      <c r="E61" s="22"/>
      <c r="F61" s="102">
        <v>0.13</v>
      </c>
      <c r="G61" s="103"/>
      <c r="H61" s="104">
        <f>H60*F61</f>
        <v>18.75426176</v>
      </c>
      <c r="I61" s="105"/>
      <c r="J61" s="106">
        <v>0.13</v>
      </c>
      <c r="K61" s="105"/>
      <c r="L61" s="107">
        <f>L60*J61</f>
        <v>18.928824434051634</v>
      </c>
      <c r="M61" s="108"/>
      <c r="N61" s="109">
        <f t="shared" si="2"/>
        <v>0.17456267405163572</v>
      </c>
      <c r="O61" s="110">
        <f t="shared" si="8"/>
        <v>0.009307893655614399</v>
      </c>
      <c r="S61" s="73"/>
    </row>
    <row r="62" spans="2:19" ht="15">
      <c r="B62" s="111" t="s">
        <v>42</v>
      </c>
      <c r="C62" s="22"/>
      <c r="D62" s="22"/>
      <c r="E62" s="22"/>
      <c r="F62" s="112"/>
      <c r="G62" s="103"/>
      <c r="H62" s="104">
        <f>H60+H61</f>
        <v>163.01781375999997</v>
      </c>
      <c r="I62" s="105"/>
      <c r="J62" s="105"/>
      <c r="K62" s="105"/>
      <c r="L62" s="107">
        <f>L60+L61</f>
        <v>164.5351662344488</v>
      </c>
      <c r="M62" s="108"/>
      <c r="N62" s="109">
        <f t="shared" si="2"/>
        <v>1.5173524744488418</v>
      </c>
      <c r="O62" s="110">
        <f t="shared" si="8"/>
        <v>0.009307893655614451</v>
      </c>
      <c r="S62" s="73"/>
    </row>
    <row r="63" spans="2:15" ht="15.75" customHeight="1">
      <c r="B63" s="251" t="s">
        <v>43</v>
      </c>
      <c r="C63" s="251"/>
      <c r="D63" s="251"/>
      <c r="E63" s="22"/>
      <c r="F63" s="112"/>
      <c r="G63" s="103"/>
      <c r="H63" s="113">
        <f>ROUND(-H62*10%,2)</f>
        <v>-16.3</v>
      </c>
      <c r="I63" s="105"/>
      <c r="J63" s="105"/>
      <c r="K63" s="105"/>
      <c r="L63" s="114">
        <f>ROUND(-L62*10%,2)</f>
        <v>-16.45</v>
      </c>
      <c r="M63" s="108"/>
      <c r="N63" s="115">
        <f t="shared" si="2"/>
        <v>-0.14999999999999858</v>
      </c>
      <c r="O63" s="116">
        <f t="shared" si="8"/>
        <v>0.009202453987729974</v>
      </c>
    </row>
    <row r="64" spans="2:15" ht="15.75" thickBot="1">
      <c r="B64" s="233" t="s">
        <v>44</v>
      </c>
      <c r="C64" s="233"/>
      <c r="D64" s="233"/>
      <c r="E64" s="117"/>
      <c r="F64" s="118"/>
      <c r="G64" s="119"/>
      <c r="H64" s="120">
        <f>H62+H63</f>
        <v>146.71781375999996</v>
      </c>
      <c r="I64" s="121"/>
      <c r="J64" s="121"/>
      <c r="K64" s="121"/>
      <c r="L64" s="122">
        <f>L62+L63</f>
        <v>148.08516623444882</v>
      </c>
      <c r="M64" s="123"/>
      <c r="N64" s="124">
        <f t="shared" si="2"/>
        <v>1.3673524744488645</v>
      </c>
      <c r="O64" s="125">
        <f t="shared" si="8"/>
        <v>0.009319607751827401</v>
      </c>
    </row>
    <row r="65" spans="2:15" s="74" customFormat="1" ht="8.25" customHeight="1" thickBot="1">
      <c r="B65" s="126"/>
      <c r="C65" s="127"/>
      <c r="D65" s="128"/>
      <c r="E65" s="127"/>
      <c r="F65" s="85"/>
      <c r="G65" s="129"/>
      <c r="H65" s="87"/>
      <c r="I65" s="130"/>
      <c r="J65" s="85"/>
      <c r="K65" s="131"/>
      <c r="L65" s="87"/>
      <c r="M65" s="130"/>
      <c r="N65" s="132"/>
      <c r="O65" s="91"/>
    </row>
    <row r="66" spans="2:15" s="74" customFormat="1" ht="12.75">
      <c r="B66" s="133" t="s">
        <v>45</v>
      </c>
      <c r="C66" s="76"/>
      <c r="D66" s="76"/>
      <c r="E66" s="76"/>
      <c r="F66" s="134"/>
      <c r="G66" s="135"/>
      <c r="H66" s="136">
        <f>SUM(H57:H58,H49,H50:H53)</f>
        <v>143.94355199999998</v>
      </c>
      <c r="I66" s="137"/>
      <c r="J66" s="138"/>
      <c r="K66" s="138"/>
      <c r="L66" s="190">
        <f>SUM(L57:L58,L49,L50:L53)</f>
        <v>145.2863418003972</v>
      </c>
      <c r="M66" s="139"/>
      <c r="N66" s="140">
        <f>L66-H66</f>
        <v>1.3427898003972132</v>
      </c>
      <c r="O66" s="100">
        <f>IF((H66)=0,"",(N66/H66))</f>
        <v>0.009328585975127342</v>
      </c>
    </row>
    <row r="67" spans="2:15" s="74" customFormat="1" ht="12.75">
      <c r="B67" s="141" t="s">
        <v>41</v>
      </c>
      <c r="C67" s="76"/>
      <c r="D67" s="76"/>
      <c r="E67" s="76"/>
      <c r="F67" s="142">
        <v>0.13</v>
      </c>
      <c r="G67" s="135"/>
      <c r="H67" s="143">
        <f>H66*F67</f>
        <v>18.71266176</v>
      </c>
      <c r="I67" s="144"/>
      <c r="J67" s="145">
        <v>0.13</v>
      </c>
      <c r="K67" s="146"/>
      <c r="L67" s="147">
        <f>L66*J67</f>
        <v>18.887224434051635</v>
      </c>
      <c r="M67" s="148"/>
      <c r="N67" s="149">
        <f>L67-H67</f>
        <v>0.17456267405163572</v>
      </c>
      <c r="O67" s="110">
        <f>IF((H67)=0,"",(N67/H67))</f>
        <v>0.009328585975127235</v>
      </c>
    </row>
    <row r="68" spans="2:15" s="74" customFormat="1" ht="12.75">
      <c r="B68" s="150" t="s">
        <v>42</v>
      </c>
      <c r="C68" s="76"/>
      <c r="D68" s="76"/>
      <c r="E68" s="76"/>
      <c r="F68" s="151"/>
      <c r="G68" s="152"/>
      <c r="H68" s="143">
        <f>H66+H67</f>
        <v>162.65621375999999</v>
      </c>
      <c r="I68" s="144"/>
      <c r="J68" s="144"/>
      <c r="K68" s="144"/>
      <c r="L68" s="147">
        <f>L66+L67</f>
        <v>164.17356623444883</v>
      </c>
      <c r="M68" s="148"/>
      <c r="N68" s="149">
        <f>L68-H68</f>
        <v>1.5173524744488418</v>
      </c>
      <c r="O68" s="110">
        <f>IF((H68)=0,"",(N68/H68))</f>
        <v>0.009328585975127287</v>
      </c>
    </row>
    <row r="69" spans="2:15" s="74" customFormat="1" ht="15.75" customHeight="1">
      <c r="B69" s="239" t="s">
        <v>43</v>
      </c>
      <c r="C69" s="239"/>
      <c r="D69" s="239"/>
      <c r="E69" s="76"/>
      <c r="F69" s="151"/>
      <c r="G69" s="152"/>
      <c r="H69" s="153">
        <f>ROUND(-H68*10%,2)</f>
        <v>-16.27</v>
      </c>
      <c r="I69" s="144"/>
      <c r="J69" s="144"/>
      <c r="K69" s="144"/>
      <c r="L69" s="154">
        <f>ROUND(-L68*10%,2)</f>
        <v>-16.42</v>
      </c>
      <c r="M69" s="148"/>
      <c r="N69" s="155">
        <f>L69-H69</f>
        <v>-0.15000000000000213</v>
      </c>
      <c r="O69" s="116">
        <f>IF((H69)=0,"",(N69/H69))</f>
        <v>0.00921942224953916</v>
      </c>
    </row>
    <row r="70" spans="2:15" s="74" customFormat="1" ht="13.5" thickBot="1">
      <c r="B70" s="244" t="s">
        <v>46</v>
      </c>
      <c r="C70" s="244"/>
      <c r="D70" s="244"/>
      <c r="E70" s="156"/>
      <c r="F70" s="157"/>
      <c r="G70" s="158"/>
      <c r="H70" s="159">
        <f>SUM(H68:H69)</f>
        <v>146.38621375999998</v>
      </c>
      <c r="I70" s="160"/>
      <c r="J70" s="160"/>
      <c r="K70" s="160"/>
      <c r="L70" s="161">
        <f>SUM(L68:L69)</f>
        <v>147.75356623444884</v>
      </c>
      <c r="M70" s="162"/>
      <c r="N70" s="163">
        <f>L70-H70</f>
        <v>1.3673524744488645</v>
      </c>
      <c r="O70" s="164">
        <f>IF((H70)=0,"",(N70/H70))</f>
        <v>0.00934071890602101</v>
      </c>
    </row>
    <row r="71" spans="2:15" s="74" customFormat="1" ht="8.25" customHeight="1" thickBot="1">
      <c r="B71" s="126"/>
      <c r="C71" s="127"/>
      <c r="D71" s="128"/>
      <c r="E71" s="127"/>
      <c r="F71" s="165"/>
      <c r="G71" s="166"/>
      <c r="H71" s="167"/>
      <c r="I71" s="168"/>
      <c r="J71" s="165"/>
      <c r="K71" s="129"/>
      <c r="L71" s="169"/>
      <c r="M71" s="130"/>
      <c r="N71" s="170"/>
      <c r="O71" s="91"/>
    </row>
    <row r="72" ht="10.5" customHeight="1">
      <c r="L72" s="73"/>
    </row>
    <row r="73" spans="2:10" ht="15">
      <c r="B73" s="13" t="s">
        <v>47</v>
      </c>
      <c r="F73" s="171">
        <v>0.0286</v>
      </c>
      <c r="J73" s="171">
        <v>0.0335</v>
      </c>
    </row>
    <row r="74" ht="10.5" customHeight="1"/>
    <row r="75" ht="15">
      <c r="A75" s="172" t="s">
        <v>48</v>
      </c>
    </row>
    <row r="76" ht="10.5" customHeight="1"/>
    <row r="77" ht="15">
      <c r="A77" s="7" t="s">
        <v>49</v>
      </c>
    </row>
    <row r="78" ht="15">
      <c r="A78" s="7" t="s">
        <v>50</v>
      </c>
    </row>
    <row r="80" ht="15">
      <c r="A80" s="12" t="s">
        <v>51</v>
      </c>
    </row>
    <row r="81" ht="15">
      <c r="A81" s="12" t="s">
        <v>52</v>
      </c>
    </row>
    <row r="83" ht="15">
      <c r="A83" s="7" t="s">
        <v>53</v>
      </c>
    </row>
    <row r="84" ht="15">
      <c r="A84" s="7" t="s">
        <v>54</v>
      </c>
    </row>
    <row r="85" ht="15">
      <c r="A85" s="7" t="s">
        <v>55</v>
      </c>
    </row>
    <row r="86" ht="15">
      <c r="A86" s="7" t="s">
        <v>56</v>
      </c>
    </row>
    <row r="87" ht="15">
      <c r="A87" s="7" t="s">
        <v>57</v>
      </c>
    </row>
    <row r="89" spans="1:2" ht="15">
      <c r="A89" s="173"/>
      <c r="B89" s="7" t="s">
        <v>58</v>
      </c>
    </row>
  </sheetData>
  <sheetProtection/>
  <mergeCells count="17">
    <mergeCell ref="B69:D69"/>
    <mergeCell ref="F18:H18"/>
    <mergeCell ref="J18:L18"/>
    <mergeCell ref="N18:O18"/>
    <mergeCell ref="N3:O3"/>
    <mergeCell ref="B70:D70"/>
    <mergeCell ref="D19:D20"/>
    <mergeCell ref="N19:N20"/>
    <mergeCell ref="O19:O20"/>
    <mergeCell ref="B63:D63"/>
    <mergeCell ref="B64:D64"/>
    <mergeCell ref="N1:O1"/>
    <mergeCell ref="N2:O2"/>
    <mergeCell ref="N5:O5"/>
    <mergeCell ref="B8:O8"/>
    <mergeCell ref="B9:O9"/>
    <mergeCell ref="D12:O12"/>
  </mergeCells>
  <dataValidations count="4">
    <dataValidation type="list" allowBlank="1" showInputMessage="1" showErrorMessage="1" sqref="E47:E48 E50:E56 E59 E38:E45 E21:E36">
      <formula1>'Res (1,000kWh)'!#REF!</formula1>
    </dataValidation>
    <dataValidation type="list" allowBlank="1" showInputMessage="1" showErrorMessage="1" prompt="Select Charge Unit - monthly, per kWh, per kW" sqref="D47:D48 D65 D71 D50:D59 D38:D45 D21:D36">
      <formula1>"Monthly, per kWh, per kW"</formula1>
    </dataValidation>
    <dataValidation type="list" allowBlank="1" showInputMessage="1" showErrorMessage="1" sqref="E71 E65 E57:E58">
      <formula1>'Res (1,000kWh)'!#REF!</formula1>
    </dataValidation>
    <dataValidation type="list" allowBlank="1" showInputMessage="1" showErrorMessage="1" sqref="D14">
      <formula1>"TOU, non-TOU"</formula1>
    </dataValidation>
  </dataValidations>
  <printOptions/>
  <pageMargins left="0.7" right="0.7" top="0.75" bottom="0.75" header="0.3" footer="0.3"/>
  <pageSetup fitToHeight="0" fitToWidth="1" horizontalDpi="600" verticalDpi="600" orientation="portrait" scale="5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9"/>
  <sheetViews>
    <sheetView showGridLines="0" zoomScalePageLayoutView="0" workbookViewId="0" topLeftCell="A1">
      <selection activeCell="J3" sqref="J3"/>
    </sheetView>
  </sheetViews>
  <sheetFormatPr defaultColWidth="9.140625" defaultRowHeight="15"/>
  <cols>
    <col min="1" max="1" width="2.140625" style="7" customWidth="1"/>
    <col min="2" max="2" width="44.57421875" style="7" customWidth="1"/>
    <col min="3" max="3" width="1.28515625" style="7" customWidth="1"/>
    <col min="4" max="4" width="11.28125" style="7" customWidth="1"/>
    <col min="5" max="5" width="1.28515625" style="7" customWidth="1"/>
    <col min="6" max="6" width="12.28125" style="7" customWidth="1"/>
    <col min="7" max="7" width="8.57421875" style="7" customWidth="1"/>
    <col min="8" max="8" width="9.7109375" style="7" customWidth="1"/>
    <col min="9" max="9" width="2.8515625" style="7" customWidth="1"/>
    <col min="10" max="10" width="12.140625" style="7" customWidth="1"/>
    <col min="11" max="11" width="8.57421875" style="7" customWidth="1"/>
    <col min="12" max="12" width="9.7109375" style="7" customWidth="1"/>
    <col min="13" max="13" width="2.8515625" style="7" customWidth="1"/>
    <col min="14" max="14" width="12.7109375" style="7" bestFit="1" customWidth="1"/>
    <col min="15" max="15" width="10.8515625" style="7" bestFit="1" customWidth="1"/>
    <col min="16" max="16" width="7.57421875" style="7" customWidth="1"/>
    <col min="17" max="20" width="9.140625" style="7" customWidth="1"/>
    <col min="21" max="16384" width="9.140625" style="7" customWidth="1"/>
  </cols>
  <sheetData>
    <row r="1" spans="1:20" s="2" customFormat="1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234" t="str">
        <f>EBNUMBER</f>
        <v>EB-2013-0116</v>
      </c>
      <c r="O1" s="234"/>
      <c r="P1" s="195"/>
      <c r="T1" s="2">
        <v>1</v>
      </c>
    </row>
    <row r="2" spans="1:16" s="2" customFormat="1" ht="1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110</v>
      </c>
      <c r="N2" s="235" t="s">
        <v>111</v>
      </c>
      <c r="O2" s="235"/>
      <c r="P2" s="196"/>
    </row>
    <row r="3" spans="3:16" s="2" customFormat="1" ht="15" customHeight="1">
      <c r="C3" s="6"/>
      <c r="D3" s="6"/>
      <c r="E3" s="6"/>
      <c r="L3" s="3" t="s">
        <v>78</v>
      </c>
      <c r="N3" s="236" t="s">
        <v>84</v>
      </c>
      <c r="O3" s="236"/>
      <c r="P3" s="195"/>
    </row>
    <row r="4" spans="12:16" s="2" customFormat="1" ht="9" customHeight="1">
      <c r="L4" s="3"/>
      <c r="N4" s="252"/>
      <c r="O4" s="252"/>
      <c r="P4" s="197"/>
    </row>
    <row r="5" spans="12:16" s="2" customFormat="1" ht="15">
      <c r="L5" s="3" t="s">
        <v>100</v>
      </c>
      <c r="N5" s="237">
        <v>41695</v>
      </c>
      <c r="O5" s="237"/>
      <c r="P5" s="195"/>
    </row>
    <row r="6" spans="14:16" s="2" customFormat="1" ht="15" customHeight="1">
      <c r="N6" s="7"/>
      <c r="O6"/>
      <c r="P6"/>
    </row>
    <row r="7" spans="12:16" ht="7.5" customHeight="1">
      <c r="L7"/>
      <c r="M7"/>
      <c r="N7"/>
      <c r="O7"/>
      <c r="P7"/>
    </row>
    <row r="8" spans="2:16" ht="18.75" customHeight="1">
      <c r="B8" s="238" t="s">
        <v>1</v>
      </c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/>
    </row>
    <row r="9" spans="2:16" ht="18.75" customHeight="1">
      <c r="B9" s="238" t="s">
        <v>2</v>
      </c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/>
    </row>
    <row r="10" spans="12:16" ht="7.5" customHeight="1">
      <c r="L10"/>
      <c r="M10"/>
      <c r="N10"/>
      <c r="O10"/>
      <c r="P10"/>
    </row>
    <row r="11" spans="12:16" ht="7.5" customHeight="1">
      <c r="L11"/>
      <c r="M11"/>
      <c r="N11"/>
      <c r="O11"/>
      <c r="P11"/>
    </row>
    <row r="12" spans="2:15" ht="15.75">
      <c r="B12" s="8" t="s">
        <v>3</v>
      </c>
      <c r="D12" s="240" t="s">
        <v>59</v>
      </c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</row>
    <row r="13" spans="2:15" ht="7.5" customHeight="1">
      <c r="B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2:15" ht="15.75">
      <c r="B14" s="8" t="s">
        <v>4</v>
      </c>
      <c r="D14" s="11" t="s">
        <v>5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2:15" ht="15.75">
      <c r="B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2:7" ht="15">
      <c r="B16" s="12"/>
      <c r="D16" s="13" t="s">
        <v>6</v>
      </c>
      <c r="E16" s="13"/>
      <c r="F16" s="14">
        <v>1500</v>
      </c>
      <c r="G16" s="13" t="s">
        <v>7</v>
      </c>
    </row>
    <row r="17" ht="15">
      <c r="B17" s="12"/>
    </row>
    <row r="18" spans="2:15" ht="15">
      <c r="B18" s="12"/>
      <c r="D18" s="15"/>
      <c r="E18" s="15"/>
      <c r="F18" s="241" t="s">
        <v>8</v>
      </c>
      <c r="G18" s="242"/>
      <c r="H18" s="243"/>
      <c r="J18" s="241" t="s">
        <v>9</v>
      </c>
      <c r="K18" s="242"/>
      <c r="L18" s="243"/>
      <c r="N18" s="241" t="s">
        <v>10</v>
      </c>
      <c r="O18" s="243"/>
    </row>
    <row r="19" spans="2:15" ht="15">
      <c r="B19" s="12"/>
      <c r="D19" s="245" t="s">
        <v>11</v>
      </c>
      <c r="E19" s="16"/>
      <c r="F19" s="17" t="s">
        <v>12</v>
      </c>
      <c r="G19" s="17" t="s">
        <v>13</v>
      </c>
      <c r="H19" s="18" t="s">
        <v>14</v>
      </c>
      <c r="J19" s="17" t="s">
        <v>12</v>
      </c>
      <c r="K19" s="19" t="s">
        <v>13</v>
      </c>
      <c r="L19" s="18" t="s">
        <v>14</v>
      </c>
      <c r="N19" s="247" t="s">
        <v>15</v>
      </c>
      <c r="O19" s="249" t="s">
        <v>16</v>
      </c>
    </row>
    <row r="20" spans="2:15" ht="15">
      <c r="B20" s="12"/>
      <c r="D20" s="246"/>
      <c r="E20" s="16"/>
      <c r="F20" s="20" t="s">
        <v>17</v>
      </c>
      <c r="G20" s="20"/>
      <c r="H20" s="21" t="s">
        <v>17</v>
      </c>
      <c r="J20" s="20" t="s">
        <v>17</v>
      </c>
      <c r="K20" s="21"/>
      <c r="L20" s="21" t="s">
        <v>17</v>
      </c>
      <c r="N20" s="248"/>
      <c r="O20" s="250"/>
    </row>
    <row r="21" spans="2:15" ht="22.5" customHeight="1">
      <c r="B21" s="22" t="s">
        <v>18</v>
      </c>
      <c r="C21" s="22"/>
      <c r="D21" s="23" t="s">
        <v>60</v>
      </c>
      <c r="E21" s="24"/>
      <c r="F21" s="175">
        <f>'[2]2013 Existing Rates'!$C$6</f>
        <v>10.09</v>
      </c>
      <c r="G21" s="26">
        <v>1</v>
      </c>
      <c r="H21" s="27">
        <f>G21*F21</f>
        <v>10.09</v>
      </c>
      <c r="I21" s="28"/>
      <c r="J21" s="174">
        <f>'[3]Rate Schedule '!$E$10</f>
        <v>16.58</v>
      </c>
      <c r="K21" s="30">
        <v>1</v>
      </c>
      <c r="L21" s="27">
        <f>K21*J21</f>
        <v>16.58</v>
      </c>
      <c r="M21" s="28"/>
      <c r="N21" s="31">
        <f>L21-H21</f>
        <v>6.489999999999998</v>
      </c>
      <c r="O21" s="32">
        <f>IF((H21)=0,"",(N21/H21))</f>
        <v>0.6432111000991079</v>
      </c>
    </row>
    <row r="22" spans="2:15" ht="36.75" customHeight="1">
      <c r="B22" s="65" t="s">
        <v>62</v>
      </c>
      <c r="C22" s="22"/>
      <c r="D22" s="56" t="s">
        <v>60</v>
      </c>
      <c r="E22" s="24"/>
      <c r="F22" s="174">
        <v>0.01</v>
      </c>
      <c r="G22" s="26">
        <v>1</v>
      </c>
      <c r="H22" s="27">
        <f aca="true" t="shared" si="0" ref="H22:H36">G22*F22</f>
        <v>0.01</v>
      </c>
      <c r="I22" s="28"/>
      <c r="J22" s="29"/>
      <c r="K22" s="30">
        <v>1</v>
      </c>
      <c r="L22" s="27">
        <f>K22*J22</f>
        <v>0</v>
      </c>
      <c r="M22" s="28"/>
      <c r="N22" s="31">
        <f>L22-H22</f>
        <v>-0.01</v>
      </c>
      <c r="O22" s="32">
        <f>IF((H22)=0,"",(N22/H22))</f>
        <v>-1</v>
      </c>
    </row>
    <row r="23" spans="2:15" ht="36.75" customHeight="1">
      <c r="B23" s="176" t="s">
        <v>63</v>
      </c>
      <c r="C23" s="22"/>
      <c r="D23" s="56" t="s">
        <v>60</v>
      </c>
      <c r="E23" s="57"/>
      <c r="F23" s="174">
        <v>2.22</v>
      </c>
      <c r="G23" s="26">
        <v>1</v>
      </c>
      <c r="H23" s="27">
        <f t="shared" si="0"/>
        <v>2.22</v>
      </c>
      <c r="I23" s="28"/>
      <c r="J23" s="29"/>
      <c r="K23" s="30">
        <v>1</v>
      </c>
      <c r="L23" s="27">
        <f aca="true" t="shared" si="1" ref="L23:L36">K23*J23</f>
        <v>0</v>
      </c>
      <c r="M23" s="28"/>
      <c r="N23" s="31">
        <f aca="true" t="shared" si="2" ref="N23:N64">L23-H23</f>
        <v>-2.22</v>
      </c>
      <c r="O23" s="32">
        <f aca="true" t="shared" si="3" ref="O23:O44">IF((H23)=0,"",(N23/H23))</f>
        <v>-1</v>
      </c>
    </row>
    <row r="24" spans="2:15" ht="15">
      <c r="B24" s="176" t="s">
        <v>64</v>
      </c>
      <c r="C24" s="22"/>
      <c r="D24" s="23" t="s">
        <v>60</v>
      </c>
      <c r="E24" s="24"/>
      <c r="F24" s="25"/>
      <c r="G24" s="26">
        <v>1</v>
      </c>
      <c r="H24" s="27">
        <f t="shared" si="0"/>
        <v>0</v>
      </c>
      <c r="I24" s="28"/>
      <c r="J24" s="174">
        <v>3.25</v>
      </c>
      <c r="K24" s="30">
        <v>1</v>
      </c>
      <c r="L24" s="27">
        <f t="shared" si="1"/>
        <v>3.25</v>
      </c>
      <c r="M24" s="28"/>
      <c r="N24" s="31">
        <f t="shared" si="2"/>
        <v>3.25</v>
      </c>
      <c r="O24" s="32">
        <f t="shared" si="3"/>
      </c>
    </row>
    <row r="25" spans="2:15" ht="15">
      <c r="B25" s="46" t="s">
        <v>65</v>
      </c>
      <c r="C25" s="22"/>
      <c r="D25" s="23" t="s">
        <v>61</v>
      </c>
      <c r="E25" s="24"/>
      <c r="F25" s="25">
        <v>-0.0001</v>
      </c>
      <c r="G25" s="26">
        <f>$F$16</f>
        <v>1500</v>
      </c>
      <c r="H25" s="27">
        <f t="shared" si="0"/>
        <v>-0.15</v>
      </c>
      <c r="I25" s="28"/>
      <c r="J25" s="174"/>
      <c r="K25" s="26">
        <f>$F$16</f>
        <v>1500</v>
      </c>
      <c r="L25" s="27">
        <f t="shared" si="1"/>
        <v>0</v>
      </c>
      <c r="M25" s="28"/>
      <c r="N25" s="31">
        <f t="shared" si="2"/>
        <v>0.15</v>
      </c>
      <c r="O25" s="32">
        <f t="shared" si="3"/>
        <v>-1</v>
      </c>
    </row>
    <row r="26" spans="2:15" ht="15">
      <c r="B26" s="46" t="s">
        <v>66</v>
      </c>
      <c r="C26" s="22"/>
      <c r="D26" s="23" t="s">
        <v>61</v>
      </c>
      <c r="E26" s="24"/>
      <c r="F26" s="25"/>
      <c r="G26" s="26">
        <f>$F$16</f>
        <v>1500</v>
      </c>
      <c r="H26" s="27">
        <f t="shared" si="0"/>
        <v>0</v>
      </c>
      <c r="I26" s="28"/>
      <c r="J26" s="29">
        <f>'[4]6. Rate Rider Calculations'!$F$75</f>
        <v>-0.0023955525753637957</v>
      </c>
      <c r="K26" s="26">
        <f>$F$16</f>
        <v>1500</v>
      </c>
      <c r="L26" s="27">
        <f t="shared" si="1"/>
        <v>-3.5933288630456937</v>
      </c>
      <c r="M26" s="28"/>
      <c r="N26" s="31">
        <f t="shared" si="2"/>
        <v>-3.5933288630456937</v>
      </c>
      <c r="O26" s="32">
        <f t="shared" si="3"/>
      </c>
    </row>
    <row r="27" spans="2:15" ht="15">
      <c r="B27" s="22" t="s">
        <v>19</v>
      </c>
      <c r="C27" s="22"/>
      <c r="D27" s="23" t="s">
        <v>61</v>
      </c>
      <c r="E27" s="24"/>
      <c r="F27" s="25">
        <f>'[2]2013 Existing Rates'!$E$6</f>
        <v>0.0163</v>
      </c>
      <c r="G27" s="26">
        <f>$F$16</f>
        <v>1500</v>
      </c>
      <c r="H27" s="27">
        <f t="shared" si="0"/>
        <v>24.45</v>
      </c>
      <c r="I27" s="28"/>
      <c r="J27" s="29">
        <f>'[3]Rate Schedule '!$E$11</f>
        <v>0.0119</v>
      </c>
      <c r="K27" s="26">
        <f>$F$16</f>
        <v>1500</v>
      </c>
      <c r="L27" s="27">
        <f t="shared" si="1"/>
        <v>17.85</v>
      </c>
      <c r="M27" s="28"/>
      <c r="N27" s="31">
        <f t="shared" si="2"/>
        <v>-6.599999999999998</v>
      </c>
      <c r="O27" s="32">
        <f t="shared" si="3"/>
        <v>-0.2699386503067484</v>
      </c>
    </row>
    <row r="28" spans="2:15" ht="15" hidden="1">
      <c r="B28" s="22" t="s">
        <v>20</v>
      </c>
      <c r="C28" s="22"/>
      <c r="D28" s="23"/>
      <c r="E28" s="24"/>
      <c r="F28" s="25"/>
      <c r="G28" s="26">
        <f>$F$16</f>
        <v>1500</v>
      </c>
      <c r="H28" s="27">
        <f t="shared" si="0"/>
        <v>0</v>
      </c>
      <c r="I28" s="28"/>
      <c r="J28" s="29"/>
      <c r="K28" s="26">
        <f aca="true" t="shared" si="4" ref="K28:K36">$F$16</f>
        <v>1500</v>
      </c>
      <c r="L28" s="27">
        <f t="shared" si="1"/>
        <v>0</v>
      </c>
      <c r="M28" s="28"/>
      <c r="N28" s="31">
        <f t="shared" si="2"/>
        <v>0</v>
      </c>
      <c r="O28" s="32">
        <f t="shared" si="3"/>
      </c>
    </row>
    <row r="29" spans="2:15" ht="15" hidden="1">
      <c r="B29" s="22" t="s">
        <v>21</v>
      </c>
      <c r="C29" s="22"/>
      <c r="D29" s="23"/>
      <c r="E29" s="24"/>
      <c r="F29" s="25"/>
      <c r="G29" s="26">
        <f>$F$16</f>
        <v>1500</v>
      </c>
      <c r="H29" s="27">
        <f t="shared" si="0"/>
        <v>0</v>
      </c>
      <c r="I29" s="28"/>
      <c r="J29" s="29"/>
      <c r="K29" s="26">
        <f t="shared" si="4"/>
        <v>1500</v>
      </c>
      <c r="L29" s="27">
        <f t="shared" si="1"/>
        <v>0</v>
      </c>
      <c r="M29" s="28"/>
      <c r="N29" s="31">
        <f t="shared" si="2"/>
        <v>0</v>
      </c>
      <c r="O29" s="32">
        <f t="shared" si="3"/>
      </c>
    </row>
    <row r="30" spans="2:15" ht="15" hidden="1">
      <c r="B30" s="33"/>
      <c r="C30" s="22"/>
      <c r="D30" s="23"/>
      <c r="E30" s="24"/>
      <c r="F30" s="25"/>
      <c r="G30" s="26">
        <f aca="true" t="shared" si="5" ref="G30:G36">$F$16</f>
        <v>1500</v>
      </c>
      <c r="H30" s="27">
        <f t="shared" si="0"/>
        <v>0</v>
      </c>
      <c r="I30" s="28"/>
      <c r="J30" s="29"/>
      <c r="K30" s="26">
        <f t="shared" si="4"/>
        <v>1500</v>
      </c>
      <c r="L30" s="27">
        <f t="shared" si="1"/>
        <v>0</v>
      </c>
      <c r="M30" s="28"/>
      <c r="N30" s="31">
        <f t="shared" si="2"/>
        <v>0</v>
      </c>
      <c r="O30" s="32">
        <f t="shared" si="3"/>
      </c>
    </row>
    <row r="31" spans="2:15" ht="15" hidden="1">
      <c r="B31" s="33"/>
      <c r="C31" s="22"/>
      <c r="D31" s="23"/>
      <c r="E31" s="24"/>
      <c r="F31" s="25"/>
      <c r="G31" s="26">
        <f t="shared" si="5"/>
        <v>1500</v>
      </c>
      <c r="H31" s="27">
        <f t="shared" si="0"/>
        <v>0</v>
      </c>
      <c r="I31" s="28"/>
      <c r="J31" s="29"/>
      <c r="K31" s="26">
        <f t="shared" si="4"/>
        <v>1500</v>
      </c>
      <c r="L31" s="27">
        <f t="shared" si="1"/>
        <v>0</v>
      </c>
      <c r="M31" s="28"/>
      <c r="N31" s="31">
        <f t="shared" si="2"/>
        <v>0</v>
      </c>
      <c r="O31" s="32">
        <f t="shared" si="3"/>
      </c>
    </row>
    <row r="32" spans="2:15" ht="15" hidden="1">
      <c r="B32" s="33"/>
      <c r="C32" s="22"/>
      <c r="D32" s="23"/>
      <c r="E32" s="24"/>
      <c r="F32" s="25"/>
      <c r="G32" s="26">
        <f t="shared" si="5"/>
        <v>1500</v>
      </c>
      <c r="H32" s="27">
        <f t="shared" si="0"/>
        <v>0</v>
      </c>
      <c r="I32" s="28"/>
      <c r="J32" s="29"/>
      <c r="K32" s="26">
        <f t="shared" si="4"/>
        <v>1500</v>
      </c>
      <c r="L32" s="27">
        <f t="shared" si="1"/>
        <v>0</v>
      </c>
      <c r="M32" s="28"/>
      <c r="N32" s="31">
        <f t="shared" si="2"/>
        <v>0</v>
      </c>
      <c r="O32" s="32">
        <f t="shared" si="3"/>
      </c>
    </row>
    <row r="33" spans="2:15" ht="15" hidden="1">
      <c r="B33" s="33"/>
      <c r="C33" s="22"/>
      <c r="D33" s="23"/>
      <c r="E33" s="24"/>
      <c r="F33" s="25"/>
      <c r="G33" s="26">
        <f t="shared" si="5"/>
        <v>1500</v>
      </c>
      <c r="H33" s="27">
        <f t="shared" si="0"/>
        <v>0</v>
      </c>
      <c r="I33" s="28"/>
      <c r="J33" s="29"/>
      <c r="K33" s="26">
        <f t="shared" si="4"/>
        <v>1500</v>
      </c>
      <c r="L33" s="27">
        <f t="shared" si="1"/>
        <v>0</v>
      </c>
      <c r="M33" s="28"/>
      <c r="N33" s="31">
        <f t="shared" si="2"/>
        <v>0</v>
      </c>
      <c r="O33" s="32">
        <f t="shared" si="3"/>
      </c>
    </row>
    <row r="34" spans="2:15" ht="15" hidden="1">
      <c r="B34" s="33"/>
      <c r="C34" s="22"/>
      <c r="D34" s="23"/>
      <c r="E34" s="24"/>
      <c r="F34" s="25"/>
      <c r="G34" s="26">
        <f t="shared" si="5"/>
        <v>1500</v>
      </c>
      <c r="H34" s="27">
        <f t="shared" si="0"/>
        <v>0</v>
      </c>
      <c r="I34" s="28"/>
      <c r="J34" s="29"/>
      <c r="K34" s="26">
        <f t="shared" si="4"/>
        <v>1500</v>
      </c>
      <c r="L34" s="27">
        <f t="shared" si="1"/>
        <v>0</v>
      </c>
      <c r="M34" s="28"/>
      <c r="N34" s="31">
        <f t="shared" si="2"/>
        <v>0</v>
      </c>
      <c r="O34" s="32">
        <f t="shared" si="3"/>
      </c>
    </row>
    <row r="35" spans="2:15" ht="15" hidden="1">
      <c r="B35" s="33"/>
      <c r="C35" s="22"/>
      <c r="D35" s="23"/>
      <c r="E35" s="24"/>
      <c r="F35" s="25"/>
      <c r="G35" s="26">
        <f t="shared" si="5"/>
        <v>1500</v>
      </c>
      <c r="H35" s="27">
        <f t="shared" si="0"/>
        <v>0</v>
      </c>
      <c r="I35" s="28"/>
      <c r="J35" s="29"/>
      <c r="K35" s="26">
        <f t="shared" si="4"/>
        <v>1500</v>
      </c>
      <c r="L35" s="27">
        <f t="shared" si="1"/>
        <v>0</v>
      </c>
      <c r="M35" s="28"/>
      <c r="N35" s="31">
        <f t="shared" si="2"/>
        <v>0</v>
      </c>
      <c r="O35" s="32">
        <f t="shared" si="3"/>
      </c>
    </row>
    <row r="36" spans="2:15" ht="15" hidden="1">
      <c r="B36" s="33"/>
      <c r="C36" s="22"/>
      <c r="D36" s="23"/>
      <c r="E36" s="24"/>
      <c r="F36" s="25"/>
      <c r="G36" s="26">
        <f t="shared" si="5"/>
        <v>1500</v>
      </c>
      <c r="H36" s="27">
        <f t="shared" si="0"/>
        <v>0</v>
      </c>
      <c r="I36" s="28"/>
      <c r="J36" s="29"/>
      <c r="K36" s="26">
        <f t="shared" si="4"/>
        <v>1500</v>
      </c>
      <c r="L36" s="27">
        <f t="shared" si="1"/>
        <v>0</v>
      </c>
      <c r="M36" s="28"/>
      <c r="N36" s="31">
        <f t="shared" si="2"/>
        <v>0</v>
      </c>
      <c r="O36" s="32">
        <f t="shared" si="3"/>
      </c>
    </row>
    <row r="37" spans="2:15" s="34" customFormat="1" ht="15">
      <c r="B37" s="35" t="s">
        <v>22</v>
      </c>
      <c r="C37" s="36"/>
      <c r="D37" s="37"/>
      <c r="E37" s="36"/>
      <c r="F37" s="38"/>
      <c r="G37" s="39"/>
      <c r="H37" s="40">
        <f>SUM(H21:H36)</f>
        <v>36.62</v>
      </c>
      <c r="I37" s="41"/>
      <c r="J37" s="42"/>
      <c r="K37" s="43"/>
      <c r="L37" s="40">
        <f>SUM(L21:L36)</f>
        <v>34.08667113695431</v>
      </c>
      <c r="M37" s="41"/>
      <c r="N37" s="44">
        <f t="shared" si="2"/>
        <v>-2.533328863045689</v>
      </c>
      <c r="O37" s="45">
        <f t="shared" si="3"/>
        <v>-0.06917883296137874</v>
      </c>
    </row>
    <row r="38" spans="2:15" ht="15" hidden="1">
      <c r="B38" s="176"/>
      <c r="C38" s="22"/>
      <c r="D38" s="56" t="s">
        <v>60</v>
      </c>
      <c r="E38" s="24"/>
      <c r="F38" s="25"/>
      <c r="G38" s="26">
        <v>1</v>
      </c>
      <c r="H38" s="27">
        <f>G38*F38</f>
        <v>0</v>
      </c>
      <c r="I38" s="28"/>
      <c r="J38" s="174"/>
      <c r="K38" s="30">
        <v>1</v>
      </c>
      <c r="L38" s="27">
        <f>K38*J38</f>
        <v>0</v>
      </c>
      <c r="M38" s="28"/>
      <c r="N38" s="31">
        <f>L38-H38</f>
        <v>0</v>
      </c>
      <c r="O38" s="32">
        <f>IF((H38)=0,"",(N38/H38))</f>
      </c>
    </row>
    <row r="39" spans="2:15" ht="25.5">
      <c r="B39" s="46" t="s">
        <v>23</v>
      </c>
      <c r="C39" s="22"/>
      <c r="D39" s="56" t="s">
        <v>61</v>
      </c>
      <c r="E39" s="57"/>
      <c r="F39" s="29">
        <v>0.0003</v>
      </c>
      <c r="G39" s="26">
        <f>$F$16</f>
        <v>1500</v>
      </c>
      <c r="H39" s="27">
        <f aca="true" t="shared" si="6" ref="H39:H45">G39*F39</f>
        <v>0.44999999999999996</v>
      </c>
      <c r="I39" s="28"/>
      <c r="J39" s="29">
        <f>'[4]6. Rate Rider Calculations'!$F$20</f>
        <v>-0.0007408030378165835</v>
      </c>
      <c r="K39" s="26">
        <f>$F$16</f>
        <v>1500</v>
      </c>
      <c r="L39" s="27">
        <f aca="true" t="shared" si="7" ref="L39:L45">K39*J39</f>
        <v>-1.1112045567248752</v>
      </c>
      <c r="M39" s="28"/>
      <c r="N39" s="31">
        <f t="shared" si="2"/>
        <v>-1.5612045567248751</v>
      </c>
      <c r="O39" s="32">
        <f t="shared" si="3"/>
        <v>-3.469343459388612</v>
      </c>
    </row>
    <row r="40" spans="2:15" ht="15" hidden="1">
      <c r="B40" s="46"/>
      <c r="C40" s="22"/>
      <c r="D40" s="23" t="s">
        <v>61</v>
      </c>
      <c r="E40" s="24"/>
      <c r="F40" s="25"/>
      <c r="G40" s="26">
        <f>$F$16</f>
        <v>1500</v>
      </c>
      <c r="H40" s="27">
        <f t="shared" si="6"/>
        <v>0</v>
      </c>
      <c r="I40" s="47"/>
      <c r="J40" s="29"/>
      <c r="K40" s="26">
        <f>$F$16</f>
        <v>1500</v>
      </c>
      <c r="L40" s="27">
        <f t="shared" si="7"/>
        <v>0</v>
      </c>
      <c r="M40" s="48"/>
      <c r="N40" s="31">
        <f t="shared" si="2"/>
        <v>0</v>
      </c>
      <c r="O40" s="32">
        <f t="shared" si="3"/>
      </c>
    </row>
    <row r="41" spans="2:15" ht="15" hidden="1">
      <c r="B41" s="46"/>
      <c r="C41" s="22"/>
      <c r="D41" s="23" t="s">
        <v>61</v>
      </c>
      <c r="E41" s="24"/>
      <c r="F41" s="25"/>
      <c r="G41" s="26">
        <f>$F$16</f>
        <v>1500</v>
      </c>
      <c r="H41" s="27">
        <f t="shared" si="6"/>
        <v>0</v>
      </c>
      <c r="I41" s="47"/>
      <c r="J41" s="29"/>
      <c r="K41" s="26">
        <f>$F$16</f>
        <v>1500</v>
      </c>
      <c r="L41" s="27">
        <f t="shared" si="7"/>
        <v>0</v>
      </c>
      <c r="M41" s="48"/>
      <c r="N41" s="31">
        <f t="shared" si="2"/>
        <v>0</v>
      </c>
      <c r="O41" s="32">
        <f t="shared" si="3"/>
      </c>
    </row>
    <row r="42" spans="2:15" ht="15" hidden="1">
      <c r="B42" s="46"/>
      <c r="C42" s="22"/>
      <c r="D42" s="23"/>
      <c r="E42" s="24"/>
      <c r="F42" s="25"/>
      <c r="G42" s="26">
        <f>$F$16</f>
        <v>1500</v>
      </c>
      <c r="H42" s="27">
        <f t="shared" si="6"/>
        <v>0</v>
      </c>
      <c r="I42" s="47"/>
      <c r="J42" s="29"/>
      <c r="K42" s="26">
        <f>$F$16</f>
        <v>1500</v>
      </c>
      <c r="L42" s="27">
        <f t="shared" si="7"/>
        <v>0</v>
      </c>
      <c r="M42" s="48"/>
      <c r="N42" s="31">
        <f t="shared" si="2"/>
        <v>0</v>
      </c>
      <c r="O42" s="32">
        <f t="shared" si="3"/>
      </c>
    </row>
    <row r="43" spans="2:15" ht="15">
      <c r="B43" s="49" t="s">
        <v>24</v>
      </c>
      <c r="C43" s="22"/>
      <c r="D43" s="23" t="s">
        <v>61</v>
      </c>
      <c r="E43" s="24"/>
      <c r="F43" s="25">
        <f>0.0001</f>
        <v>0.0001</v>
      </c>
      <c r="G43" s="26">
        <f>$F$16</f>
        <v>1500</v>
      </c>
      <c r="H43" s="27">
        <f t="shared" si="6"/>
        <v>0.15</v>
      </c>
      <c r="I43" s="28"/>
      <c r="J43" s="29">
        <f>'[3]Rate Schedule '!$E$12</f>
        <v>0.0001</v>
      </c>
      <c r="K43" s="26">
        <f>$F$16</f>
        <v>1500</v>
      </c>
      <c r="L43" s="27">
        <f t="shared" si="7"/>
        <v>0.15</v>
      </c>
      <c r="M43" s="28"/>
      <c r="N43" s="31">
        <f t="shared" si="2"/>
        <v>0</v>
      </c>
      <c r="O43" s="32">
        <f t="shared" si="3"/>
        <v>0</v>
      </c>
    </row>
    <row r="44" spans="2:15" s="34" customFormat="1" ht="15">
      <c r="B44" s="182" t="s">
        <v>25</v>
      </c>
      <c r="C44" s="24"/>
      <c r="D44" s="183" t="s">
        <v>61</v>
      </c>
      <c r="E44" s="24"/>
      <c r="F44" s="184">
        <f>IF(ISBLANK(D14)=TRUE,0,IF(D14="TOU",0.64*$F$54+0.18*$F$55+0.18*$F$56,IF(AND(D14="non-TOU",G58&gt;0),F58,F57)))</f>
        <v>0.08892</v>
      </c>
      <c r="G44" s="26">
        <f>$F$16*(1+$F$73)-$F$16</f>
        <v>42.899999999999864</v>
      </c>
      <c r="H44" s="185">
        <f t="shared" si="6"/>
        <v>3.8146679999999877</v>
      </c>
      <c r="I44" s="57"/>
      <c r="J44" s="186">
        <f>0.64*$F$54+0.18*$F$55+0.18*$F$56</f>
        <v>0.08892</v>
      </c>
      <c r="K44" s="26">
        <f>$F$16*(1+$J$73)-$F$16</f>
        <v>50.25000000000023</v>
      </c>
      <c r="L44" s="185">
        <f t="shared" si="7"/>
        <v>4.468230000000021</v>
      </c>
      <c r="M44" s="57"/>
      <c r="N44" s="187">
        <f t="shared" si="2"/>
        <v>0.6535620000000328</v>
      </c>
      <c r="O44" s="188">
        <f t="shared" si="3"/>
        <v>0.1713286713286805</v>
      </c>
    </row>
    <row r="45" spans="2:15" ht="15">
      <c r="B45" s="49" t="s">
        <v>26</v>
      </c>
      <c r="C45" s="22"/>
      <c r="D45" s="23" t="s">
        <v>60</v>
      </c>
      <c r="E45" s="24"/>
      <c r="F45" s="179">
        <v>0.79</v>
      </c>
      <c r="G45" s="26">
        <v>1</v>
      </c>
      <c r="H45" s="27">
        <f t="shared" si="6"/>
        <v>0.79</v>
      </c>
      <c r="I45" s="28"/>
      <c r="J45" s="179">
        <v>0.79</v>
      </c>
      <c r="K45" s="26">
        <v>1</v>
      </c>
      <c r="L45" s="27">
        <f t="shared" si="7"/>
        <v>0.79</v>
      </c>
      <c r="M45" s="28"/>
      <c r="N45" s="31">
        <f t="shared" si="2"/>
        <v>0</v>
      </c>
      <c r="O45" s="32"/>
    </row>
    <row r="46" spans="2:15" ht="25.5">
      <c r="B46" s="50" t="s">
        <v>27</v>
      </c>
      <c r="C46" s="51"/>
      <c r="D46" s="51"/>
      <c r="E46" s="51"/>
      <c r="F46" s="52"/>
      <c r="G46" s="53"/>
      <c r="H46" s="54">
        <f>SUM(H38:H45)+H37</f>
        <v>41.82466799999999</v>
      </c>
      <c r="I46" s="41"/>
      <c r="J46" s="53"/>
      <c r="K46" s="55"/>
      <c r="L46" s="54">
        <f>SUM(L38:L45)+L37</f>
        <v>38.383696580229454</v>
      </c>
      <c r="M46" s="41"/>
      <c r="N46" s="44">
        <f t="shared" si="2"/>
        <v>-3.440971419770534</v>
      </c>
      <c r="O46" s="45">
        <f aca="true" t="shared" si="8" ref="O46:O64">IF((H46)=0,"",(N46/H46))</f>
        <v>-0.08227133852611897</v>
      </c>
    </row>
    <row r="47" spans="2:15" ht="15">
      <c r="B47" s="28" t="s">
        <v>28</v>
      </c>
      <c r="C47" s="28"/>
      <c r="D47" s="56" t="s">
        <v>61</v>
      </c>
      <c r="E47" s="57"/>
      <c r="F47" s="29">
        <v>0.0062</v>
      </c>
      <c r="G47" s="58">
        <f>F16*(1+F73)</f>
        <v>1542.8999999999999</v>
      </c>
      <c r="H47" s="27">
        <f>G47*F47</f>
        <v>9.56598</v>
      </c>
      <c r="I47" s="28"/>
      <c r="J47" s="29">
        <f>'[5]13. Final 2014 RTS Rates'!$F$26</f>
        <v>0.006672891733385364</v>
      </c>
      <c r="K47" s="59">
        <f>F16*(1+J73)</f>
        <v>1550.2500000000002</v>
      </c>
      <c r="L47" s="27">
        <f>K47*J47</f>
        <v>10.344650409680662</v>
      </c>
      <c r="M47" s="28"/>
      <c r="N47" s="31">
        <f t="shared" si="2"/>
        <v>0.7786704096806627</v>
      </c>
      <c r="O47" s="32">
        <f t="shared" si="8"/>
        <v>0.08139996212417994</v>
      </c>
    </row>
    <row r="48" spans="2:15" ht="30">
      <c r="B48" s="60" t="s">
        <v>29</v>
      </c>
      <c r="C48" s="28"/>
      <c r="D48" s="56" t="s">
        <v>61</v>
      </c>
      <c r="E48" s="57"/>
      <c r="F48" s="29">
        <v>0.0036</v>
      </c>
      <c r="G48" s="58">
        <f>G47</f>
        <v>1542.8999999999999</v>
      </c>
      <c r="H48" s="27">
        <f>G48*F48</f>
        <v>5.55444</v>
      </c>
      <c r="I48" s="28"/>
      <c r="J48" s="29">
        <f>'[5]13. Final 2014 RTS Rates'!$H$26</f>
        <v>0.004150792266205902</v>
      </c>
      <c r="K48" s="59">
        <f>K47</f>
        <v>1550.2500000000002</v>
      </c>
      <c r="L48" s="27">
        <f>K48*J48</f>
        <v>6.434765710685701</v>
      </c>
      <c r="M48" s="28"/>
      <c r="N48" s="31">
        <f t="shared" si="2"/>
        <v>0.8803257106857014</v>
      </c>
      <c r="O48" s="32">
        <f t="shared" si="8"/>
        <v>0.1584904528063498</v>
      </c>
    </row>
    <row r="49" spans="2:15" ht="25.5">
      <c r="B49" s="50" t="s">
        <v>30</v>
      </c>
      <c r="C49" s="36"/>
      <c r="D49" s="36"/>
      <c r="E49" s="36"/>
      <c r="F49" s="61"/>
      <c r="G49" s="53"/>
      <c r="H49" s="54">
        <f>SUM(H46:H48)</f>
        <v>56.945087999999984</v>
      </c>
      <c r="I49" s="62"/>
      <c r="J49" s="63"/>
      <c r="K49" s="64"/>
      <c r="L49" s="54">
        <f>SUM(L46:L48)</f>
        <v>55.16311270059582</v>
      </c>
      <c r="M49" s="62"/>
      <c r="N49" s="44">
        <f t="shared" si="2"/>
        <v>-1.7819752994041664</v>
      </c>
      <c r="O49" s="45">
        <f t="shared" si="8"/>
        <v>-0.031292871114786354</v>
      </c>
    </row>
    <row r="50" spans="2:15" ht="30">
      <c r="B50" s="65" t="s">
        <v>31</v>
      </c>
      <c r="C50" s="22"/>
      <c r="D50" s="23" t="s">
        <v>61</v>
      </c>
      <c r="E50" s="24"/>
      <c r="F50" s="66">
        <v>0.0044</v>
      </c>
      <c r="G50" s="58">
        <f>G48</f>
        <v>1542.8999999999999</v>
      </c>
      <c r="H50" s="67">
        <f aca="true" t="shared" si="9" ref="H50:H56">G50*F50</f>
        <v>6.78876</v>
      </c>
      <c r="I50" s="28"/>
      <c r="J50" s="68">
        <v>0.0044</v>
      </c>
      <c r="K50" s="59">
        <f>K48</f>
        <v>1550.2500000000002</v>
      </c>
      <c r="L50" s="67">
        <f aca="true" t="shared" si="10" ref="L50:L56">K50*J50</f>
        <v>6.821100000000001</v>
      </c>
      <c r="M50" s="28"/>
      <c r="N50" s="31">
        <f t="shared" si="2"/>
        <v>0.03234000000000137</v>
      </c>
      <c r="O50" s="69">
        <f t="shared" si="8"/>
        <v>0.0047637565623179145</v>
      </c>
    </row>
    <row r="51" spans="2:15" ht="15">
      <c r="B51" s="65" t="s">
        <v>32</v>
      </c>
      <c r="C51" s="22"/>
      <c r="D51" s="23" t="s">
        <v>61</v>
      </c>
      <c r="E51" s="24"/>
      <c r="F51" s="66">
        <v>0.0012</v>
      </c>
      <c r="G51" s="58">
        <f>G48</f>
        <v>1542.8999999999999</v>
      </c>
      <c r="H51" s="67">
        <f t="shared" si="9"/>
        <v>1.8514799999999996</v>
      </c>
      <c r="I51" s="28"/>
      <c r="J51" s="68">
        <v>0.0012</v>
      </c>
      <c r="K51" s="59">
        <f>K48</f>
        <v>1550.2500000000002</v>
      </c>
      <c r="L51" s="67">
        <f t="shared" si="10"/>
        <v>1.8603</v>
      </c>
      <c r="M51" s="28"/>
      <c r="N51" s="31">
        <f t="shared" si="2"/>
        <v>0.008820000000000494</v>
      </c>
      <c r="O51" s="69">
        <f t="shared" si="8"/>
        <v>0.004763756562317981</v>
      </c>
    </row>
    <row r="52" spans="2:15" ht="15">
      <c r="B52" s="22" t="s">
        <v>33</v>
      </c>
      <c r="C52" s="22"/>
      <c r="D52" s="23" t="s">
        <v>60</v>
      </c>
      <c r="E52" s="24"/>
      <c r="F52" s="177">
        <v>0.25</v>
      </c>
      <c r="G52" s="26">
        <v>1</v>
      </c>
      <c r="H52" s="67">
        <f t="shared" si="9"/>
        <v>0.25</v>
      </c>
      <c r="I52" s="28"/>
      <c r="J52" s="178">
        <v>0.25</v>
      </c>
      <c r="K52" s="30">
        <v>1</v>
      </c>
      <c r="L52" s="67">
        <f t="shared" si="10"/>
        <v>0.25</v>
      </c>
      <c r="M52" s="28"/>
      <c r="N52" s="31">
        <f t="shared" si="2"/>
        <v>0</v>
      </c>
      <c r="O52" s="69">
        <f t="shared" si="8"/>
        <v>0</v>
      </c>
    </row>
    <row r="53" spans="2:15" ht="15">
      <c r="B53" s="22" t="s">
        <v>34</v>
      </c>
      <c r="C53" s="22"/>
      <c r="D53" s="23" t="s">
        <v>61</v>
      </c>
      <c r="E53" s="24"/>
      <c r="F53" s="66">
        <v>0.007</v>
      </c>
      <c r="G53" s="70">
        <f>F16</f>
        <v>1500</v>
      </c>
      <c r="H53" s="67">
        <f t="shared" si="9"/>
        <v>10.5</v>
      </c>
      <c r="I53" s="28"/>
      <c r="J53" s="68">
        <f>0.007</f>
        <v>0.007</v>
      </c>
      <c r="K53" s="71">
        <f>F16</f>
        <v>1500</v>
      </c>
      <c r="L53" s="67">
        <f t="shared" si="10"/>
        <v>10.5</v>
      </c>
      <c r="M53" s="28"/>
      <c r="N53" s="31">
        <f t="shared" si="2"/>
        <v>0</v>
      </c>
      <c r="O53" s="69">
        <f t="shared" si="8"/>
        <v>0</v>
      </c>
    </row>
    <row r="54" spans="2:19" ht="15">
      <c r="B54" s="49" t="s">
        <v>35</v>
      </c>
      <c r="C54" s="22"/>
      <c r="D54" s="23" t="s">
        <v>61</v>
      </c>
      <c r="E54" s="24"/>
      <c r="F54" s="72">
        <v>0.072</v>
      </c>
      <c r="G54" s="70">
        <f>0.64*$F$16</f>
        <v>960</v>
      </c>
      <c r="H54" s="67">
        <f t="shared" si="9"/>
        <v>69.11999999999999</v>
      </c>
      <c r="I54" s="28"/>
      <c r="J54" s="66">
        <v>0.072</v>
      </c>
      <c r="K54" s="70">
        <f>G54</f>
        <v>960</v>
      </c>
      <c r="L54" s="67">
        <f t="shared" si="10"/>
        <v>69.11999999999999</v>
      </c>
      <c r="M54" s="28"/>
      <c r="N54" s="31">
        <f t="shared" si="2"/>
        <v>0</v>
      </c>
      <c r="O54" s="69">
        <f t="shared" si="8"/>
        <v>0</v>
      </c>
      <c r="S54" s="73"/>
    </row>
    <row r="55" spans="2:19" ht="15">
      <c r="B55" s="49" t="s">
        <v>36</v>
      </c>
      <c r="C55" s="22"/>
      <c r="D55" s="23" t="s">
        <v>61</v>
      </c>
      <c r="E55" s="24"/>
      <c r="F55" s="72">
        <v>0.109</v>
      </c>
      <c r="G55" s="70">
        <f>0.18*$F$16</f>
        <v>270</v>
      </c>
      <c r="H55" s="67">
        <f t="shared" si="9"/>
        <v>29.43</v>
      </c>
      <c r="I55" s="28"/>
      <c r="J55" s="66">
        <v>0.109</v>
      </c>
      <c r="K55" s="70">
        <f>G55</f>
        <v>270</v>
      </c>
      <c r="L55" s="67">
        <f t="shared" si="10"/>
        <v>29.43</v>
      </c>
      <c r="M55" s="28"/>
      <c r="N55" s="31">
        <f t="shared" si="2"/>
        <v>0</v>
      </c>
      <c r="O55" s="69">
        <f t="shared" si="8"/>
        <v>0</v>
      </c>
      <c r="S55" s="73"/>
    </row>
    <row r="56" spans="2:19" ht="15">
      <c r="B56" s="12" t="s">
        <v>37</v>
      </c>
      <c r="C56" s="22"/>
      <c r="D56" s="23" t="s">
        <v>61</v>
      </c>
      <c r="E56" s="24"/>
      <c r="F56" s="72">
        <v>0.129</v>
      </c>
      <c r="G56" s="70">
        <f>0.18*$F$16</f>
        <v>270</v>
      </c>
      <c r="H56" s="67">
        <f t="shared" si="9"/>
        <v>34.83</v>
      </c>
      <c r="I56" s="28"/>
      <c r="J56" s="66">
        <v>0.129</v>
      </c>
      <c r="K56" s="70">
        <f>G56</f>
        <v>270</v>
      </c>
      <c r="L56" s="67">
        <f t="shared" si="10"/>
        <v>34.83</v>
      </c>
      <c r="M56" s="28"/>
      <c r="N56" s="31">
        <f t="shared" si="2"/>
        <v>0</v>
      </c>
      <c r="O56" s="69">
        <f t="shared" si="8"/>
        <v>0</v>
      </c>
      <c r="S56" s="73"/>
    </row>
    <row r="57" spans="2:15" s="74" customFormat="1" ht="15">
      <c r="B57" s="75" t="s">
        <v>38</v>
      </c>
      <c r="C57" s="76"/>
      <c r="D57" s="77" t="s">
        <v>61</v>
      </c>
      <c r="E57" s="78"/>
      <c r="F57" s="72">
        <v>0.083</v>
      </c>
      <c r="G57" s="79">
        <f>IF(AND($T$1=1,F16&gt;=600),600,IF(AND($T$1=1,AND(F16&lt;600,F16&gt;=0)),F16,IF(AND($T$1=2,F16&gt;=1000),1000,IF(AND($T$1=2,AND(F16&lt;1000,F16&gt;=0)),F16))))</f>
        <v>600</v>
      </c>
      <c r="H57" s="67">
        <f>G57*F57</f>
        <v>49.800000000000004</v>
      </c>
      <c r="I57" s="80"/>
      <c r="J57" s="66">
        <v>0.083</v>
      </c>
      <c r="K57" s="79">
        <f>G57</f>
        <v>600</v>
      </c>
      <c r="L57" s="67">
        <f>K57*J57</f>
        <v>49.800000000000004</v>
      </c>
      <c r="M57" s="80"/>
      <c r="N57" s="81">
        <f t="shared" si="2"/>
        <v>0</v>
      </c>
      <c r="O57" s="69">
        <f t="shared" si="8"/>
        <v>0</v>
      </c>
    </row>
    <row r="58" spans="2:15" s="74" customFormat="1" ht="15.75" thickBot="1">
      <c r="B58" s="75" t="s">
        <v>39</v>
      </c>
      <c r="C58" s="76"/>
      <c r="D58" s="77" t="s">
        <v>61</v>
      </c>
      <c r="E58" s="78"/>
      <c r="F58" s="72">
        <v>0.097</v>
      </c>
      <c r="G58" s="79">
        <f>IF(AND($T$1=1,F16&gt;=600),F16-600,IF(AND($T$1=1,AND(F16&lt;600,F16&gt;=0)),0,IF(AND($T$1=2,F16&gt;=1000),F16-1000,IF(AND($T$1=2,AND(F16&lt;1000,F16&gt;=0)),0))))</f>
        <v>900</v>
      </c>
      <c r="H58" s="67">
        <f>G58*F58</f>
        <v>87.3</v>
      </c>
      <c r="I58" s="80"/>
      <c r="J58" s="66">
        <v>0.097</v>
      </c>
      <c r="K58" s="79">
        <f>G58</f>
        <v>900</v>
      </c>
      <c r="L58" s="67">
        <f>K58*J58</f>
        <v>87.3</v>
      </c>
      <c r="M58" s="80"/>
      <c r="N58" s="81">
        <f t="shared" si="2"/>
        <v>0</v>
      </c>
      <c r="O58" s="69">
        <f t="shared" si="8"/>
        <v>0</v>
      </c>
    </row>
    <row r="59" spans="2:15" ht="8.25" customHeight="1" thickBot="1">
      <c r="B59" s="82"/>
      <c r="C59" s="83"/>
      <c r="D59" s="84"/>
      <c r="E59" s="83"/>
      <c r="F59" s="85"/>
      <c r="G59" s="86"/>
      <c r="H59" s="87"/>
      <c r="I59" s="88"/>
      <c r="J59" s="85"/>
      <c r="K59" s="89"/>
      <c r="L59" s="87"/>
      <c r="M59" s="88"/>
      <c r="N59" s="90"/>
      <c r="O59" s="91"/>
    </row>
    <row r="60" spans="2:19" ht="15">
      <c r="B60" s="92" t="s">
        <v>40</v>
      </c>
      <c r="C60" s="22"/>
      <c r="D60" s="22"/>
      <c r="E60" s="22"/>
      <c r="F60" s="93"/>
      <c r="G60" s="94"/>
      <c r="H60" s="95">
        <f>SUM(H50:H56,H49)</f>
        <v>209.715328</v>
      </c>
      <c r="I60" s="96"/>
      <c r="J60" s="97"/>
      <c r="K60" s="97"/>
      <c r="L60" s="191">
        <f>SUM(L50:L56,L49)</f>
        <v>207.97451270059582</v>
      </c>
      <c r="M60" s="98"/>
      <c r="N60" s="99">
        <f>L60-H60</f>
        <v>-1.7408152994041757</v>
      </c>
      <c r="O60" s="100">
        <f>IF((H60)=0,"",(N60/H60))</f>
        <v>-0.008300849136807852</v>
      </c>
      <c r="S60" s="73"/>
    </row>
    <row r="61" spans="2:19" ht="15">
      <c r="B61" s="101" t="s">
        <v>41</v>
      </c>
      <c r="C61" s="22"/>
      <c r="D61" s="22"/>
      <c r="E61" s="22"/>
      <c r="F61" s="102">
        <v>0.13</v>
      </c>
      <c r="G61" s="103"/>
      <c r="H61" s="104">
        <f>H60*F61</f>
        <v>27.26299264</v>
      </c>
      <c r="I61" s="105"/>
      <c r="J61" s="106">
        <v>0.13</v>
      </c>
      <c r="K61" s="105"/>
      <c r="L61" s="107">
        <f>L60*J61</f>
        <v>27.036686651077456</v>
      </c>
      <c r="M61" s="108"/>
      <c r="N61" s="109">
        <f t="shared" si="2"/>
        <v>-0.22630598892254383</v>
      </c>
      <c r="O61" s="110">
        <f t="shared" si="8"/>
        <v>-0.008300849136807889</v>
      </c>
      <c r="S61" s="73"/>
    </row>
    <row r="62" spans="2:19" ht="15">
      <c r="B62" s="111" t="s">
        <v>42</v>
      </c>
      <c r="C62" s="22"/>
      <c r="D62" s="22"/>
      <c r="E62" s="22"/>
      <c r="F62" s="112"/>
      <c r="G62" s="103"/>
      <c r="H62" s="104">
        <f>H60+H61</f>
        <v>236.97832064</v>
      </c>
      <c r="I62" s="105"/>
      <c r="J62" s="105"/>
      <c r="K62" s="105"/>
      <c r="L62" s="107">
        <f>L60+L61</f>
        <v>235.01119935167327</v>
      </c>
      <c r="M62" s="108"/>
      <c r="N62" s="109">
        <f t="shared" si="2"/>
        <v>-1.967121288326723</v>
      </c>
      <c r="O62" s="110">
        <f t="shared" si="8"/>
        <v>-0.008300849136807871</v>
      </c>
      <c r="S62" s="73"/>
    </row>
    <row r="63" spans="2:15" ht="15.75" customHeight="1">
      <c r="B63" s="251" t="s">
        <v>43</v>
      </c>
      <c r="C63" s="251"/>
      <c r="D63" s="251"/>
      <c r="E63" s="22"/>
      <c r="F63" s="112"/>
      <c r="G63" s="103"/>
      <c r="H63" s="113">
        <f>ROUND(-H62*10%,2)</f>
        <v>-23.7</v>
      </c>
      <c r="I63" s="105"/>
      <c r="J63" s="105"/>
      <c r="K63" s="105"/>
      <c r="L63" s="114">
        <f>ROUND(-L62*10%,2)</f>
        <v>-23.5</v>
      </c>
      <c r="M63" s="108"/>
      <c r="N63" s="115">
        <f t="shared" si="2"/>
        <v>0.1999999999999993</v>
      </c>
      <c r="O63" s="116">
        <f t="shared" si="8"/>
        <v>-0.008438818565400814</v>
      </c>
    </row>
    <row r="64" spans="2:15" ht="15.75" thickBot="1">
      <c r="B64" s="233" t="s">
        <v>44</v>
      </c>
      <c r="C64" s="233"/>
      <c r="D64" s="233"/>
      <c r="E64" s="117"/>
      <c r="F64" s="118"/>
      <c r="G64" s="119"/>
      <c r="H64" s="120">
        <f>H62+H63</f>
        <v>213.27832064</v>
      </c>
      <c r="I64" s="121"/>
      <c r="J64" s="121"/>
      <c r="K64" s="121"/>
      <c r="L64" s="122">
        <f>L62+L63</f>
        <v>211.51119935167327</v>
      </c>
      <c r="M64" s="123"/>
      <c r="N64" s="124">
        <f t="shared" si="2"/>
        <v>-1.7671212883267344</v>
      </c>
      <c r="O64" s="125">
        <f t="shared" si="8"/>
        <v>-0.008285517642036954</v>
      </c>
    </row>
    <row r="65" spans="2:15" s="74" customFormat="1" ht="8.25" customHeight="1" thickBot="1">
      <c r="B65" s="126"/>
      <c r="C65" s="127"/>
      <c r="D65" s="128"/>
      <c r="E65" s="127"/>
      <c r="F65" s="85"/>
      <c r="G65" s="129"/>
      <c r="H65" s="87"/>
      <c r="I65" s="130"/>
      <c r="J65" s="85"/>
      <c r="K65" s="131"/>
      <c r="L65" s="87"/>
      <c r="M65" s="130"/>
      <c r="N65" s="132"/>
      <c r="O65" s="91"/>
    </row>
    <row r="66" spans="2:15" s="74" customFormat="1" ht="12.75">
      <c r="B66" s="133" t="s">
        <v>45</v>
      </c>
      <c r="C66" s="76"/>
      <c r="D66" s="76"/>
      <c r="E66" s="76"/>
      <c r="F66" s="134"/>
      <c r="G66" s="135"/>
      <c r="H66" s="136">
        <f>SUM(H57:H58,H49,H50:H53)</f>
        <v>213.43532799999997</v>
      </c>
      <c r="I66" s="137"/>
      <c r="J66" s="138"/>
      <c r="K66" s="138"/>
      <c r="L66" s="190">
        <f>SUM(L57:L58,L49,L50:L53)</f>
        <v>211.6945127005958</v>
      </c>
      <c r="M66" s="139"/>
      <c r="N66" s="140">
        <f>L66-H66</f>
        <v>-1.7408152994041757</v>
      </c>
      <c r="O66" s="100">
        <f>IF((H66)=0,"",(N66/H66))</f>
        <v>-0.008156172250004347</v>
      </c>
    </row>
    <row r="67" spans="2:15" s="74" customFormat="1" ht="12.75">
      <c r="B67" s="141" t="s">
        <v>41</v>
      </c>
      <c r="C67" s="76"/>
      <c r="D67" s="76"/>
      <c r="E67" s="76"/>
      <c r="F67" s="142">
        <v>0.13</v>
      </c>
      <c r="G67" s="135"/>
      <c r="H67" s="143">
        <f>H66*F67</f>
        <v>27.746592639999996</v>
      </c>
      <c r="I67" s="144"/>
      <c r="J67" s="145">
        <v>0.13</v>
      </c>
      <c r="K67" s="146"/>
      <c r="L67" s="147">
        <f>L66*J67</f>
        <v>27.520286651077456</v>
      </c>
      <c r="M67" s="148"/>
      <c r="N67" s="149">
        <f>L67-H67</f>
        <v>-0.22630598892254028</v>
      </c>
      <c r="O67" s="110">
        <f>IF((H67)=0,"",(N67/H67))</f>
        <v>-0.008156172250004255</v>
      </c>
    </row>
    <row r="68" spans="2:15" s="74" customFormat="1" ht="12.75">
      <c r="B68" s="150" t="s">
        <v>42</v>
      </c>
      <c r="C68" s="76"/>
      <c r="D68" s="76"/>
      <c r="E68" s="76"/>
      <c r="F68" s="151"/>
      <c r="G68" s="152"/>
      <c r="H68" s="143">
        <f>H66+H67</f>
        <v>241.18192063999996</v>
      </c>
      <c r="I68" s="144"/>
      <c r="J68" s="144"/>
      <c r="K68" s="144"/>
      <c r="L68" s="147">
        <f>L66+L67</f>
        <v>239.21479935167326</v>
      </c>
      <c r="M68" s="148"/>
      <c r="N68" s="149">
        <f>L68-H68</f>
        <v>-1.9671212883266946</v>
      </c>
      <c r="O68" s="110">
        <f>IF((H68)=0,"",(N68/H68))</f>
        <v>-0.00815617225000425</v>
      </c>
    </row>
    <row r="69" spans="2:15" s="74" customFormat="1" ht="15.75" customHeight="1">
      <c r="B69" s="239" t="s">
        <v>43</v>
      </c>
      <c r="C69" s="239"/>
      <c r="D69" s="239"/>
      <c r="E69" s="76"/>
      <c r="F69" s="151"/>
      <c r="G69" s="152"/>
      <c r="H69" s="153">
        <f>ROUND(-H68*10%,2)</f>
        <v>-24.12</v>
      </c>
      <c r="I69" s="144"/>
      <c r="J69" s="144"/>
      <c r="K69" s="144"/>
      <c r="L69" s="154">
        <f>ROUND(-L68*10%,2)</f>
        <v>-23.92</v>
      </c>
      <c r="M69" s="148"/>
      <c r="N69" s="155">
        <f>L69-H69</f>
        <v>0.1999999999999993</v>
      </c>
      <c r="O69" s="116">
        <f>IF((H69)=0,"",(N69/H69))</f>
        <v>-0.008291873963515725</v>
      </c>
    </row>
    <row r="70" spans="2:15" s="74" customFormat="1" ht="13.5" thickBot="1">
      <c r="B70" s="244" t="s">
        <v>46</v>
      </c>
      <c r="C70" s="244"/>
      <c r="D70" s="244"/>
      <c r="E70" s="156"/>
      <c r="F70" s="157"/>
      <c r="G70" s="158"/>
      <c r="H70" s="159">
        <f>SUM(H68:H69)</f>
        <v>217.06192063999995</v>
      </c>
      <c r="I70" s="160"/>
      <c r="J70" s="160"/>
      <c r="K70" s="160"/>
      <c r="L70" s="161">
        <f>SUM(L68:L69)</f>
        <v>215.29479935167325</v>
      </c>
      <c r="M70" s="162"/>
      <c r="N70" s="163">
        <f>L70-H70</f>
        <v>-1.767121288326706</v>
      </c>
      <c r="O70" s="164">
        <f>IF((H70)=0,"",(N70/H70))</f>
        <v>-0.00814109302597345</v>
      </c>
    </row>
    <row r="71" spans="2:15" s="74" customFormat="1" ht="8.25" customHeight="1" thickBot="1">
      <c r="B71" s="126"/>
      <c r="C71" s="127"/>
      <c r="D71" s="128"/>
      <c r="E71" s="127"/>
      <c r="F71" s="165"/>
      <c r="G71" s="166"/>
      <c r="H71" s="167"/>
      <c r="I71" s="168"/>
      <c r="J71" s="165"/>
      <c r="K71" s="129"/>
      <c r="L71" s="169"/>
      <c r="M71" s="130"/>
      <c r="N71" s="170"/>
      <c r="O71" s="91"/>
    </row>
    <row r="72" ht="10.5" customHeight="1">
      <c r="L72" s="73"/>
    </row>
    <row r="73" spans="2:10" ht="15">
      <c r="B73" s="13" t="s">
        <v>47</v>
      </c>
      <c r="F73" s="171">
        <v>0.0286</v>
      </c>
      <c r="J73" s="171">
        <v>0.0335</v>
      </c>
    </row>
    <row r="74" ht="10.5" customHeight="1"/>
    <row r="75" ht="15">
      <c r="A75" s="172" t="s">
        <v>48</v>
      </c>
    </row>
    <row r="76" ht="10.5" customHeight="1"/>
    <row r="77" ht="15">
      <c r="A77" s="7" t="s">
        <v>49</v>
      </c>
    </row>
    <row r="78" ht="15">
      <c r="A78" s="7" t="s">
        <v>50</v>
      </c>
    </row>
    <row r="80" ht="15">
      <c r="A80" s="12" t="s">
        <v>51</v>
      </c>
    </row>
    <row r="81" ht="15">
      <c r="A81" s="12" t="s">
        <v>52</v>
      </c>
    </row>
    <row r="83" ht="15">
      <c r="A83" s="7" t="s">
        <v>53</v>
      </c>
    </row>
    <row r="84" ht="15">
      <c r="A84" s="7" t="s">
        <v>54</v>
      </c>
    </row>
    <row r="85" ht="15">
      <c r="A85" s="7" t="s">
        <v>55</v>
      </c>
    </row>
    <row r="86" ht="15">
      <c r="A86" s="7" t="s">
        <v>56</v>
      </c>
    </row>
    <row r="87" ht="15">
      <c r="A87" s="7" t="s">
        <v>57</v>
      </c>
    </row>
    <row r="89" spans="1:2" ht="15">
      <c r="A89" s="173"/>
      <c r="B89" s="7" t="s">
        <v>58</v>
      </c>
    </row>
  </sheetData>
  <sheetProtection/>
  <mergeCells count="18">
    <mergeCell ref="D12:O12"/>
    <mergeCell ref="F18:H18"/>
    <mergeCell ref="J18:L18"/>
    <mergeCell ref="N18:O18"/>
    <mergeCell ref="B70:D70"/>
    <mergeCell ref="D19:D20"/>
    <mergeCell ref="N19:N20"/>
    <mergeCell ref="O19:O20"/>
    <mergeCell ref="B63:D63"/>
    <mergeCell ref="B64:D64"/>
    <mergeCell ref="B69:D69"/>
    <mergeCell ref="N1:O1"/>
    <mergeCell ref="N2:O2"/>
    <mergeCell ref="N4:O4"/>
    <mergeCell ref="N5:O5"/>
    <mergeCell ref="B8:O8"/>
    <mergeCell ref="B9:O9"/>
    <mergeCell ref="N3:O3"/>
  </mergeCells>
  <dataValidations count="4">
    <dataValidation type="list" allowBlank="1" showInputMessage="1" showErrorMessage="1" sqref="D14">
      <formula1>"TOU, non-TOU"</formula1>
    </dataValidation>
    <dataValidation type="list" allowBlank="1" showInputMessage="1" showErrorMessage="1" sqref="E71 E65 E57:E58">
      <formula1>'Res (1,500kWh)'!#REF!</formula1>
    </dataValidation>
    <dataValidation type="list" allowBlank="1" showInputMessage="1" showErrorMessage="1" prompt="Select Charge Unit - monthly, per kWh, per kW" sqref="D47:D48 D65 D71 D50:D59 D38:D45 D21:D36">
      <formula1>"Monthly, per kWh, per kW"</formula1>
    </dataValidation>
    <dataValidation type="list" allowBlank="1" showInputMessage="1" showErrorMessage="1" sqref="E47:E48 E50:E56 E59 E38:E45 E21:E36">
      <formula1>'Res (1,500kWh)'!#REF!</formula1>
    </dataValidation>
  </dataValidations>
  <printOptions/>
  <pageMargins left="0.7" right="0.7" top="0.75" bottom="0.75" header="0.3" footer="0.3"/>
  <pageSetup fitToHeight="0" fitToWidth="1" horizontalDpi="600" verticalDpi="600" orientation="portrait" scale="5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9"/>
  <sheetViews>
    <sheetView showGridLines="0" zoomScalePageLayoutView="0" workbookViewId="0" topLeftCell="A1">
      <selection activeCell="J3" sqref="J3"/>
    </sheetView>
  </sheetViews>
  <sheetFormatPr defaultColWidth="9.140625" defaultRowHeight="15"/>
  <cols>
    <col min="1" max="1" width="2.140625" style="7" customWidth="1"/>
    <col min="2" max="2" width="44.57421875" style="7" customWidth="1"/>
    <col min="3" max="3" width="1.28515625" style="7" customWidth="1"/>
    <col min="4" max="4" width="11.28125" style="7" customWidth="1"/>
    <col min="5" max="5" width="1.28515625" style="7" customWidth="1"/>
    <col min="6" max="6" width="12.28125" style="7" customWidth="1"/>
    <col min="7" max="7" width="8.57421875" style="7" customWidth="1"/>
    <col min="8" max="8" width="9.7109375" style="7" customWidth="1"/>
    <col min="9" max="9" width="2.8515625" style="7" customWidth="1"/>
    <col min="10" max="10" width="12.140625" style="7" customWidth="1"/>
    <col min="11" max="11" width="8.57421875" style="7" customWidth="1"/>
    <col min="12" max="12" width="9.7109375" style="7" customWidth="1"/>
    <col min="13" max="13" width="2.8515625" style="7" customWidth="1"/>
    <col min="14" max="14" width="12.7109375" style="7" bestFit="1" customWidth="1"/>
    <col min="15" max="15" width="10.8515625" style="7" bestFit="1" customWidth="1"/>
    <col min="16" max="16" width="7.8515625" style="7" customWidth="1"/>
    <col min="17" max="20" width="9.140625" style="7" customWidth="1"/>
    <col min="21" max="16384" width="9.140625" style="7" customWidth="1"/>
  </cols>
  <sheetData>
    <row r="1" spans="1:20" s="2" customFormat="1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234" t="str">
        <f>EBNUMBER</f>
        <v>EB-2013-0116</v>
      </c>
      <c r="O1" s="234"/>
      <c r="P1" s="195"/>
      <c r="T1" s="2">
        <v>1</v>
      </c>
    </row>
    <row r="2" spans="1:16" s="2" customFormat="1" ht="1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110</v>
      </c>
      <c r="N2" s="235" t="s">
        <v>111</v>
      </c>
      <c r="O2" s="235"/>
      <c r="P2" s="196"/>
    </row>
    <row r="3" spans="3:16" s="2" customFormat="1" ht="15" customHeight="1">
      <c r="C3" s="6"/>
      <c r="D3" s="6"/>
      <c r="E3" s="6"/>
      <c r="L3" s="3" t="s">
        <v>78</v>
      </c>
      <c r="N3" s="236" t="s">
        <v>85</v>
      </c>
      <c r="O3" s="236"/>
      <c r="P3" s="195"/>
    </row>
    <row r="4" spans="12:16" s="2" customFormat="1" ht="9" customHeight="1">
      <c r="L4" s="3"/>
      <c r="N4" s="252"/>
      <c r="O4" s="252"/>
      <c r="P4" s="197"/>
    </row>
    <row r="5" spans="12:16" s="2" customFormat="1" ht="15">
      <c r="L5" s="3" t="s">
        <v>100</v>
      </c>
      <c r="N5" s="237">
        <v>41695</v>
      </c>
      <c r="O5" s="237"/>
      <c r="P5" s="195"/>
    </row>
    <row r="6" spans="14:16" s="2" customFormat="1" ht="15" customHeight="1">
      <c r="N6" s="7"/>
      <c r="O6"/>
      <c r="P6"/>
    </row>
    <row r="7" spans="12:16" ht="7.5" customHeight="1">
      <c r="L7"/>
      <c r="M7"/>
      <c r="N7"/>
      <c r="O7"/>
      <c r="P7"/>
    </row>
    <row r="8" spans="2:16" ht="18.75" customHeight="1">
      <c r="B8" s="238" t="s">
        <v>1</v>
      </c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/>
    </row>
    <row r="9" spans="2:16" ht="18.75" customHeight="1">
      <c r="B9" s="238" t="s">
        <v>2</v>
      </c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/>
    </row>
    <row r="10" spans="12:16" ht="7.5" customHeight="1">
      <c r="L10"/>
      <c r="M10"/>
      <c r="N10"/>
      <c r="O10"/>
      <c r="P10"/>
    </row>
    <row r="11" spans="12:16" ht="7.5" customHeight="1">
      <c r="L11"/>
      <c r="M11"/>
      <c r="N11"/>
      <c r="O11"/>
      <c r="P11"/>
    </row>
    <row r="12" spans="2:15" ht="15.75">
      <c r="B12" s="8" t="s">
        <v>3</v>
      </c>
      <c r="D12" s="240" t="s">
        <v>59</v>
      </c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</row>
    <row r="13" spans="2:15" ht="7.5" customHeight="1">
      <c r="B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2:15" ht="15.75">
      <c r="B14" s="8" t="s">
        <v>4</v>
      </c>
      <c r="D14" s="11" t="s">
        <v>5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2:15" ht="15.75">
      <c r="B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2:7" ht="15">
      <c r="B16" s="12"/>
      <c r="D16" s="13" t="s">
        <v>6</v>
      </c>
      <c r="E16" s="13"/>
      <c r="F16" s="14">
        <v>2000</v>
      </c>
      <c r="G16" s="13" t="s">
        <v>7</v>
      </c>
    </row>
    <row r="17" ht="15">
      <c r="B17" s="12"/>
    </row>
    <row r="18" spans="2:15" ht="15">
      <c r="B18" s="12"/>
      <c r="D18" s="15"/>
      <c r="E18" s="15"/>
      <c r="F18" s="241" t="s">
        <v>8</v>
      </c>
      <c r="G18" s="242"/>
      <c r="H18" s="243"/>
      <c r="J18" s="241" t="s">
        <v>9</v>
      </c>
      <c r="K18" s="242"/>
      <c r="L18" s="243"/>
      <c r="N18" s="241" t="s">
        <v>10</v>
      </c>
      <c r="O18" s="243"/>
    </row>
    <row r="19" spans="2:15" ht="15">
      <c r="B19" s="12"/>
      <c r="D19" s="245" t="s">
        <v>11</v>
      </c>
      <c r="E19" s="16"/>
      <c r="F19" s="17" t="s">
        <v>12</v>
      </c>
      <c r="G19" s="17" t="s">
        <v>13</v>
      </c>
      <c r="H19" s="18" t="s">
        <v>14</v>
      </c>
      <c r="J19" s="17" t="s">
        <v>12</v>
      </c>
      <c r="K19" s="19" t="s">
        <v>13</v>
      </c>
      <c r="L19" s="18" t="s">
        <v>14</v>
      </c>
      <c r="N19" s="247" t="s">
        <v>15</v>
      </c>
      <c r="O19" s="249" t="s">
        <v>16</v>
      </c>
    </row>
    <row r="20" spans="2:15" ht="15">
      <c r="B20" s="12"/>
      <c r="D20" s="246"/>
      <c r="E20" s="16"/>
      <c r="F20" s="20" t="s">
        <v>17</v>
      </c>
      <c r="G20" s="20"/>
      <c r="H20" s="21" t="s">
        <v>17</v>
      </c>
      <c r="J20" s="20" t="s">
        <v>17</v>
      </c>
      <c r="K20" s="21"/>
      <c r="L20" s="21" t="s">
        <v>17</v>
      </c>
      <c r="N20" s="248"/>
      <c r="O20" s="250"/>
    </row>
    <row r="21" spans="2:15" ht="22.5" customHeight="1">
      <c r="B21" s="22" t="s">
        <v>18</v>
      </c>
      <c r="C21" s="22"/>
      <c r="D21" s="23" t="s">
        <v>60</v>
      </c>
      <c r="E21" s="24"/>
      <c r="F21" s="175">
        <f>'[2]2013 Existing Rates'!$C$6</f>
        <v>10.09</v>
      </c>
      <c r="G21" s="26">
        <v>1</v>
      </c>
      <c r="H21" s="27">
        <f>G21*F21</f>
        <v>10.09</v>
      </c>
      <c r="I21" s="28"/>
      <c r="J21" s="174">
        <f>'[3]Rate Schedule '!$E$10</f>
        <v>16.58</v>
      </c>
      <c r="K21" s="30">
        <v>1</v>
      </c>
      <c r="L21" s="27">
        <f>K21*J21</f>
        <v>16.58</v>
      </c>
      <c r="M21" s="28"/>
      <c r="N21" s="31">
        <f>L21-H21</f>
        <v>6.489999999999998</v>
      </c>
      <c r="O21" s="32">
        <f>IF((H21)=0,"",(N21/H21))</f>
        <v>0.6432111000991079</v>
      </c>
    </row>
    <row r="22" spans="2:15" ht="36.75" customHeight="1">
      <c r="B22" s="65" t="s">
        <v>62</v>
      </c>
      <c r="C22" s="22"/>
      <c r="D22" s="56" t="s">
        <v>60</v>
      </c>
      <c r="E22" s="24"/>
      <c r="F22" s="174">
        <v>0.01</v>
      </c>
      <c r="G22" s="26">
        <v>1</v>
      </c>
      <c r="H22" s="27">
        <f aca="true" t="shared" si="0" ref="H22:H36">G22*F22</f>
        <v>0.01</v>
      </c>
      <c r="I22" s="28"/>
      <c r="J22" s="29"/>
      <c r="K22" s="30">
        <v>1</v>
      </c>
      <c r="L22" s="27">
        <f>K22*J22</f>
        <v>0</v>
      </c>
      <c r="M22" s="28"/>
      <c r="N22" s="31">
        <f>L22-H22</f>
        <v>-0.01</v>
      </c>
      <c r="O22" s="32">
        <f>IF((H22)=0,"",(N22/H22))</f>
        <v>-1</v>
      </c>
    </row>
    <row r="23" spans="2:15" ht="36.75" customHeight="1">
      <c r="B23" s="176" t="s">
        <v>63</v>
      </c>
      <c r="C23" s="22"/>
      <c r="D23" s="56" t="s">
        <v>60</v>
      </c>
      <c r="E23" s="57"/>
      <c r="F23" s="174">
        <v>2.22</v>
      </c>
      <c r="G23" s="26">
        <v>1</v>
      </c>
      <c r="H23" s="27">
        <f t="shared" si="0"/>
        <v>2.22</v>
      </c>
      <c r="I23" s="28"/>
      <c r="J23" s="29"/>
      <c r="K23" s="30">
        <v>1</v>
      </c>
      <c r="L23" s="27">
        <f aca="true" t="shared" si="1" ref="L23:L36">K23*J23</f>
        <v>0</v>
      </c>
      <c r="M23" s="28"/>
      <c r="N23" s="31">
        <f aca="true" t="shared" si="2" ref="N23:N64">L23-H23</f>
        <v>-2.22</v>
      </c>
      <c r="O23" s="32">
        <f aca="true" t="shared" si="3" ref="O23:O44">IF((H23)=0,"",(N23/H23))</f>
        <v>-1</v>
      </c>
    </row>
    <row r="24" spans="2:15" ht="15">
      <c r="B24" s="176" t="s">
        <v>64</v>
      </c>
      <c r="C24" s="22"/>
      <c r="D24" s="23" t="s">
        <v>60</v>
      </c>
      <c r="E24" s="24"/>
      <c r="F24" s="25"/>
      <c r="G24" s="26">
        <v>1</v>
      </c>
      <c r="H24" s="27">
        <f t="shared" si="0"/>
        <v>0</v>
      </c>
      <c r="I24" s="28"/>
      <c r="J24" s="174">
        <v>3.25</v>
      </c>
      <c r="K24" s="30">
        <v>1</v>
      </c>
      <c r="L24" s="27">
        <f t="shared" si="1"/>
        <v>3.25</v>
      </c>
      <c r="M24" s="28"/>
      <c r="N24" s="31">
        <f t="shared" si="2"/>
        <v>3.25</v>
      </c>
      <c r="O24" s="32">
        <f t="shared" si="3"/>
      </c>
    </row>
    <row r="25" spans="2:15" ht="15">
      <c r="B25" s="46" t="s">
        <v>65</v>
      </c>
      <c r="C25" s="22"/>
      <c r="D25" s="23" t="s">
        <v>61</v>
      </c>
      <c r="E25" s="24"/>
      <c r="F25" s="25">
        <v>-0.0001</v>
      </c>
      <c r="G25" s="26">
        <f>$F$16</f>
        <v>2000</v>
      </c>
      <c r="H25" s="27">
        <f t="shared" si="0"/>
        <v>-0.2</v>
      </c>
      <c r="I25" s="28"/>
      <c r="J25" s="174"/>
      <c r="K25" s="26">
        <f>$F$16</f>
        <v>2000</v>
      </c>
      <c r="L25" s="27">
        <f t="shared" si="1"/>
        <v>0</v>
      </c>
      <c r="M25" s="28"/>
      <c r="N25" s="31">
        <f t="shared" si="2"/>
        <v>0.2</v>
      </c>
      <c r="O25" s="32">
        <f t="shared" si="3"/>
        <v>-1</v>
      </c>
    </row>
    <row r="26" spans="2:15" ht="15">
      <c r="B26" s="46" t="s">
        <v>66</v>
      </c>
      <c r="C26" s="22"/>
      <c r="D26" s="23" t="s">
        <v>61</v>
      </c>
      <c r="E26" s="24"/>
      <c r="F26" s="25"/>
      <c r="G26" s="26">
        <f>$F$16</f>
        <v>2000</v>
      </c>
      <c r="H26" s="27">
        <f t="shared" si="0"/>
        <v>0</v>
      </c>
      <c r="I26" s="28"/>
      <c r="J26" s="29">
        <f>'[4]6. Rate Rider Calculations'!$F$75</f>
        <v>-0.0023955525753637957</v>
      </c>
      <c r="K26" s="26">
        <f>$F$16</f>
        <v>2000</v>
      </c>
      <c r="L26" s="27">
        <f t="shared" si="1"/>
        <v>-4.791105150727591</v>
      </c>
      <c r="M26" s="28"/>
      <c r="N26" s="31">
        <f t="shared" si="2"/>
        <v>-4.791105150727591</v>
      </c>
      <c r="O26" s="32">
        <f t="shared" si="3"/>
      </c>
    </row>
    <row r="27" spans="2:15" ht="15">
      <c r="B27" s="22" t="s">
        <v>19</v>
      </c>
      <c r="C27" s="22"/>
      <c r="D27" s="23" t="s">
        <v>61</v>
      </c>
      <c r="E27" s="24"/>
      <c r="F27" s="25">
        <f>'[2]2013 Existing Rates'!$E$6</f>
        <v>0.0163</v>
      </c>
      <c r="G27" s="26">
        <f>$F$16</f>
        <v>2000</v>
      </c>
      <c r="H27" s="27">
        <f t="shared" si="0"/>
        <v>32.599999999999994</v>
      </c>
      <c r="I27" s="28"/>
      <c r="J27" s="29">
        <f>'[3]Rate Schedule '!$E$11</f>
        <v>0.0119</v>
      </c>
      <c r="K27" s="26">
        <f>$F$16</f>
        <v>2000</v>
      </c>
      <c r="L27" s="27">
        <f t="shared" si="1"/>
        <v>23.8</v>
      </c>
      <c r="M27" s="28"/>
      <c r="N27" s="31">
        <f t="shared" si="2"/>
        <v>-8.799999999999994</v>
      </c>
      <c r="O27" s="32">
        <f t="shared" si="3"/>
        <v>-0.2699386503067483</v>
      </c>
    </row>
    <row r="28" spans="2:15" ht="15" hidden="1">
      <c r="B28" s="22" t="s">
        <v>20</v>
      </c>
      <c r="C28" s="22"/>
      <c r="D28" s="23"/>
      <c r="E28" s="24"/>
      <c r="F28" s="25"/>
      <c r="G28" s="26">
        <f>$F$16</f>
        <v>2000</v>
      </c>
      <c r="H28" s="27">
        <f t="shared" si="0"/>
        <v>0</v>
      </c>
      <c r="I28" s="28"/>
      <c r="J28" s="29"/>
      <c r="K28" s="26">
        <f aca="true" t="shared" si="4" ref="K28:K36">$F$16</f>
        <v>2000</v>
      </c>
      <c r="L28" s="27">
        <f t="shared" si="1"/>
        <v>0</v>
      </c>
      <c r="M28" s="28"/>
      <c r="N28" s="31">
        <f t="shared" si="2"/>
        <v>0</v>
      </c>
      <c r="O28" s="32">
        <f t="shared" si="3"/>
      </c>
    </row>
    <row r="29" spans="2:15" ht="15" hidden="1">
      <c r="B29" s="22" t="s">
        <v>21</v>
      </c>
      <c r="C29" s="22"/>
      <c r="D29" s="23"/>
      <c r="E29" s="24"/>
      <c r="F29" s="25"/>
      <c r="G29" s="26">
        <f>$F$16</f>
        <v>2000</v>
      </c>
      <c r="H29" s="27">
        <f t="shared" si="0"/>
        <v>0</v>
      </c>
      <c r="I29" s="28"/>
      <c r="J29" s="29"/>
      <c r="K29" s="26">
        <f t="shared" si="4"/>
        <v>2000</v>
      </c>
      <c r="L29" s="27">
        <f t="shared" si="1"/>
        <v>0</v>
      </c>
      <c r="M29" s="28"/>
      <c r="N29" s="31">
        <f t="shared" si="2"/>
        <v>0</v>
      </c>
      <c r="O29" s="32">
        <f t="shared" si="3"/>
      </c>
    </row>
    <row r="30" spans="2:15" ht="15" hidden="1">
      <c r="B30" s="33"/>
      <c r="C30" s="22"/>
      <c r="D30" s="23"/>
      <c r="E30" s="24"/>
      <c r="F30" s="25"/>
      <c r="G30" s="26">
        <f aca="true" t="shared" si="5" ref="G30:G36">$F$16</f>
        <v>2000</v>
      </c>
      <c r="H30" s="27">
        <f t="shared" si="0"/>
        <v>0</v>
      </c>
      <c r="I30" s="28"/>
      <c r="J30" s="29"/>
      <c r="K30" s="26">
        <f t="shared" si="4"/>
        <v>2000</v>
      </c>
      <c r="L30" s="27">
        <f t="shared" si="1"/>
        <v>0</v>
      </c>
      <c r="M30" s="28"/>
      <c r="N30" s="31">
        <f t="shared" si="2"/>
        <v>0</v>
      </c>
      <c r="O30" s="32">
        <f t="shared" si="3"/>
      </c>
    </row>
    <row r="31" spans="2:15" ht="15" hidden="1">
      <c r="B31" s="33"/>
      <c r="C31" s="22"/>
      <c r="D31" s="23"/>
      <c r="E31" s="24"/>
      <c r="F31" s="25"/>
      <c r="G31" s="26">
        <f t="shared" si="5"/>
        <v>2000</v>
      </c>
      <c r="H31" s="27">
        <f t="shared" si="0"/>
        <v>0</v>
      </c>
      <c r="I31" s="28"/>
      <c r="J31" s="29"/>
      <c r="K31" s="26">
        <f t="shared" si="4"/>
        <v>2000</v>
      </c>
      <c r="L31" s="27">
        <f t="shared" si="1"/>
        <v>0</v>
      </c>
      <c r="M31" s="28"/>
      <c r="N31" s="31">
        <f t="shared" si="2"/>
        <v>0</v>
      </c>
      <c r="O31" s="32">
        <f t="shared" si="3"/>
      </c>
    </row>
    <row r="32" spans="2:15" ht="15" hidden="1">
      <c r="B32" s="33"/>
      <c r="C32" s="22"/>
      <c r="D32" s="23"/>
      <c r="E32" s="24"/>
      <c r="F32" s="25"/>
      <c r="G32" s="26">
        <f t="shared" si="5"/>
        <v>2000</v>
      </c>
      <c r="H32" s="27">
        <f t="shared" si="0"/>
        <v>0</v>
      </c>
      <c r="I32" s="28"/>
      <c r="J32" s="29"/>
      <c r="K32" s="26">
        <f t="shared" si="4"/>
        <v>2000</v>
      </c>
      <c r="L32" s="27">
        <f t="shared" si="1"/>
        <v>0</v>
      </c>
      <c r="M32" s="28"/>
      <c r="N32" s="31">
        <f t="shared" si="2"/>
        <v>0</v>
      </c>
      <c r="O32" s="32">
        <f t="shared" si="3"/>
      </c>
    </row>
    <row r="33" spans="2:15" ht="15" hidden="1">
      <c r="B33" s="33"/>
      <c r="C33" s="22"/>
      <c r="D33" s="23"/>
      <c r="E33" s="24"/>
      <c r="F33" s="25"/>
      <c r="G33" s="26">
        <f t="shared" si="5"/>
        <v>2000</v>
      </c>
      <c r="H33" s="27">
        <f t="shared" si="0"/>
        <v>0</v>
      </c>
      <c r="I33" s="28"/>
      <c r="J33" s="29"/>
      <c r="K33" s="26">
        <f t="shared" si="4"/>
        <v>2000</v>
      </c>
      <c r="L33" s="27">
        <f t="shared" si="1"/>
        <v>0</v>
      </c>
      <c r="M33" s="28"/>
      <c r="N33" s="31">
        <f t="shared" si="2"/>
        <v>0</v>
      </c>
      <c r="O33" s="32">
        <f t="shared" si="3"/>
      </c>
    </row>
    <row r="34" spans="2:15" ht="15" hidden="1">
      <c r="B34" s="33"/>
      <c r="C34" s="22"/>
      <c r="D34" s="23"/>
      <c r="E34" s="24"/>
      <c r="F34" s="25"/>
      <c r="G34" s="26">
        <f t="shared" si="5"/>
        <v>2000</v>
      </c>
      <c r="H34" s="27">
        <f t="shared" si="0"/>
        <v>0</v>
      </c>
      <c r="I34" s="28"/>
      <c r="J34" s="29"/>
      <c r="K34" s="26">
        <f t="shared" si="4"/>
        <v>2000</v>
      </c>
      <c r="L34" s="27">
        <f t="shared" si="1"/>
        <v>0</v>
      </c>
      <c r="M34" s="28"/>
      <c r="N34" s="31">
        <f t="shared" si="2"/>
        <v>0</v>
      </c>
      <c r="O34" s="32">
        <f t="shared" si="3"/>
      </c>
    </row>
    <row r="35" spans="2:15" ht="15" hidden="1">
      <c r="B35" s="33"/>
      <c r="C35" s="22"/>
      <c r="D35" s="23"/>
      <c r="E35" s="24"/>
      <c r="F35" s="25"/>
      <c r="G35" s="26">
        <f t="shared" si="5"/>
        <v>2000</v>
      </c>
      <c r="H35" s="27">
        <f t="shared" si="0"/>
        <v>0</v>
      </c>
      <c r="I35" s="28"/>
      <c r="J35" s="29"/>
      <c r="K35" s="26">
        <f t="shared" si="4"/>
        <v>2000</v>
      </c>
      <c r="L35" s="27">
        <f t="shared" si="1"/>
        <v>0</v>
      </c>
      <c r="M35" s="28"/>
      <c r="N35" s="31">
        <f t="shared" si="2"/>
        <v>0</v>
      </c>
      <c r="O35" s="32">
        <f t="shared" si="3"/>
      </c>
    </row>
    <row r="36" spans="2:15" ht="15" hidden="1">
      <c r="B36" s="33"/>
      <c r="C36" s="22"/>
      <c r="D36" s="23"/>
      <c r="E36" s="24"/>
      <c r="F36" s="25"/>
      <c r="G36" s="26">
        <f t="shared" si="5"/>
        <v>2000</v>
      </c>
      <c r="H36" s="27">
        <f t="shared" si="0"/>
        <v>0</v>
      </c>
      <c r="I36" s="28"/>
      <c r="J36" s="29"/>
      <c r="K36" s="26">
        <f t="shared" si="4"/>
        <v>2000</v>
      </c>
      <c r="L36" s="27">
        <f t="shared" si="1"/>
        <v>0</v>
      </c>
      <c r="M36" s="28"/>
      <c r="N36" s="31">
        <f t="shared" si="2"/>
        <v>0</v>
      </c>
      <c r="O36" s="32">
        <f t="shared" si="3"/>
      </c>
    </row>
    <row r="37" spans="2:15" s="34" customFormat="1" ht="15">
      <c r="B37" s="35" t="s">
        <v>22</v>
      </c>
      <c r="C37" s="36"/>
      <c r="D37" s="37"/>
      <c r="E37" s="36"/>
      <c r="F37" s="38"/>
      <c r="G37" s="39"/>
      <c r="H37" s="40">
        <f>SUM(H21:H36)</f>
        <v>44.72</v>
      </c>
      <c r="I37" s="41"/>
      <c r="J37" s="42"/>
      <c r="K37" s="43"/>
      <c r="L37" s="40">
        <f>SUM(L21:L36)</f>
        <v>38.83889484927241</v>
      </c>
      <c r="M37" s="41"/>
      <c r="N37" s="44">
        <f t="shared" si="2"/>
        <v>-5.881105150727592</v>
      </c>
      <c r="O37" s="45">
        <f t="shared" si="3"/>
        <v>-0.13150950694829142</v>
      </c>
    </row>
    <row r="38" spans="2:15" ht="15" hidden="1">
      <c r="B38" s="176"/>
      <c r="C38" s="22"/>
      <c r="D38" s="56" t="s">
        <v>60</v>
      </c>
      <c r="E38" s="24"/>
      <c r="F38" s="25"/>
      <c r="G38" s="26">
        <v>1</v>
      </c>
      <c r="H38" s="27">
        <f>G38*F38</f>
        <v>0</v>
      </c>
      <c r="I38" s="28"/>
      <c r="J38" s="174"/>
      <c r="K38" s="30">
        <v>1</v>
      </c>
      <c r="L38" s="27">
        <f>K38*J38</f>
        <v>0</v>
      </c>
      <c r="M38" s="28"/>
      <c r="N38" s="31">
        <f>L38-H38</f>
        <v>0</v>
      </c>
      <c r="O38" s="32">
        <f>IF((H38)=0,"",(N38/H38))</f>
      </c>
    </row>
    <row r="39" spans="2:15" ht="25.5">
      <c r="B39" s="46" t="s">
        <v>23</v>
      </c>
      <c r="C39" s="22"/>
      <c r="D39" s="56" t="s">
        <v>61</v>
      </c>
      <c r="E39" s="57"/>
      <c r="F39" s="29">
        <v>0.0003</v>
      </c>
      <c r="G39" s="26">
        <f>$F$16</f>
        <v>2000</v>
      </c>
      <c r="H39" s="27">
        <f aca="true" t="shared" si="6" ref="H39:H45">G39*F39</f>
        <v>0.6</v>
      </c>
      <c r="I39" s="28"/>
      <c r="J39" s="29">
        <f>'[4]6. Rate Rider Calculations'!$F$20</f>
        <v>-0.0007408030378165835</v>
      </c>
      <c r="K39" s="26">
        <f>$F$16</f>
        <v>2000</v>
      </c>
      <c r="L39" s="27">
        <f aca="true" t="shared" si="7" ref="L39:L45">K39*J39</f>
        <v>-1.481606075633167</v>
      </c>
      <c r="M39" s="28"/>
      <c r="N39" s="31">
        <f t="shared" si="2"/>
        <v>-2.081606075633167</v>
      </c>
      <c r="O39" s="32">
        <f t="shared" si="3"/>
        <v>-3.469343459388612</v>
      </c>
    </row>
    <row r="40" spans="2:15" ht="15" hidden="1">
      <c r="B40" s="46"/>
      <c r="C40" s="22"/>
      <c r="D40" s="23" t="s">
        <v>61</v>
      </c>
      <c r="E40" s="24"/>
      <c r="F40" s="25"/>
      <c r="G40" s="26">
        <f>$F$16</f>
        <v>2000</v>
      </c>
      <c r="H40" s="27">
        <f t="shared" si="6"/>
        <v>0</v>
      </c>
      <c r="I40" s="47"/>
      <c r="J40" s="29"/>
      <c r="K40" s="26">
        <f>$F$16</f>
        <v>2000</v>
      </c>
      <c r="L40" s="27">
        <f t="shared" si="7"/>
        <v>0</v>
      </c>
      <c r="M40" s="48"/>
      <c r="N40" s="31">
        <f t="shared" si="2"/>
        <v>0</v>
      </c>
      <c r="O40" s="32">
        <f t="shared" si="3"/>
      </c>
    </row>
    <row r="41" spans="2:15" ht="15" hidden="1">
      <c r="B41" s="46"/>
      <c r="C41" s="22"/>
      <c r="D41" s="23" t="s">
        <v>61</v>
      </c>
      <c r="E41" s="24"/>
      <c r="F41" s="25"/>
      <c r="G41" s="26">
        <f>$F$16</f>
        <v>2000</v>
      </c>
      <c r="H41" s="27">
        <f t="shared" si="6"/>
        <v>0</v>
      </c>
      <c r="I41" s="47"/>
      <c r="J41" s="29"/>
      <c r="K41" s="26">
        <f>$F$16</f>
        <v>2000</v>
      </c>
      <c r="L41" s="27">
        <f t="shared" si="7"/>
        <v>0</v>
      </c>
      <c r="M41" s="48"/>
      <c r="N41" s="31">
        <f t="shared" si="2"/>
        <v>0</v>
      </c>
      <c r="O41" s="32">
        <f t="shared" si="3"/>
      </c>
    </row>
    <row r="42" spans="2:15" ht="15" hidden="1">
      <c r="B42" s="46"/>
      <c r="C42" s="22"/>
      <c r="D42" s="23"/>
      <c r="E42" s="24"/>
      <c r="F42" s="25"/>
      <c r="G42" s="26">
        <f>$F$16</f>
        <v>2000</v>
      </c>
      <c r="H42" s="27">
        <f t="shared" si="6"/>
        <v>0</v>
      </c>
      <c r="I42" s="47"/>
      <c r="J42" s="29"/>
      <c r="K42" s="26">
        <f>$F$16</f>
        <v>2000</v>
      </c>
      <c r="L42" s="27">
        <f t="shared" si="7"/>
        <v>0</v>
      </c>
      <c r="M42" s="48"/>
      <c r="N42" s="31">
        <f t="shared" si="2"/>
        <v>0</v>
      </c>
      <c r="O42" s="32">
        <f t="shared" si="3"/>
      </c>
    </row>
    <row r="43" spans="2:15" ht="15">
      <c r="B43" s="49" t="s">
        <v>24</v>
      </c>
      <c r="C43" s="22"/>
      <c r="D43" s="23" t="s">
        <v>61</v>
      </c>
      <c r="E43" s="24"/>
      <c r="F43" s="25">
        <f>0.0001</f>
        <v>0.0001</v>
      </c>
      <c r="G43" s="26">
        <f>$F$16</f>
        <v>2000</v>
      </c>
      <c r="H43" s="27">
        <f t="shared" si="6"/>
        <v>0.2</v>
      </c>
      <c r="I43" s="28"/>
      <c r="J43" s="29">
        <f>'[3]Rate Schedule '!$E$12</f>
        <v>0.0001</v>
      </c>
      <c r="K43" s="26">
        <f>$F$16</f>
        <v>2000</v>
      </c>
      <c r="L43" s="27">
        <f t="shared" si="7"/>
        <v>0.2</v>
      </c>
      <c r="M43" s="28"/>
      <c r="N43" s="31">
        <f t="shared" si="2"/>
        <v>0</v>
      </c>
      <c r="O43" s="32">
        <f t="shared" si="3"/>
        <v>0</v>
      </c>
    </row>
    <row r="44" spans="2:15" s="34" customFormat="1" ht="15">
      <c r="B44" s="182" t="s">
        <v>25</v>
      </c>
      <c r="C44" s="24"/>
      <c r="D44" s="183" t="s">
        <v>61</v>
      </c>
      <c r="E44" s="24"/>
      <c r="F44" s="184">
        <f>IF(ISBLANK(D14)=TRUE,0,IF(D14="TOU",0.64*$F$54+0.18*$F$55+0.18*$F$56,IF(AND(D14="non-TOU",G58&gt;0),F58,F57)))</f>
        <v>0.08892</v>
      </c>
      <c r="G44" s="26">
        <f>$F$16*(1+$F$73)-$F$16</f>
        <v>57.19999999999982</v>
      </c>
      <c r="H44" s="185">
        <f t="shared" si="6"/>
        <v>5.086223999999984</v>
      </c>
      <c r="I44" s="57"/>
      <c r="J44" s="186">
        <f>0.64*$F$54+0.18*$F$55+0.18*$F$56</f>
        <v>0.08892</v>
      </c>
      <c r="K44" s="26">
        <f>$F$16*(1+$J$73)-$F$16</f>
        <v>67</v>
      </c>
      <c r="L44" s="185">
        <f t="shared" si="7"/>
        <v>5.95764</v>
      </c>
      <c r="M44" s="57"/>
      <c r="N44" s="187">
        <f t="shared" si="2"/>
        <v>0.871416000000016</v>
      </c>
      <c r="O44" s="188">
        <f t="shared" si="3"/>
        <v>0.17132867132867502</v>
      </c>
    </row>
    <row r="45" spans="2:15" ht="15">
      <c r="B45" s="49" t="s">
        <v>26</v>
      </c>
      <c r="C45" s="22"/>
      <c r="D45" s="23" t="s">
        <v>60</v>
      </c>
      <c r="E45" s="24"/>
      <c r="F45" s="179">
        <v>0.79</v>
      </c>
      <c r="G45" s="26">
        <v>1</v>
      </c>
      <c r="H45" s="27">
        <f t="shared" si="6"/>
        <v>0.79</v>
      </c>
      <c r="I45" s="28"/>
      <c r="J45" s="179">
        <v>0.79</v>
      </c>
      <c r="K45" s="26">
        <v>1</v>
      </c>
      <c r="L45" s="27">
        <f t="shared" si="7"/>
        <v>0.79</v>
      </c>
      <c r="M45" s="28"/>
      <c r="N45" s="31">
        <f t="shared" si="2"/>
        <v>0</v>
      </c>
      <c r="O45" s="32"/>
    </row>
    <row r="46" spans="2:15" ht="25.5">
      <c r="B46" s="50" t="s">
        <v>27</v>
      </c>
      <c r="C46" s="51"/>
      <c r="D46" s="51"/>
      <c r="E46" s="51"/>
      <c r="F46" s="52"/>
      <c r="G46" s="53"/>
      <c r="H46" s="54">
        <f>SUM(H38:H45)+H37</f>
        <v>51.39622399999998</v>
      </c>
      <c r="I46" s="41"/>
      <c r="J46" s="53"/>
      <c r="K46" s="55"/>
      <c r="L46" s="54">
        <f>SUM(L38:L45)+L37</f>
        <v>44.30492877363924</v>
      </c>
      <c r="M46" s="41"/>
      <c r="N46" s="44">
        <f t="shared" si="2"/>
        <v>-7.091295226360742</v>
      </c>
      <c r="O46" s="45">
        <f aca="true" t="shared" si="8" ref="O46:O64">IF((H46)=0,"",(N46/H46))</f>
        <v>-0.13797307806816206</v>
      </c>
    </row>
    <row r="47" spans="2:15" ht="15">
      <c r="B47" s="28" t="s">
        <v>28</v>
      </c>
      <c r="C47" s="28"/>
      <c r="D47" s="56" t="s">
        <v>61</v>
      </c>
      <c r="E47" s="57"/>
      <c r="F47" s="29">
        <v>0.0062</v>
      </c>
      <c r="G47" s="58">
        <f>F16*(1+F73)</f>
        <v>2057.2</v>
      </c>
      <c r="H47" s="27">
        <f>G47*F47</f>
        <v>12.754639999999998</v>
      </c>
      <c r="I47" s="28"/>
      <c r="J47" s="29">
        <f>'[5]13. Final 2014 RTS Rates'!$F$26</f>
        <v>0.006672891733385364</v>
      </c>
      <c r="K47" s="59">
        <f>F16*(1+J73)</f>
        <v>2067</v>
      </c>
      <c r="L47" s="27">
        <f>K47*J47</f>
        <v>13.792867212907547</v>
      </c>
      <c r="M47" s="28"/>
      <c r="N47" s="31">
        <f t="shared" si="2"/>
        <v>1.0382272129075485</v>
      </c>
      <c r="O47" s="32">
        <f t="shared" si="8"/>
        <v>0.0813999621241798</v>
      </c>
    </row>
    <row r="48" spans="2:15" ht="30">
      <c r="B48" s="60" t="s">
        <v>29</v>
      </c>
      <c r="C48" s="28"/>
      <c r="D48" s="56" t="s">
        <v>61</v>
      </c>
      <c r="E48" s="57"/>
      <c r="F48" s="29">
        <v>0.0036</v>
      </c>
      <c r="G48" s="58">
        <f>G47</f>
        <v>2057.2</v>
      </c>
      <c r="H48" s="27">
        <f>G48*F48</f>
        <v>7.405919999999999</v>
      </c>
      <c r="I48" s="28"/>
      <c r="J48" s="29">
        <f>'[5]13. Final 2014 RTS Rates'!$H$26</f>
        <v>0.004150792266205902</v>
      </c>
      <c r="K48" s="59">
        <f>K47</f>
        <v>2067</v>
      </c>
      <c r="L48" s="27">
        <f>K48*J48</f>
        <v>8.5796876142476</v>
      </c>
      <c r="M48" s="28"/>
      <c r="N48" s="31">
        <f t="shared" si="2"/>
        <v>1.173767614247601</v>
      </c>
      <c r="O48" s="32">
        <f t="shared" si="8"/>
        <v>0.15849045280634966</v>
      </c>
    </row>
    <row r="49" spans="2:15" ht="25.5">
      <c r="B49" s="50" t="s">
        <v>30</v>
      </c>
      <c r="C49" s="36"/>
      <c r="D49" s="36"/>
      <c r="E49" s="36"/>
      <c r="F49" s="61"/>
      <c r="G49" s="53"/>
      <c r="H49" s="54">
        <f>SUM(H46:H48)</f>
        <v>71.55678399999998</v>
      </c>
      <c r="I49" s="62"/>
      <c r="J49" s="63"/>
      <c r="K49" s="64"/>
      <c r="L49" s="54">
        <f>SUM(L46:L48)</f>
        <v>66.67748360079439</v>
      </c>
      <c r="M49" s="62"/>
      <c r="N49" s="44">
        <f t="shared" si="2"/>
        <v>-4.87930039920559</v>
      </c>
      <c r="O49" s="45">
        <f t="shared" si="8"/>
        <v>-0.06818781010624501</v>
      </c>
    </row>
    <row r="50" spans="2:15" ht="30">
      <c r="B50" s="65" t="s">
        <v>31</v>
      </c>
      <c r="C50" s="22"/>
      <c r="D50" s="23" t="s">
        <v>61</v>
      </c>
      <c r="E50" s="24"/>
      <c r="F50" s="66">
        <v>0.0044</v>
      </c>
      <c r="G50" s="58">
        <f>G48</f>
        <v>2057.2</v>
      </c>
      <c r="H50" s="67">
        <f aca="true" t="shared" si="9" ref="H50:H56">G50*F50</f>
        <v>9.05168</v>
      </c>
      <c r="I50" s="28"/>
      <c r="J50" s="68">
        <v>0.0044</v>
      </c>
      <c r="K50" s="59">
        <f>K48</f>
        <v>2067</v>
      </c>
      <c r="L50" s="67">
        <f aca="true" t="shared" si="10" ref="L50:L56">K50*J50</f>
        <v>9.094800000000001</v>
      </c>
      <c r="M50" s="28"/>
      <c r="N50" s="31">
        <f t="shared" si="2"/>
        <v>0.043120000000001824</v>
      </c>
      <c r="O50" s="69">
        <f t="shared" si="8"/>
        <v>0.004763756562317915</v>
      </c>
    </row>
    <row r="51" spans="2:15" ht="15">
      <c r="B51" s="65" t="s">
        <v>32</v>
      </c>
      <c r="C51" s="22"/>
      <c r="D51" s="23" t="s">
        <v>61</v>
      </c>
      <c r="E51" s="24"/>
      <c r="F51" s="66">
        <v>0.0012</v>
      </c>
      <c r="G51" s="58">
        <f>G48</f>
        <v>2057.2</v>
      </c>
      <c r="H51" s="67">
        <f t="shared" si="9"/>
        <v>2.4686399999999997</v>
      </c>
      <c r="I51" s="28"/>
      <c r="J51" s="68">
        <v>0.0012</v>
      </c>
      <c r="K51" s="59">
        <f>K48</f>
        <v>2067</v>
      </c>
      <c r="L51" s="67">
        <f t="shared" si="10"/>
        <v>2.4804</v>
      </c>
      <c r="M51" s="28"/>
      <c r="N51" s="31">
        <f t="shared" si="2"/>
        <v>0.011760000000000215</v>
      </c>
      <c r="O51" s="69">
        <f t="shared" si="8"/>
        <v>0.004763756562317801</v>
      </c>
    </row>
    <row r="52" spans="2:15" ht="15">
      <c r="B52" s="22" t="s">
        <v>33</v>
      </c>
      <c r="C52" s="22"/>
      <c r="D52" s="23" t="s">
        <v>60</v>
      </c>
      <c r="E52" s="24"/>
      <c r="F52" s="177">
        <v>0.25</v>
      </c>
      <c r="G52" s="26">
        <v>1</v>
      </c>
      <c r="H52" s="67">
        <f t="shared" si="9"/>
        <v>0.25</v>
      </c>
      <c r="I52" s="28"/>
      <c r="J52" s="178">
        <v>0.25</v>
      </c>
      <c r="K52" s="30">
        <v>1</v>
      </c>
      <c r="L52" s="67">
        <f t="shared" si="10"/>
        <v>0.25</v>
      </c>
      <c r="M52" s="28"/>
      <c r="N52" s="31">
        <f t="shared" si="2"/>
        <v>0</v>
      </c>
      <c r="O52" s="69">
        <f t="shared" si="8"/>
        <v>0</v>
      </c>
    </row>
    <row r="53" spans="2:15" ht="15">
      <c r="B53" s="22" t="s">
        <v>34</v>
      </c>
      <c r="C53" s="22"/>
      <c r="D53" s="23" t="s">
        <v>61</v>
      </c>
      <c r="E53" s="24"/>
      <c r="F53" s="66">
        <v>0.007</v>
      </c>
      <c r="G53" s="70">
        <f>F16</f>
        <v>2000</v>
      </c>
      <c r="H53" s="67">
        <f t="shared" si="9"/>
        <v>14</v>
      </c>
      <c r="I53" s="28"/>
      <c r="J53" s="68">
        <f>0.007</f>
        <v>0.007</v>
      </c>
      <c r="K53" s="71">
        <f>F16</f>
        <v>2000</v>
      </c>
      <c r="L53" s="67">
        <f t="shared" si="10"/>
        <v>14</v>
      </c>
      <c r="M53" s="28"/>
      <c r="N53" s="31">
        <f t="shared" si="2"/>
        <v>0</v>
      </c>
      <c r="O53" s="69">
        <f t="shared" si="8"/>
        <v>0</v>
      </c>
    </row>
    <row r="54" spans="2:19" ht="15">
      <c r="B54" s="49" t="s">
        <v>35</v>
      </c>
      <c r="C54" s="22"/>
      <c r="D54" s="23" t="s">
        <v>61</v>
      </c>
      <c r="E54" s="24"/>
      <c r="F54" s="72">
        <v>0.072</v>
      </c>
      <c r="G54" s="70">
        <f>0.64*$F$16</f>
        <v>1280</v>
      </c>
      <c r="H54" s="67">
        <f t="shared" si="9"/>
        <v>92.16</v>
      </c>
      <c r="I54" s="28"/>
      <c r="J54" s="66">
        <v>0.072</v>
      </c>
      <c r="K54" s="70">
        <f>G54</f>
        <v>1280</v>
      </c>
      <c r="L54" s="67">
        <f t="shared" si="10"/>
        <v>92.16</v>
      </c>
      <c r="M54" s="28"/>
      <c r="N54" s="31">
        <f t="shared" si="2"/>
        <v>0</v>
      </c>
      <c r="O54" s="69">
        <f t="shared" si="8"/>
        <v>0</v>
      </c>
      <c r="S54" s="73"/>
    </row>
    <row r="55" spans="2:19" ht="15">
      <c r="B55" s="49" t="s">
        <v>36</v>
      </c>
      <c r="C55" s="22"/>
      <c r="D55" s="23" t="s">
        <v>61</v>
      </c>
      <c r="E55" s="24"/>
      <c r="F55" s="72">
        <v>0.109</v>
      </c>
      <c r="G55" s="70">
        <f>0.18*$F$16</f>
        <v>360</v>
      </c>
      <c r="H55" s="67">
        <f t="shared" si="9"/>
        <v>39.24</v>
      </c>
      <c r="I55" s="28"/>
      <c r="J55" s="66">
        <v>0.109</v>
      </c>
      <c r="K55" s="70">
        <f>G55</f>
        <v>360</v>
      </c>
      <c r="L55" s="67">
        <f t="shared" si="10"/>
        <v>39.24</v>
      </c>
      <c r="M55" s="28"/>
      <c r="N55" s="31">
        <f t="shared" si="2"/>
        <v>0</v>
      </c>
      <c r="O55" s="69">
        <f t="shared" si="8"/>
        <v>0</v>
      </c>
      <c r="S55" s="73"/>
    </row>
    <row r="56" spans="2:19" ht="15">
      <c r="B56" s="12" t="s">
        <v>37</v>
      </c>
      <c r="C56" s="22"/>
      <c r="D56" s="23" t="s">
        <v>61</v>
      </c>
      <c r="E56" s="24"/>
      <c r="F56" s="72">
        <v>0.129</v>
      </c>
      <c r="G56" s="70">
        <f>0.18*$F$16</f>
        <v>360</v>
      </c>
      <c r="H56" s="67">
        <f t="shared" si="9"/>
        <v>46.44</v>
      </c>
      <c r="I56" s="28"/>
      <c r="J56" s="66">
        <v>0.129</v>
      </c>
      <c r="K56" s="70">
        <f>G56</f>
        <v>360</v>
      </c>
      <c r="L56" s="67">
        <f t="shared" si="10"/>
        <v>46.44</v>
      </c>
      <c r="M56" s="28"/>
      <c r="N56" s="31">
        <f t="shared" si="2"/>
        <v>0</v>
      </c>
      <c r="O56" s="69">
        <f t="shared" si="8"/>
        <v>0</v>
      </c>
      <c r="S56" s="73"/>
    </row>
    <row r="57" spans="2:15" s="74" customFormat="1" ht="15">
      <c r="B57" s="75" t="s">
        <v>38</v>
      </c>
      <c r="C57" s="76"/>
      <c r="D57" s="77" t="s">
        <v>61</v>
      </c>
      <c r="E57" s="78"/>
      <c r="F57" s="72">
        <v>0.083</v>
      </c>
      <c r="G57" s="79">
        <f>IF(AND($T$1=1,F16&gt;=600),600,IF(AND($T$1=1,AND(F16&lt;600,F16&gt;=0)),F16,IF(AND($T$1=2,F16&gt;=1000),1000,IF(AND($T$1=2,AND(F16&lt;1000,F16&gt;=0)),F16))))</f>
        <v>600</v>
      </c>
      <c r="H57" s="67">
        <f>G57*F57</f>
        <v>49.800000000000004</v>
      </c>
      <c r="I57" s="80"/>
      <c r="J57" s="66">
        <v>0.083</v>
      </c>
      <c r="K57" s="79">
        <f>G57</f>
        <v>600</v>
      </c>
      <c r="L57" s="67">
        <f>K57*J57</f>
        <v>49.800000000000004</v>
      </c>
      <c r="M57" s="80"/>
      <c r="N57" s="81">
        <f t="shared" si="2"/>
        <v>0</v>
      </c>
      <c r="O57" s="69">
        <f t="shared" si="8"/>
        <v>0</v>
      </c>
    </row>
    <row r="58" spans="2:15" s="74" customFormat="1" ht="15.75" thickBot="1">
      <c r="B58" s="75" t="s">
        <v>39</v>
      </c>
      <c r="C58" s="76"/>
      <c r="D58" s="77" t="s">
        <v>61</v>
      </c>
      <c r="E58" s="78"/>
      <c r="F58" s="72">
        <v>0.097</v>
      </c>
      <c r="G58" s="79">
        <f>IF(AND($T$1=1,F16&gt;=600),F16-600,IF(AND($T$1=1,AND(F16&lt;600,F16&gt;=0)),0,IF(AND($T$1=2,F16&gt;=1000),F16-1000,IF(AND($T$1=2,AND(F16&lt;1000,F16&gt;=0)),0))))</f>
        <v>1400</v>
      </c>
      <c r="H58" s="67">
        <f>G58*F58</f>
        <v>135.8</v>
      </c>
      <c r="I58" s="80"/>
      <c r="J58" s="66">
        <v>0.097</v>
      </c>
      <c r="K58" s="79">
        <f>G58</f>
        <v>1400</v>
      </c>
      <c r="L58" s="67">
        <f>K58*J58</f>
        <v>135.8</v>
      </c>
      <c r="M58" s="80"/>
      <c r="N58" s="81">
        <f t="shared" si="2"/>
        <v>0</v>
      </c>
      <c r="O58" s="69">
        <f t="shared" si="8"/>
        <v>0</v>
      </c>
    </row>
    <row r="59" spans="2:15" ht="8.25" customHeight="1" thickBot="1">
      <c r="B59" s="82"/>
      <c r="C59" s="83"/>
      <c r="D59" s="84"/>
      <c r="E59" s="83"/>
      <c r="F59" s="85"/>
      <c r="G59" s="86"/>
      <c r="H59" s="87"/>
      <c r="I59" s="88"/>
      <c r="J59" s="85"/>
      <c r="K59" s="89"/>
      <c r="L59" s="87"/>
      <c r="M59" s="88"/>
      <c r="N59" s="90"/>
      <c r="O59" s="91"/>
    </row>
    <row r="60" spans="2:19" ht="15">
      <c r="B60" s="92" t="s">
        <v>40</v>
      </c>
      <c r="C60" s="22"/>
      <c r="D60" s="22"/>
      <c r="E60" s="22"/>
      <c r="F60" s="93"/>
      <c r="G60" s="94"/>
      <c r="H60" s="95">
        <f>SUM(H50:H56,H49)</f>
        <v>275.167104</v>
      </c>
      <c r="I60" s="96"/>
      <c r="J60" s="97"/>
      <c r="K60" s="97"/>
      <c r="L60" s="191">
        <f>SUM(L50:L56,L49)</f>
        <v>270.3426836007944</v>
      </c>
      <c r="M60" s="98"/>
      <c r="N60" s="99">
        <f>L60-H60</f>
        <v>-4.824420399205621</v>
      </c>
      <c r="O60" s="100">
        <f>IF((H60)=0,"",(N60/H60))</f>
        <v>-0.017532693149271292</v>
      </c>
      <c r="S60" s="73"/>
    </row>
    <row r="61" spans="2:19" ht="15">
      <c r="B61" s="101" t="s">
        <v>41</v>
      </c>
      <c r="C61" s="22"/>
      <c r="D61" s="22"/>
      <c r="E61" s="22"/>
      <c r="F61" s="102">
        <v>0.13</v>
      </c>
      <c r="G61" s="103"/>
      <c r="H61" s="104">
        <f>H60*F61</f>
        <v>35.77172352</v>
      </c>
      <c r="I61" s="105"/>
      <c r="J61" s="106">
        <v>0.13</v>
      </c>
      <c r="K61" s="105"/>
      <c r="L61" s="107">
        <f>L60*J61</f>
        <v>35.14454886810327</v>
      </c>
      <c r="M61" s="108"/>
      <c r="N61" s="109">
        <f t="shared" si="2"/>
        <v>-0.6271746518967305</v>
      </c>
      <c r="O61" s="110">
        <f t="shared" si="8"/>
        <v>-0.017532693149271285</v>
      </c>
      <c r="S61" s="73"/>
    </row>
    <row r="62" spans="2:19" ht="15">
      <c r="B62" s="111" t="s">
        <v>42</v>
      </c>
      <c r="C62" s="22"/>
      <c r="D62" s="22"/>
      <c r="E62" s="22"/>
      <c r="F62" s="112"/>
      <c r="G62" s="103"/>
      <c r="H62" s="104">
        <f>H60+H61</f>
        <v>310.93882752</v>
      </c>
      <c r="I62" s="105"/>
      <c r="J62" s="105"/>
      <c r="K62" s="105"/>
      <c r="L62" s="107">
        <f>L60+L61</f>
        <v>305.4872324688977</v>
      </c>
      <c r="M62" s="108"/>
      <c r="N62" s="109">
        <f t="shared" si="2"/>
        <v>-5.451595051102345</v>
      </c>
      <c r="O62" s="110">
        <f t="shared" si="8"/>
        <v>-0.017532693149271267</v>
      </c>
      <c r="S62" s="73"/>
    </row>
    <row r="63" spans="2:15" ht="15.75" customHeight="1">
      <c r="B63" s="251" t="s">
        <v>43</v>
      </c>
      <c r="C63" s="251"/>
      <c r="D63" s="251"/>
      <c r="E63" s="22"/>
      <c r="F63" s="112"/>
      <c r="G63" s="103"/>
      <c r="H63" s="113">
        <f>ROUND(-H62*10%,2)</f>
        <v>-31.09</v>
      </c>
      <c r="I63" s="105"/>
      <c r="J63" s="105"/>
      <c r="K63" s="105"/>
      <c r="L63" s="114">
        <f>ROUND(-L62*10%,2)</f>
        <v>-30.55</v>
      </c>
      <c r="M63" s="108"/>
      <c r="N63" s="115">
        <f t="shared" si="2"/>
        <v>0.5399999999999991</v>
      </c>
      <c r="O63" s="116">
        <f t="shared" si="8"/>
        <v>-0.01736892891605015</v>
      </c>
    </row>
    <row r="64" spans="2:15" ht="15.75" thickBot="1">
      <c r="B64" s="233" t="s">
        <v>44</v>
      </c>
      <c r="C64" s="233"/>
      <c r="D64" s="233"/>
      <c r="E64" s="117"/>
      <c r="F64" s="118"/>
      <c r="G64" s="119"/>
      <c r="H64" s="120">
        <f>H62+H63</f>
        <v>279.84882752000004</v>
      </c>
      <c r="I64" s="121"/>
      <c r="J64" s="121"/>
      <c r="K64" s="121"/>
      <c r="L64" s="122">
        <f>L62+L63</f>
        <v>274.93723246889766</v>
      </c>
      <c r="M64" s="123"/>
      <c r="N64" s="124">
        <f t="shared" si="2"/>
        <v>-4.911595051102381</v>
      </c>
      <c r="O64" s="125">
        <f t="shared" si="8"/>
        <v>-0.0175508866505841</v>
      </c>
    </row>
    <row r="65" spans="2:15" s="74" customFormat="1" ht="8.25" customHeight="1" thickBot="1">
      <c r="B65" s="126"/>
      <c r="C65" s="127"/>
      <c r="D65" s="128"/>
      <c r="E65" s="127"/>
      <c r="F65" s="85"/>
      <c r="G65" s="129"/>
      <c r="H65" s="87"/>
      <c r="I65" s="130"/>
      <c r="J65" s="85"/>
      <c r="K65" s="131"/>
      <c r="L65" s="87"/>
      <c r="M65" s="130"/>
      <c r="N65" s="132"/>
      <c r="O65" s="91"/>
    </row>
    <row r="66" spans="2:15" s="74" customFormat="1" ht="12.75">
      <c r="B66" s="133" t="s">
        <v>45</v>
      </c>
      <c r="C66" s="76"/>
      <c r="D66" s="76"/>
      <c r="E66" s="76"/>
      <c r="F66" s="134"/>
      <c r="G66" s="135"/>
      <c r="H66" s="136">
        <f>SUM(H57:H58,H49,H50:H53)</f>
        <v>282.927104</v>
      </c>
      <c r="I66" s="137"/>
      <c r="J66" s="138"/>
      <c r="K66" s="138"/>
      <c r="L66" s="190">
        <f>SUM(L57:L58,L49,L50:L53)</f>
        <v>278.1026836007944</v>
      </c>
      <c r="M66" s="139"/>
      <c r="N66" s="140">
        <f>L66-H66</f>
        <v>-4.8244203992055645</v>
      </c>
      <c r="O66" s="100">
        <f>IF((H66)=0,"",(N66/H66))</f>
        <v>-0.017051814163430466</v>
      </c>
    </row>
    <row r="67" spans="2:15" s="74" customFormat="1" ht="12.75">
      <c r="B67" s="141" t="s">
        <v>41</v>
      </c>
      <c r="C67" s="76"/>
      <c r="D67" s="76"/>
      <c r="E67" s="76"/>
      <c r="F67" s="142">
        <v>0.13</v>
      </c>
      <c r="G67" s="135"/>
      <c r="H67" s="143">
        <f>H66*F67</f>
        <v>36.78052352</v>
      </c>
      <c r="I67" s="144"/>
      <c r="J67" s="145">
        <v>0.13</v>
      </c>
      <c r="K67" s="146"/>
      <c r="L67" s="147">
        <f>L66*J67</f>
        <v>36.15334886810328</v>
      </c>
      <c r="M67" s="148"/>
      <c r="N67" s="149">
        <f>L67-H67</f>
        <v>-0.6271746518967234</v>
      </c>
      <c r="O67" s="110">
        <f>IF((H67)=0,"",(N67/H67))</f>
        <v>-0.017051814163430466</v>
      </c>
    </row>
    <row r="68" spans="2:15" s="74" customFormat="1" ht="12.75">
      <c r="B68" s="150" t="s">
        <v>42</v>
      </c>
      <c r="C68" s="76"/>
      <c r="D68" s="76"/>
      <c r="E68" s="76"/>
      <c r="F68" s="151"/>
      <c r="G68" s="152"/>
      <c r="H68" s="143">
        <f>H66+H67</f>
        <v>319.70762751999996</v>
      </c>
      <c r="I68" s="144"/>
      <c r="J68" s="144"/>
      <c r="K68" s="144"/>
      <c r="L68" s="147">
        <f>L66+L67</f>
        <v>314.25603246889773</v>
      </c>
      <c r="M68" s="148"/>
      <c r="N68" s="149">
        <f>L68-H68</f>
        <v>-5.451595051102231</v>
      </c>
      <c r="O68" s="110">
        <f>IF((H68)=0,"",(N68/H68))</f>
        <v>-0.017051814163430292</v>
      </c>
    </row>
    <row r="69" spans="2:15" s="74" customFormat="1" ht="15.75" customHeight="1">
      <c r="B69" s="239" t="s">
        <v>43</v>
      </c>
      <c r="C69" s="239"/>
      <c r="D69" s="239"/>
      <c r="E69" s="76"/>
      <c r="F69" s="151"/>
      <c r="G69" s="152"/>
      <c r="H69" s="153">
        <f>ROUND(-H68*10%,2)</f>
        <v>-31.97</v>
      </c>
      <c r="I69" s="144"/>
      <c r="J69" s="144"/>
      <c r="K69" s="144"/>
      <c r="L69" s="154">
        <f>ROUND(-L68*10%,2)</f>
        <v>-31.43</v>
      </c>
      <c r="M69" s="148"/>
      <c r="N69" s="155">
        <f>L69-H69</f>
        <v>0.5399999999999991</v>
      </c>
      <c r="O69" s="116">
        <f>IF((H69)=0,"",(N69/H69))</f>
        <v>-0.01689083515796056</v>
      </c>
    </row>
    <row r="70" spans="2:15" s="74" customFormat="1" ht="13.5" thickBot="1">
      <c r="B70" s="244" t="s">
        <v>46</v>
      </c>
      <c r="C70" s="244"/>
      <c r="D70" s="244"/>
      <c r="E70" s="156"/>
      <c r="F70" s="157"/>
      <c r="G70" s="158"/>
      <c r="H70" s="159">
        <f>SUM(H68:H69)</f>
        <v>287.73762751999993</v>
      </c>
      <c r="I70" s="160"/>
      <c r="J70" s="160"/>
      <c r="K70" s="160"/>
      <c r="L70" s="161">
        <f>SUM(L68:L69)</f>
        <v>282.8260324688977</v>
      </c>
      <c r="M70" s="162"/>
      <c r="N70" s="163">
        <f>L70-H70</f>
        <v>-4.911595051102211</v>
      </c>
      <c r="O70" s="164">
        <f>IF((H70)=0,"",(N70/H70))</f>
        <v>-0.017069700245446063</v>
      </c>
    </row>
    <row r="71" spans="2:15" s="74" customFormat="1" ht="8.25" customHeight="1" thickBot="1">
      <c r="B71" s="126"/>
      <c r="C71" s="127"/>
      <c r="D71" s="128"/>
      <c r="E71" s="127"/>
      <c r="F71" s="165"/>
      <c r="G71" s="166"/>
      <c r="H71" s="167"/>
      <c r="I71" s="168"/>
      <c r="J71" s="165"/>
      <c r="K71" s="129"/>
      <c r="L71" s="169"/>
      <c r="M71" s="130"/>
      <c r="N71" s="170"/>
      <c r="O71" s="91"/>
    </row>
    <row r="72" ht="10.5" customHeight="1">
      <c r="L72" s="73"/>
    </row>
    <row r="73" spans="2:10" ht="15">
      <c r="B73" s="13" t="s">
        <v>47</v>
      </c>
      <c r="F73" s="171">
        <v>0.0286</v>
      </c>
      <c r="J73" s="171">
        <v>0.0335</v>
      </c>
    </row>
    <row r="74" ht="10.5" customHeight="1"/>
    <row r="75" ht="15">
      <c r="A75" s="172" t="s">
        <v>48</v>
      </c>
    </row>
    <row r="76" ht="10.5" customHeight="1"/>
    <row r="77" ht="15">
      <c r="A77" s="7" t="s">
        <v>49</v>
      </c>
    </row>
    <row r="78" ht="15">
      <c r="A78" s="7" t="s">
        <v>50</v>
      </c>
    </row>
    <row r="80" ht="15">
      <c r="A80" s="12" t="s">
        <v>51</v>
      </c>
    </row>
    <row r="81" ht="15">
      <c r="A81" s="12" t="s">
        <v>52</v>
      </c>
    </row>
    <row r="83" ht="15">
      <c r="A83" s="7" t="s">
        <v>53</v>
      </c>
    </row>
    <row r="84" ht="15">
      <c r="A84" s="7" t="s">
        <v>54</v>
      </c>
    </row>
    <row r="85" ht="15">
      <c r="A85" s="7" t="s">
        <v>55</v>
      </c>
    </row>
    <row r="86" ht="15">
      <c r="A86" s="7" t="s">
        <v>56</v>
      </c>
    </row>
    <row r="87" ht="15">
      <c r="A87" s="7" t="s">
        <v>57</v>
      </c>
    </row>
    <row r="89" spans="1:2" ht="15">
      <c r="A89" s="173"/>
      <c r="B89" s="7" t="s">
        <v>58</v>
      </c>
    </row>
  </sheetData>
  <sheetProtection/>
  <mergeCells count="18">
    <mergeCell ref="D12:O12"/>
    <mergeCell ref="F18:H18"/>
    <mergeCell ref="J18:L18"/>
    <mergeCell ref="N18:O18"/>
    <mergeCell ref="B70:D70"/>
    <mergeCell ref="D19:D20"/>
    <mergeCell ref="N19:N20"/>
    <mergeCell ref="O19:O20"/>
    <mergeCell ref="B63:D63"/>
    <mergeCell ref="B64:D64"/>
    <mergeCell ref="B69:D69"/>
    <mergeCell ref="N1:O1"/>
    <mergeCell ref="N2:O2"/>
    <mergeCell ref="N4:O4"/>
    <mergeCell ref="N5:O5"/>
    <mergeCell ref="B8:O8"/>
    <mergeCell ref="B9:O9"/>
    <mergeCell ref="N3:O3"/>
  </mergeCells>
  <dataValidations count="4">
    <dataValidation type="list" allowBlank="1" showInputMessage="1" showErrorMessage="1" sqref="E47:E48 E50:E56 E59 E38:E45 E21:E36">
      <formula1>'Res (2,000kWh)'!#REF!</formula1>
    </dataValidation>
    <dataValidation type="list" allowBlank="1" showInputMessage="1" showErrorMessage="1" prompt="Select Charge Unit - monthly, per kWh, per kW" sqref="D47:D48 D65 D71 D50:D59 D38:D45 D21:D36">
      <formula1>"Monthly, per kWh, per kW"</formula1>
    </dataValidation>
    <dataValidation type="list" allowBlank="1" showInputMessage="1" showErrorMessage="1" sqref="E71 E65 E57:E58">
      <formula1>'Res (2,000kWh)'!#REF!</formula1>
    </dataValidation>
    <dataValidation type="list" allowBlank="1" showInputMessage="1" showErrorMessage="1" sqref="D14">
      <formula1>"TOU, non-TOU"</formula1>
    </dataValidation>
  </dataValidations>
  <printOptions/>
  <pageMargins left="0.7" right="0.7" top="0.75" bottom="0.75" header="0.3" footer="0.3"/>
  <pageSetup fitToHeight="0" fitToWidth="1" horizontalDpi="600" verticalDpi="600" orientation="portrait" scale="5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9"/>
  <sheetViews>
    <sheetView showGridLines="0" zoomScalePageLayoutView="0" workbookViewId="0" topLeftCell="A1">
      <selection activeCell="F21" sqref="F21"/>
    </sheetView>
  </sheetViews>
  <sheetFormatPr defaultColWidth="9.140625" defaultRowHeight="15"/>
  <cols>
    <col min="1" max="1" width="2.140625" style="7" customWidth="1"/>
    <col min="2" max="2" width="44.57421875" style="7" customWidth="1"/>
    <col min="3" max="3" width="1.28515625" style="7" customWidth="1"/>
    <col min="4" max="4" width="11.28125" style="7" customWidth="1"/>
    <col min="5" max="5" width="1.28515625" style="7" customWidth="1"/>
    <col min="6" max="6" width="12.28125" style="7" customWidth="1"/>
    <col min="7" max="7" width="8.57421875" style="7" customWidth="1"/>
    <col min="8" max="8" width="9.7109375" style="7" customWidth="1"/>
    <col min="9" max="9" width="2.8515625" style="7" customWidth="1"/>
    <col min="10" max="10" width="12.140625" style="7" customWidth="1"/>
    <col min="11" max="11" width="8.57421875" style="7" customWidth="1"/>
    <col min="12" max="12" width="9.7109375" style="7" customWidth="1"/>
    <col min="13" max="13" width="2.8515625" style="7" customWidth="1"/>
    <col min="14" max="14" width="12.7109375" style="7" bestFit="1" customWidth="1"/>
    <col min="15" max="15" width="10.8515625" style="7" bestFit="1" customWidth="1"/>
    <col min="16" max="16" width="9.7109375" style="7" customWidth="1"/>
    <col min="17" max="20" width="9.140625" style="7" customWidth="1"/>
    <col min="21" max="16384" width="9.140625" style="7" customWidth="1"/>
  </cols>
  <sheetData>
    <row r="1" spans="1:20" s="2" customFormat="1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234" t="str">
        <f>EBNUMBER</f>
        <v>EB-2013-0116</v>
      </c>
      <c r="O1" s="234"/>
      <c r="P1" s="195"/>
      <c r="T1" s="2">
        <v>1</v>
      </c>
    </row>
    <row r="2" spans="1:16" s="2" customFormat="1" ht="1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110</v>
      </c>
      <c r="N2" s="235" t="s">
        <v>111</v>
      </c>
      <c r="O2" s="235"/>
      <c r="P2" s="196"/>
    </row>
    <row r="3" spans="3:16" s="2" customFormat="1" ht="15" customHeight="1">
      <c r="C3" s="6"/>
      <c r="D3" s="6"/>
      <c r="E3" s="6"/>
      <c r="L3" s="3" t="s">
        <v>78</v>
      </c>
      <c r="N3" s="236" t="s">
        <v>86</v>
      </c>
      <c r="O3" s="236"/>
      <c r="P3" s="195"/>
    </row>
    <row r="4" spans="12:16" s="2" customFormat="1" ht="9" customHeight="1">
      <c r="L4" s="3"/>
      <c r="N4" s="252"/>
      <c r="O4" s="252"/>
      <c r="P4" s="197"/>
    </row>
    <row r="5" spans="12:16" s="2" customFormat="1" ht="15">
      <c r="L5" s="3" t="s">
        <v>100</v>
      </c>
      <c r="N5" s="237">
        <v>41695</v>
      </c>
      <c r="O5" s="237"/>
      <c r="P5" s="198"/>
    </row>
    <row r="6" spans="14:16" s="2" customFormat="1" ht="15" customHeight="1">
      <c r="N6" s="7"/>
      <c r="O6"/>
      <c r="P6"/>
    </row>
    <row r="7" spans="12:16" ht="7.5" customHeight="1">
      <c r="L7"/>
      <c r="M7"/>
      <c r="N7"/>
      <c r="O7"/>
      <c r="P7"/>
    </row>
    <row r="8" spans="2:16" ht="18.75" customHeight="1">
      <c r="B8" s="238" t="s">
        <v>1</v>
      </c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/>
    </row>
    <row r="9" spans="2:16" ht="18.75" customHeight="1">
      <c r="B9" s="238" t="s">
        <v>2</v>
      </c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/>
    </row>
    <row r="10" spans="12:16" ht="7.5" customHeight="1">
      <c r="L10"/>
      <c r="M10"/>
      <c r="N10"/>
      <c r="O10"/>
      <c r="P10"/>
    </row>
    <row r="11" spans="12:16" ht="7.5" customHeight="1">
      <c r="L11"/>
      <c r="M11"/>
      <c r="N11"/>
      <c r="O11"/>
      <c r="P11"/>
    </row>
    <row r="12" spans="2:15" ht="15.75">
      <c r="B12" s="8" t="s">
        <v>3</v>
      </c>
      <c r="D12" s="240" t="s">
        <v>67</v>
      </c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</row>
    <row r="13" spans="2:15" ht="7.5" customHeight="1">
      <c r="B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2:15" ht="15.75">
      <c r="B14" s="8" t="s">
        <v>4</v>
      </c>
      <c r="D14" s="11" t="s">
        <v>5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2:15" ht="15.75">
      <c r="B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2:7" ht="15">
      <c r="B16" s="12"/>
      <c r="D16" s="13" t="s">
        <v>6</v>
      </c>
      <c r="E16" s="13"/>
      <c r="F16" s="14">
        <v>1000</v>
      </c>
      <c r="G16" s="13" t="s">
        <v>7</v>
      </c>
    </row>
    <row r="17" ht="15">
      <c r="B17" s="12"/>
    </row>
    <row r="18" spans="2:15" ht="15">
      <c r="B18" s="12"/>
      <c r="D18" s="15"/>
      <c r="E18" s="15"/>
      <c r="F18" s="241" t="s">
        <v>8</v>
      </c>
      <c r="G18" s="242"/>
      <c r="H18" s="243"/>
      <c r="J18" s="241" t="s">
        <v>9</v>
      </c>
      <c r="K18" s="242"/>
      <c r="L18" s="243"/>
      <c r="N18" s="241" t="s">
        <v>10</v>
      </c>
      <c r="O18" s="243"/>
    </row>
    <row r="19" spans="2:15" ht="15">
      <c r="B19" s="12"/>
      <c r="D19" s="245" t="s">
        <v>11</v>
      </c>
      <c r="E19" s="16"/>
      <c r="F19" s="17" t="s">
        <v>12</v>
      </c>
      <c r="G19" s="17" t="s">
        <v>13</v>
      </c>
      <c r="H19" s="18" t="s">
        <v>14</v>
      </c>
      <c r="J19" s="17" t="s">
        <v>12</v>
      </c>
      <c r="K19" s="19" t="s">
        <v>13</v>
      </c>
      <c r="L19" s="18" t="s">
        <v>14</v>
      </c>
      <c r="N19" s="247" t="s">
        <v>15</v>
      </c>
      <c r="O19" s="249" t="s">
        <v>16</v>
      </c>
    </row>
    <row r="20" spans="2:15" ht="15">
      <c r="B20" s="12"/>
      <c r="D20" s="246"/>
      <c r="E20" s="16"/>
      <c r="F20" s="20" t="s">
        <v>17</v>
      </c>
      <c r="G20" s="20"/>
      <c r="H20" s="21" t="s">
        <v>17</v>
      </c>
      <c r="J20" s="20" t="s">
        <v>17</v>
      </c>
      <c r="K20" s="21"/>
      <c r="L20" s="21" t="s">
        <v>17</v>
      </c>
      <c r="N20" s="248"/>
      <c r="O20" s="250"/>
    </row>
    <row r="21" spans="2:15" ht="22.5" customHeight="1">
      <c r="B21" s="22" t="s">
        <v>18</v>
      </c>
      <c r="C21" s="22"/>
      <c r="D21" s="23" t="s">
        <v>60</v>
      </c>
      <c r="E21" s="24"/>
      <c r="F21" s="175">
        <f>'[2]2013 Existing Rates'!$C$7</f>
        <v>11.92</v>
      </c>
      <c r="G21" s="26">
        <v>1</v>
      </c>
      <c r="H21" s="27">
        <f>G21*F21</f>
        <v>11.92</v>
      </c>
      <c r="I21" s="28"/>
      <c r="J21" s="174">
        <f>'[3]Rate Schedule '!$E$16</f>
        <v>25.58</v>
      </c>
      <c r="K21" s="30">
        <v>1</v>
      </c>
      <c r="L21" s="27">
        <f>K21*J21</f>
        <v>25.58</v>
      </c>
      <c r="M21" s="28"/>
      <c r="N21" s="31">
        <f>L21-H21</f>
        <v>13.659999999999998</v>
      </c>
      <c r="O21" s="32">
        <f>IF((H21)=0,"",(N21/H21))</f>
        <v>1.1459731543624159</v>
      </c>
    </row>
    <row r="22" spans="2:15" ht="36.75" customHeight="1">
      <c r="B22" s="65" t="s">
        <v>62</v>
      </c>
      <c r="C22" s="22"/>
      <c r="D22" s="56" t="s">
        <v>60</v>
      </c>
      <c r="E22" s="24"/>
      <c r="F22" s="174">
        <v>4.89</v>
      </c>
      <c r="G22" s="26">
        <v>1</v>
      </c>
      <c r="H22" s="27">
        <f aca="true" t="shared" si="0" ref="H22:H36">G22*F22</f>
        <v>4.89</v>
      </c>
      <c r="I22" s="28"/>
      <c r="J22" s="29"/>
      <c r="K22" s="30">
        <v>1</v>
      </c>
      <c r="L22" s="27">
        <f>K22*J22</f>
        <v>0</v>
      </c>
      <c r="M22" s="28"/>
      <c r="N22" s="31">
        <f>L22-H22</f>
        <v>-4.89</v>
      </c>
      <c r="O22" s="32">
        <f>IF((H22)=0,"",(N22/H22))</f>
        <v>-1</v>
      </c>
    </row>
    <row r="23" spans="2:15" ht="36.75" customHeight="1">
      <c r="B23" s="176" t="s">
        <v>63</v>
      </c>
      <c r="C23" s="22"/>
      <c r="D23" s="56" t="s">
        <v>60</v>
      </c>
      <c r="E23" s="57"/>
      <c r="F23" s="174">
        <v>6.2</v>
      </c>
      <c r="G23" s="26">
        <v>1</v>
      </c>
      <c r="H23" s="27">
        <f t="shared" si="0"/>
        <v>6.2</v>
      </c>
      <c r="I23" s="28"/>
      <c r="J23" s="29"/>
      <c r="K23" s="30">
        <v>1</v>
      </c>
      <c r="L23" s="27">
        <f aca="true" t="shared" si="1" ref="L23:L36">K23*J23</f>
        <v>0</v>
      </c>
      <c r="M23" s="28"/>
      <c r="N23" s="31">
        <f aca="true" t="shared" si="2" ref="N23:N37">L23-H23</f>
        <v>-6.2</v>
      </c>
      <c r="O23" s="32">
        <f aca="true" t="shared" si="3" ref="O23:O37">IF((H23)=0,"",(N23/H23))</f>
        <v>-1</v>
      </c>
    </row>
    <row r="24" spans="2:15" ht="15">
      <c r="B24" s="176" t="s">
        <v>64</v>
      </c>
      <c r="C24" s="22"/>
      <c r="D24" s="23" t="s">
        <v>60</v>
      </c>
      <c r="E24" s="24"/>
      <c r="F24" s="25"/>
      <c r="G24" s="26">
        <v>1</v>
      </c>
      <c r="H24" s="27">
        <f t="shared" si="0"/>
        <v>0</v>
      </c>
      <c r="I24" s="28"/>
      <c r="J24" s="174">
        <v>10.02</v>
      </c>
      <c r="K24" s="30">
        <v>1</v>
      </c>
      <c r="L24" s="27">
        <f t="shared" si="1"/>
        <v>10.02</v>
      </c>
      <c r="M24" s="28"/>
      <c r="N24" s="31">
        <f t="shared" si="2"/>
        <v>10.02</v>
      </c>
      <c r="O24" s="32">
        <f t="shared" si="3"/>
      </c>
    </row>
    <row r="25" spans="2:15" ht="15">
      <c r="B25" s="46" t="s">
        <v>65</v>
      </c>
      <c r="C25" s="22"/>
      <c r="D25" s="23" t="s">
        <v>61</v>
      </c>
      <c r="E25" s="24"/>
      <c r="F25" s="25">
        <v>-0.0001</v>
      </c>
      <c r="G25" s="26">
        <f>$F$16</f>
        <v>1000</v>
      </c>
      <c r="H25" s="27">
        <f t="shared" si="0"/>
        <v>-0.1</v>
      </c>
      <c r="I25" s="28"/>
      <c r="J25" s="174"/>
      <c r="K25" s="26">
        <f>$F$16</f>
        <v>1000</v>
      </c>
      <c r="L25" s="27">
        <f t="shared" si="1"/>
        <v>0</v>
      </c>
      <c r="M25" s="28"/>
      <c r="N25" s="31">
        <f t="shared" si="2"/>
        <v>0.1</v>
      </c>
      <c r="O25" s="32">
        <f t="shared" si="3"/>
        <v>-1</v>
      </c>
    </row>
    <row r="26" spans="2:15" ht="15">
      <c r="B26" s="46" t="s">
        <v>66</v>
      </c>
      <c r="C26" s="22"/>
      <c r="D26" s="23" t="s">
        <v>61</v>
      </c>
      <c r="E26" s="24"/>
      <c r="F26" s="25"/>
      <c r="G26" s="26">
        <f>$F$16</f>
        <v>1000</v>
      </c>
      <c r="H26" s="27">
        <f t="shared" si="0"/>
        <v>0</v>
      </c>
      <c r="I26" s="28"/>
      <c r="J26" s="29">
        <f>'[4]6. Rate Rider Calculations'!$F$76</f>
        <v>-0.0023955525753637957</v>
      </c>
      <c r="K26" s="26">
        <f>$F$16</f>
        <v>1000</v>
      </c>
      <c r="L26" s="27">
        <f t="shared" si="1"/>
        <v>-2.3955525753637956</v>
      </c>
      <c r="M26" s="28"/>
      <c r="N26" s="31">
        <f t="shared" si="2"/>
        <v>-2.3955525753637956</v>
      </c>
      <c r="O26" s="32">
        <f t="shared" si="3"/>
      </c>
    </row>
    <row r="27" spans="2:15" ht="15">
      <c r="B27" s="22" t="s">
        <v>19</v>
      </c>
      <c r="C27" s="22"/>
      <c r="D27" s="23" t="s">
        <v>61</v>
      </c>
      <c r="E27" s="24"/>
      <c r="F27" s="25">
        <f>'[2]2013 Existing Rates'!$E$7</f>
        <v>0.0127</v>
      </c>
      <c r="G27" s="26">
        <f>$F$16</f>
        <v>1000</v>
      </c>
      <c r="H27" s="27">
        <f t="shared" si="0"/>
        <v>12.7</v>
      </c>
      <c r="I27" s="28"/>
      <c r="J27" s="29">
        <f>'[3]Rate Schedule '!$E$17</f>
        <v>0.0104</v>
      </c>
      <c r="K27" s="26">
        <f>$F$16</f>
        <v>1000</v>
      </c>
      <c r="L27" s="27">
        <f t="shared" si="1"/>
        <v>10.4</v>
      </c>
      <c r="M27" s="28"/>
      <c r="N27" s="31">
        <f t="shared" si="2"/>
        <v>-2.299999999999999</v>
      </c>
      <c r="O27" s="32">
        <f t="shared" si="3"/>
        <v>-0.18110236220472434</v>
      </c>
    </row>
    <row r="28" spans="2:15" ht="15" hidden="1">
      <c r="B28" s="22" t="s">
        <v>20</v>
      </c>
      <c r="C28" s="22"/>
      <c r="D28" s="23"/>
      <c r="E28" s="24"/>
      <c r="F28" s="25"/>
      <c r="G28" s="26">
        <f>$F$16</f>
        <v>1000</v>
      </c>
      <c r="H28" s="27">
        <f t="shared" si="0"/>
        <v>0</v>
      </c>
      <c r="I28" s="28"/>
      <c r="J28" s="29"/>
      <c r="K28" s="26">
        <f aca="true" t="shared" si="4" ref="K28:K36">$F$16</f>
        <v>1000</v>
      </c>
      <c r="L28" s="27">
        <f t="shared" si="1"/>
        <v>0</v>
      </c>
      <c r="M28" s="28"/>
      <c r="N28" s="31">
        <f t="shared" si="2"/>
        <v>0</v>
      </c>
      <c r="O28" s="32">
        <f t="shared" si="3"/>
      </c>
    </row>
    <row r="29" spans="2:15" ht="15" hidden="1">
      <c r="B29" s="22" t="s">
        <v>21</v>
      </c>
      <c r="C29" s="22"/>
      <c r="D29" s="23"/>
      <c r="E29" s="24"/>
      <c r="F29" s="25"/>
      <c r="G29" s="26">
        <f>$F$16</f>
        <v>1000</v>
      </c>
      <c r="H29" s="27">
        <f t="shared" si="0"/>
        <v>0</v>
      </c>
      <c r="I29" s="28"/>
      <c r="J29" s="29"/>
      <c r="K29" s="26">
        <f t="shared" si="4"/>
        <v>1000</v>
      </c>
      <c r="L29" s="27">
        <f t="shared" si="1"/>
        <v>0</v>
      </c>
      <c r="M29" s="28"/>
      <c r="N29" s="31">
        <f t="shared" si="2"/>
        <v>0</v>
      </c>
      <c r="O29" s="32">
        <f t="shared" si="3"/>
      </c>
    </row>
    <row r="30" spans="2:15" ht="15" hidden="1">
      <c r="B30" s="33"/>
      <c r="C30" s="22"/>
      <c r="D30" s="23"/>
      <c r="E30" s="24"/>
      <c r="F30" s="25"/>
      <c r="G30" s="26">
        <f aca="true" t="shared" si="5" ref="G30:G36">$F$16</f>
        <v>1000</v>
      </c>
      <c r="H30" s="27">
        <f t="shared" si="0"/>
        <v>0</v>
      </c>
      <c r="I30" s="28"/>
      <c r="J30" s="29"/>
      <c r="K30" s="26">
        <f t="shared" si="4"/>
        <v>1000</v>
      </c>
      <c r="L30" s="27">
        <f t="shared" si="1"/>
        <v>0</v>
      </c>
      <c r="M30" s="28"/>
      <c r="N30" s="31">
        <f t="shared" si="2"/>
        <v>0</v>
      </c>
      <c r="O30" s="32">
        <f t="shared" si="3"/>
      </c>
    </row>
    <row r="31" spans="2:15" ht="15" hidden="1">
      <c r="B31" s="33"/>
      <c r="C31" s="22"/>
      <c r="D31" s="23"/>
      <c r="E31" s="24"/>
      <c r="F31" s="25"/>
      <c r="G31" s="26">
        <f t="shared" si="5"/>
        <v>1000</v>
      </c>
      <c r="H31" s="27">
        <f t="shared" si="0"/>
        <v>0</v>
      </c>
      <c r="I31" s="28"/>
      <c r="J31" s="29"/>
      <c r="K31" s="26">
        <f t="shared" si="4"/>
        <v>1000</v>
      </c>
      <c r="L31" s="27">
        <f t="shared" si="1"/>
        <v>0</v>
      </c>
      <c r="M31" s="28"/>
      <c r="N31" s="31">
        <f t="shared" si="2"/>
        <v>0</v>
      </c>
      <c r="O31" s="32">
        <f t="shared" si="3"/>
      </c>
    </row>
    <row r="32" spans="2:15" ht="15" hidden="1">
      <c r="B32" s="33"/>
      <c r="C32" s="22"/>
      <c r="D32" s="23"/>
      <c r="E32" s="24"/>
      <c r="F32" s="25"/>
      <c r="G32" s="26">
        <f t="shared" si="5"/>
        <v>1000</v>
      </c>
      <c r="H32" s="27">
        <f t="shared" si="0"/>
        <v>0</v>
      </c>
      <c r="I32" s="28"/>
      <c r="J32" s="29"/>
      <c r="K32" s="26">
        <f t="shared" si="4"/>
        <v>1000</v>
      </c>
      <c r="L32" s="27">
        <f t="shared" si="1"/>
        <v>0</v>
      </c>
      <c r="M32" s="28"/>
      <c r="N32" s="31">
        <f t="shared" si="2"/>
        <v>0</v>
      </c>
      <c r="O32" s="32">
        <f t="shared" si="3"/>
      </c>
    </row>
    <row r="33" spans="2:15" ht="15" hidden="1">
      <c r="B33" s="33"/>
      <c r="C33" s="22"/>
      <c r="D33" s="23"/>
      <c r="E33" s="24"/>
      <c r="F33" s="25"/>
      <c r="G33" s="26">
        <f t="shared" si="5"/>
        <v>1000</v>
      </c>
      <c r="H33" s="27">
        <f t="shared" si="0"/>
        <v>0</v>
      </c>
      <c r="I33" s="28"/>
      <c r="J33" s="29"/>
      <c r="K33" s="26">
        <f t="shared" si="4"/>
        <v>1000</v>
      </c>
      <c r="L33" s="27">
        <f t="shared" si="1"/>
        <v>0</v>
      </c>
      <c r="M33" s="28"/>
      <c r="N33" s="31">
        <f t="shared" si="2"/>
        <v>0</v>
      </c>
      <c r="O33" s="32">
        <f t="shared" si="3"/>
      </c>
    </row>
    <row r="34" spans="2:15" ht="15" hidden="1">
      <c r="B34" s="33"/>
      <c r="C34" s="22"/>
      <c r="D34" s="23"/>
      <c r="E34" s="24"/>
      <c r="F34" s="25"/>
      <c r="G34" s="26">
        <f t="shared" si="5"/>
        <v>1000</v>
      </c>
      <c r="H34" s="27">
        <f t="shared" si="0"/>
        <v>0</v>
      </c>
      <c r="I34" s="28"/>
      <c r="J34" s="29"/>
      <c r="K34" s="26">
        <f t="shared" si="4"/>
        <v>1000</v>
      </c>
      <c r="L34" s="27">
        <f t="shared" si="1"/>
        <v>0</v>
      </c>
      <c r="M34" s="28"/>
      <c r="N34" s="31">
        <f t="shared" si="2"/>
        <v>0</v>
      </c>
      <c r="O34" s="32">
        <f t="shared" si="3"/>
      </c>
    </row>
    <row r="35" spans="2:15" ht="15" hidden="1">
      <c r="B35" s="33"/>
      <c r="C35" s="22"/>
      <c r="D35" s="23"/>
      <c r="E35" s="24"/>
      <c r="F35" s="25"/>
      <c r="G35" s="26">
        <f t="shared" si="5"/>
        <v>1000</v>
      </c>
      <c r="H35" s="27">
        <f t="shared" si="0"/>
        <v>0</v>
      </c>
      <c r="I35" s="28"/>
      <c r="J35" s="29"/>
      <c r="K35" s="26">
        <f t="shared" si="4"/>
        <v>1000</v>
      </c>
      <c r="L35" s="27">
        <f t="shared" si="1"/>
        <v>0</v>
      </c>
      <c r="M35" s="28"/>
      <c r="N35" s="31">
        <f t="shared" si="2"/>
        <v>0</v>
      </c>
      <c r="O35" s="32">
        <f t="shared" si="3"/>
      </c>
    </row>
    <row r="36" spans="2:15" ht="15" hidden="1">
      <c r="B36" s="33"/>
      <c r="C36" s="22"/>
      <c r="D36" s="23"/>
      <c r="E36" s="24"/>
      <c r="F36" s="25"/>
      <c r="G36" s="26">
        <f t="shared" si="5"/>
        <v>1000</v>
      </c>
      <c r="H36" s="27">
        <f t="shared" si="0"/>
        <v>0</v>
      </c>
      <c r="I36" s="28"/>
      <c r="J36" s="29"/>
      <c r="K36" s="26">
        <f t="shared" si="4"/>
        <v>1000</v>
      </c>
      <c r="L36" s="27">
        <f t="shared" si="1"/>
        <v>0</v>
      </c>
      <c r="M36" s="28"/>
      <c r="N36" s="31">
        <f t="shared" si="2"/>
        <v>0</v>
      </c>
      <c r="O36" s="32">
        <f t="shared" si="3"/>
      </c>
    </row>
    <row r="37" spans="2:15" s="34" customFormat="1" ht="15">
      <c r="B37" s="35" t="s">
        <v>22</v>
      </c>
      <c r="C37" s="36"/>
      <c r="D37" s="37"/>
      <c r="E37" s="36"/>
      <c r="F37" s="38"/>
      <c r="G37" s="39"/>
      <c r="H37" s="40">
        <f>SUM(H21:H36)</f>
        <v>35.61</v>
      </c>
      <c r="I37" s="41"/>
      <c r="J37" s="42"/>
      <c r="K37" s="43"/>
      <c r="L37" s="40">
        <f>SUM(L21:L36)</f>
        <v>43.6044474246362</v>
      </c>
      <c r="M37" s="41"/>
      <c r="N37" s="44">
        <f t="shared" si="2"/>
        <v>7.994447424636199</v>
      </c>
      <c r="O37" s="45">
        <f t="shared" si="3"/>
        <v>0.22450006808863238</v>
      </c>
    </row>
    <row r="38" spans="2:15" ht="15" hidden="1">
      <c r="B38" s="176"/>
      <c r="C38" s="22"/>
      <c r="D38" s="56" t="s">
        <v>60</v>
      </c>
      <c r="E38" s="24"/>
      <c r="F38" s="25"/>
      <c r="G38" s="26">
        <v>1</v>
      </c>
      <c r="H38" s="27">
        <f>G38*F38</f>
        <v>0</v>
      </c>
      <c r="I38" s="28"/>
      <c r="J38" s="174"/>
      <c r="K38" s="30">
        <v>1</v>
      </c>
      <c r="L38" s="27">
        <f>K38*J38</f>
        <v>0</v>
      </c>
      <c r="M38" s="28"/>
      <c r="N38" s="31">
        <f>L38-H38</f>
        <v>0</v>
      </c>
      <c r="O38" s="32">
        <f>IF((H38)=0,"",(N38/H38))</f>
      </c>
    </row>
    <row r="39" spans="2:15" ht="25.5">
      <c r="B39" s="46" t="s">
        <v>23</v>
      </c>
      <c r="C39" s="22"/>
      <c r="D39" s="56" t="s">
        <v>61</v>
      </c>
      <c r="E39" s="57"/>
      <c r="F39" s="29">
        <v>0.0003</v>
      </c>
      <c r="G39" s="26">
        <f>$F$16</f>
        <v>1000</v>
      </c>
      <c r="H39" s="27">
        <f aca="true" t="shared" si="6" ref="H39:H45">G39*F39</f>
        <v>0.3</v>
      </c>
      <c r="I39" s="28"/>
      <c r="J39" s="29">
        <f>'[4]6. Rate Rider Calculations'!$F$21</f>
        <v>-0.001125755911208088</v>
      </c>
      <c r="K39" s="26">
        <f>$F$16</f>
        <v>1000</v>
      </c>
      <c r="L39" s="27">
        <f aca="true" t="shared" si="7" ref="L39:L45">K39*J39</f>
        <v>-1.125755911208088</v>
      </c>
      <c r="M39" s="28"/>
      <c r="N39" s="31">
        <f aca="true" t="shared" si="8" ref="N39:N45">L39-H39</f>
        <v>-1.425755911208088</v>
      </c>
      <c r="O39" s="32">
        <f aca="true" t="shared" si="9" ref="O39:O44">IF((H39)=0,"",(N39/H39))</f>
        <v>-4.75251970402696</v>
      </c>
    </row>
    <row r="40" spans="2:15" ht="15" hidden="1">
      <c r="B40" s="46"/>
      <c r="C40" s="22"/>
      <c r="D40" s="23" t="s">
        <v>61</v>
      </c>
      <c r="E40" s="24"/>
      <c r="F40" s="25"/>
      <c r="G40" s="26">
        <f>$F$16</f>
        <v>1000</v>
      </c>
      <c r="H40" s="27">
        <f t="shared" si="6"/>
        <v>0</v>
      </c>
      <c r="I40" s="47"/>
      <c r="J40" s="29"/>
      <c r="K40" s="26">
        <f>$F$16</f>
        <v>1000</v>
      </c>
      <c r="L40" s="27">
        <f t="shared" si="7"/>
        <v>0</v>
      </c>
      <c r="M40" s="48"/>
      <c r="N40" s="31">
        <f t="shared" si="8"/>
        <v>0</v>
      </c>
      <c r="O40" s="32">
        <f t="shared" si="9"/>
      </c>
    </row>
    <row r="41" spans="2:15" ht="15" hidden="1">
      <c r="B41" s="46"/>
      <c r="C41" s="22"/>
      <c r="D41" s="23" t="s">
        <v>61</v>
      </c>
      <c r="E41" s="24"/>
      <c r="F41" s="25"/>
      <c r="G41" s="26">
        <f>$F$16</f>
        <v>1000</v>
      </c>
      <c r="H41" s="27">
        <f t="shared" si="6"/>
        <v>0</v>
      </c>
      <c r="I41" s="47"/>
      <c r="J41" s="29"/>
      <c r="K41" s="26">
        <f>$F$16</f>
        <v>1000</v>
      </c>
      <c r="L41" s="27">
        <f t="shared" si="7"/>
        <v>0</v>
      </c>
      <c r="M41" s="48"/>
      <c r="N41" s="31">
        <f t="shared" si="8"/>
        <v>0</v>
      </c>
      <c r="O41" s="32">
        <f t="shared" si="9"/>
      </c>
    </row>
    <row r="42" spans="2:15" ht="15" hidden="1">
      <c r="B42" s="46"/>
      <c r="C42" s="22"/>
      <c r="D42" s="23"/>
      <c r="E42" s="24"/>
      <c r="F42" s="25"/>
      <c r="G42" s="26">
        <f>$F$16</f>
        <v>1000</v>
      </c>
      <c r="H42" s="27">
        <f t="shared" si="6"/>
        <v>0</v>
      </c>
      <c r="I42" s="47"/>
      <c r="J42" s="29"/>
      <c r="K42" s="26">
        <f>$F$16</f>
        <v>1000</v>
      </c>
      <c r="L42" s="27">
        <f t="shared" si="7"/>
        <v>0</v>
      </c>
      <c r="M42" s="48"/>
      <c r="N42" s="31">
        <f t="shared" si="8"/>
        <v>0</v>
      </c>
      <c r="O42" s="32">
        <f t="shared" si="9"/>
      </c>
    </row>
    <row r="43" spans="2:15" ht="15">
      <c r="B43" s="49" t="s">
        <v>24</v>
      </c>
      <c r="C43" s="22"/>
      <c r="D43" s="23" t="s">
        <v>61</v>
      </c>
      <c r="E43" s="24"/>
      <c r="F43" s="25">
        <v>0</v>
      </c>
      <c r="G43" s="26">
        <f>$F$16</f>
        <v>1000</v>
      </c>
      <c r="H43" s="27">
        <f t="shared" si="6"/>
        <v>0</v>
      </c>
      <c r="I43" s="28"/>
      <c r="J43" s="29">
        <f>'[3]Rate Schedule '!$E$18</f>
        <v>0.0001</v>
      </c>
      <c r="K43" s="26">
        <f>$F$16</f>
        <v>1000</v>
      </c>
      <c r="L43" s="27">
        <f t="shared" si="7"/>
        <v>0.1</v>
      </c>
      <c r="M43" s="28"/>
      <c r="N43" s="31">
        <f t="shared" si="8"/>
        <v>0.1</v>
      </c>
      <c r="O43" s="32">
        <f t="shared" si="9"/>
      </c>
    </row>
    <row r="44" spans="2:15" s="34" customFormat="1" ht="15">
      <c r="B44" s="182" t="s">
        <v>25</v>
      </c>
      <c r="C44" s="24"/>
      <c r="D44" s="183" t="s">
        <v>61</v>
      </c>
      <c r="E44" s="24"/>
      <c r="F44" s="184">
        <f>IF(ISBLANK(D14)=TRUE,0,IF(D14="TOU",0.64*$F$54+0.18*$F$55+0.18*$F$56,IF(AND(D14="non-TOU",G58&gt;0),F58,F57)))</f>
        <v>0.08892</v>
      </c>
      <c r="G44" s="26">
        <f>$F$16*(1+$F$73)-$F$16</f>
        <v>28.59999999999991</v>
      </c>
      <c r="H44" s="185">
        <f t="shared" si="6"/>
        <v>2.543111999999992</v>
      </c>
      <c r="I44" s="57"/>
      <c r="J44" s="186">
        <f>0.64*$F$54+0.18*$F$55+0.18*$F$56</f>
        <v>0.08892</v>
      </c>
      <c r="K44" s="26">
        <f>$F$16*(1+$J$73)-$F$16</f>
        <v>33.5</v>
      </c>
      <c r="L44" s="185">
        <f t="shared" si="7"/>
        <v>2.97882</v>
      </c>
      <c r="M44" s="57"/>
      <c r="N44" s="187">
        <f t="shared" si="8"/>
        <v>0.435708000000008</v>
      </c>
      <c r="O44" s="188">
        <f t="shared" si="9"/>
        <v>0.17132867132867502</v>
      </c>
    </row>
    <row r="45" spans="2:15" ht="15">
      <c r="B45" s="49" t="s">
        <v>26</v>
      </c>
      <c r="C45" s="22"/>
      <c r="D45" s="23" t="s">
        <v>60</v>
      </c>
      <c r="E45" s="24"/>
      <c r="F45" s="179">
        <v>0.79</v>
      </c>
      <c r="G45" s="26">
        <v>1</v>
      </c>
      <c r="H45" s="27">
        <f t="shared" si="6"/>
        <v>0.79</v>
      </c>
      <c r="I45" s="28"/>
      <c r="J45" s="179">
        <v>0.79</v>
      </c>
      <c r="K45" s="26">
        <v>1</v>
      </c>
      <c r="L45" s="27">
        <f t="shared" si="7"/>
        <v>0.79</v>
      </c>
      <c r="M45" s="28"/>
      <c r="N45" s="31">
        <f t="shared" si="8"/>
        <v>0</v>
      </c>
      <c r="O45" s="32"/>
    </row>
    <row r="46" spans="2:15" ht="25.5">
      <c r="B46" s="50" t="s">
        <v>27</v>
      </c>
      <c r="C46" s="51"/>
      <c r="D46" s="51"/>
      <c r="E46" s="51"/>
      <c r="F46" s="52"/>
      <c r="G46" s="53"/>
      <c r="H46" s="54">
        <f>SUM(H38:H45)+H37</f>
        <v>39.24311199999999</v>
      </c>
      <c r="I46" s="41"/>
      <c r="J46" s="53"/>
      <c r="K46" s="55"/>
      <c r="L46" s="54">
        <f>SUM(L38:L45)+L37</f>
        <v>46.34751151342811</v>
      </c>
      <c r="M46" s="41"/>
      <c r="N46" s="44">
        <f aca="true" t="shared" si="10" ref="N46:N64">L46-H46</f>
        <v>7.10439951342812</v>
      </c>
      <c r="O46" s="45">
        <f aca="true" t="shared" si="11" ref="O46:O64">IF((H46)=0,"",(N46/H46))</f>
        <v>0.18103557927383848</v>
      </c>
    </row>
    <row r="47" spans="2:15" ht="15">
      <c r="B47" s="28" t="s">
        <v>28</v>
      </c>
      <c r="C47" s="28"/>
      <c r="D47" s="56" t="s">
        <v>61</v>
      </c>
      <c r="E47" s="57"/>
      <c r="F47" s="29">
        <v>0.0062</v>
      </c>
      <c r="G47" s="58">
        <f>F16*(1+F73)</f>
        <v>1028.6</v>
      </c>
      <c r="H47" s="27">
        <f>G47*F47</f>
        <v>6.377319999999999</v>
      </c>
      <c r="I47" s="28"/>
      <c r="J47" s="29">
        <f>'[5]13. Final 2014 RTS Rates'!$F$27</f>
        <v>0.005811873445206607</v>
      </c>
      <c r="K47" s="59">
        <f>F16*(1+J73)</f>
        <v>1033.5</v>
      </c>
      <c r="L47" s="27">
        <f>K47*J47</f>
        <v>6.006571205621029</v>
      </c>
      <c r="M47" s="28"/>
      <c r="N47" s="31">
        <f t="shared" si="10"/>
        <v>-0.37074879437897046</v>
      </c>
      <c r="O47" s="32">
        <f t="shared" si="11"/>
        <v>-0.0581355168595853</v>
      </c>
    </row>
    <row r="48" spans="2:15" ht="30">
      <c r="B48" s="60" t="s">
        <v>29</v>
      </c>
      <c r="C48" s="28"/>
      <c r="D48" s="56" t="s">
        <v>61</v>
      </c>
      <c r="E48" s="57"/>
      <c r="F48" s="29">
        <v>0.0036</v>
      </c>
      <c r="G48" s="58">
        <f>G47</f>
        <v>1028.6</v>
      </c>
      <c r="H48" s="27">
        <f>G48*F48</f>
        <v>3.7029599999999996</v>
      </c>
      <c r="I48" s="28"/>
      <c r="J48" s="29">
        <f>'[5]13. Final 2014 RTS Rates'!$H$27</f>
        <v>0.003920192695861129</v>
      </c>
      <c r="K48" s="59">
        <f>K47</f>
        <v>1033.5</v>
      </c>
      <c r="L48" s="27">
        <f>K48*J48</f>
        <v>4.051519151172477</v>
      </c>
      <c r="M48" s="28"/>
      <c r="N48" s="31">
        <f t="shared" si="10"/>
        <v>0.3485591511724775</v>
      </c>
      <c r="O48" s="32">
        <f t="shared" si="11"/>
        <v>0.09412987209488559</v>
      </c>
    </row>
    <row r="49" spans="2:15" ht="25.5">
      <c r="B49" s="50" t="s">
        <v>30</v>
      </c>
      <c r="C49" s="36"/>
      <c r="D49" s="36"/>
      <c r="E49" s="36"/>
      <c r="F49" s="61"/>
      <c r="G49" s="53"/>
      <c r="H49" s="54">
        <f>SUM(H46:H48)</f>
        <v>49.323391999999984</v>
      </c>
      <c r="I49" s="62"/>
      <c r="J49" s="63"/>
      <c r="K49" s="64"/>
      <c r="L49" s="54">
        <f>SUM(L46:L48)</f>
        <v>56.405601870221616</v>
      </c>
      <c r="M49" s="62"/>
      <c r="N49" s="44">
        <f t="shared" si="10"/>
        <v>7.082209870221632</v>
      </c>
      <c r="O49" s="45">
        <f t="shared" si="11"/>
        <v>0.14358724294999084</v>
      </c>
    </row>
    <row r="50" spans="2:15" ht="30">
      <c r="B50" s="65" t="s">
        <v>31</v>
      </c>
      <c r="C50" s="22"/>
      <c r="D50" s="23" t="s">
        <v>61</v>
      </c>
      <c r="E50" s="24"/>
      <c r="F50" s="66">
        <v>0.0044</v>
      </c>
      <c r="G50" s="58">
        <f>G48</f>
        <v>1028.6</v>
      </c>
      <c r="H50" s="67">
        <f aca="true" t="shared" si="12" ref="H50:H56">G50*F50</f>
        <v>4.52584</v>
      </c>
      <c r="I50" s="28"/>
      <c r="J50" s="68">
        <v>0.0044</v>
      </c>
      <c r="K50" s="59">
        <f>K48</f>
        <v>1033.5</v>
      </c>
      <c r="L50" s="67">
        <f aca="true" t="shared" si="13" ref="L50:L56">K50*J50</f>
        <v>4.5474000000000006</v>
      </c>
      <c r="M50" s="28"/>
      <c r="N50" s="31">
        <f t="shared" si="10"/>
        <v>0.021560000000000912</v>
      </c>
      <c r="O50" s="69">
        <f t="shared" si="11"/>
        <v>0.004763756562317915</v>
      </c>
    </row>
    <row r="51" spans="2:15" ht="30">
      <c r="B51" s="65" t="s">
        <v>32</v>
      </c>
      <c r="C51" s="22"/>
      <c r="D51" s="23" t="s">
        <v>61</v>
      </c>
      <c r="E51" s="24"/>
      <c r="F51" s="66">
        <v>0.0012</v>
      </c>
      <c r="G51" s="58">
        <f>G48</f>
        <v>1028.6</v>
      </c>
      <c r="H51" s="67">
        <f t="shared" si="12"/>
        <v>1.2343199999999999</v>
      </c>
      <c r="I51" s="28"/>
      <c r="J51" s="68">
        <v>0.0012</v>
      </c>
      <c r="K51" s="59">
        <f>K48</f>
        <v>1033.5</v>
      </c>
      <c r="L51" s="67">
        <f t="shared" si="13"/>
        <v>1.2402</v>
      </c>
      <c r="M51" s="28"/>
      <c r="N51" s="31">
        <f t="shared" si="10"/>
        <v>0.005880000000000107</v>
      </c>
      <c r="O51" s="69">
        <f t="shared" si="11"/>
        <v>0.004763756562317801</v>
      </c>
    </row>
    <row r="52" spans="2:15" ht="15">
      <c r="B52" s="22" t="s">
        <v>33</v>
      </c>
      <c r="C52" s="22"/>
      <c r="D52" s="23" t="s">
        <v>60</v>
      </c>
      <c r="E52" s="24"/>
      <c r="F52" s="177">
        <v>0.25</v>
      </c>
      <c r="G52" s="26">
        <v>1</v>
      </c>
      <c r="H52" s="67">
        <f t="shared" si="12"/>
        <v>0.25</v>
      </c>
      <c r="I52" s="28"/>
      <c r="J52" s="178">
        <v>0.25</v>
      </c>
      <c r="K52" s="30">
        <v>1</v>
      </c>
      <c r="L52" s="67">
        <f t="shared" si="13"/>
        <v>0.25</v>
      </c>
      <c r="M52" s="28"/>
      <c r="N52" s="31">
        <f t="shared" si="10"/>
        <v>0</v>
      </c>
      <c r="O52" s="69">
        <f t="shared" si="11"/>
        <v>0</v>
      </c>
    </row>
    <row r="53" spans="2:15" ht="15">
      <c r="B53" s="22" t="s">
        <v>34</v>
      </c>
      <c r="C53" s="22"/>
      <c r="D53" s="23" t="s">
        <v>61</v>
      </c>
      <c r="E53" s="24"/>
      <c r="F53" s="66">
        <v>0.007</v>
      </c>
      <c r="G53" s="70">
        <f>F16</f>
        <v>1000</v>
      </c>
      <c r="H53" s="67">
        <f t="shared" si="12"/>
        <v>7</v>
      </c>
      <c r="I53" s="28"/>
      <c r="J53" s="68">
        <f>0.007</f>
        <v>0.007</v>
      </c>
      <c r="K53" s="71">
        <f>F16</f>
        <v>1000</v>
      </c>
      <c r="L53" s="67">
        <f t="shared" si="13"/>
        <v>7</v>
      </c>
      <c r="M53" s="28"/>
      <c r="N53" s="31">
        <f t="shared" si="10"/>
        <v>0</v>
      </c>
      <c r="O53" s="69">
        <f t="shared" si="11"/>
        <v>0</v>
      </c>
    </row>
    <row r="54" spans="2:19" ht="15">
      <c r="B54" s="49" t="s">
        <v>35</v>
      </c>
      <c r="C54" s="22"/>
      <c r="D54" s="23" t="s">
        <v>61</v>
      </c>
      <c r="E54" s="24"/>
      <c r="F54" s="72">
        <v>0.072</v>
      </c>
      <c r="G54" s="70">
        <f>0.64*$F$16</f>
        <v>640</v>
      </c>
      <c r="H54" s="67">
        <f t="shared" si="12"/>
        <v>46.08</v>
      </c>
      <c r="I54" s="28"/>
      <c r="J54" s="66">
        <v>0.072</v>
      </c>
      <c r="K54" s="70">
        <f>G54</f>
        <v>640</v>
      </c>
      <c r="L54" s="67">
        <f t="shared" si="13"/>
        <v>46.08</v>
      </c>
      <c r="M54" s="28"/>
      <c r="N54" s="31">
        <f t="shared" si="10"/>
        <v>0</v>
      </c>
      <c r="O54" s="69">
        <f t="shared" si="11"/>
        <v>0</v>
      </c>
      <c r="S54" s="73"/>
    </row>
    <row r="55" spans="2:19" ht="15">
      <c r="B55" s="49" t="s">
        <v>36</v>
      </c>
      <c r="C55" s="22"/>
      <c r="D55" s="23" t="s">
        <v>61</v>
      </c>
      <c r="E55" s="24"/>
      <c r="F55" s="72">
        <v>0.109</v>
      </c>
      <c r="G55" s="70">
        <f>0.18*$F$16</f>
        <v>180</v>
      </c>
      <c r="H55" s="67">
        <f t="shared" si="12"/>
        <v>19.62</v>
      </c>
      <c r="I55" s="28"/>
      <c r="J55" s="66">
        <v>0.109</v>
      </c>
      <c r="K55" s="70">
        <f>G55</f>
        <v>180</v>
      </c>
      <c r="L55" s="67">
        <f t="shared" si="13"/>
        <v>19.62</v>
      </c>
      <c r="M55" s="28"/>
      <c r="N55" s="31">
        <f t="shared" si="10"/>
        <v>0</v>
      </c>
      <c r="O55" s="69">
        <f t="shared" si="11"/>
        <v>0</v>
      </c>
      <c r="S55" s="73"/>
    </row>
    <row r="56" spans="2:19" ht="15">
      <c r="B56" s="12" t="s">
        <v>37</v>
      </c>
      <c r="C56" s="22"/>
      <c r="D56" s="23" t="s">
        <v>61</v>
      </c>
      <c r="E56" s="24"/>
      <c r="F56" s="72">
        <v>0.129</v>
      </c>
      <c r="G56" s="70">
        <f>0.18*$F$16</f>
        <v>180</v>
      </c>
      <c r="H56" s="67">
        <f t="shared" si="12"/>
        <v>23.22</v>
      </c>
      <c r="I56" s="28"/>
      <c r="J56" s="66">
        <v>0.129</v>
      </c>
      <c r="K56" s="70">
        <f>G56</f>
        <v>180</v>
      </c>
      <c r="L56" s="67">
        <f t="shared" si="13"/>
        <v>23.22</v>
      </c>
      <c r="M56" s="28"/>
      <c r="N56" s="31">
        <f t="shared" si="10"/>
        <v>0</v>
      </c>
      <c r="O56" s="69">
        <f t="shared" si="11"/>
        <v>0</v>
      </c>
      <c r="S56" s="73"/>
    </row>
    <row r="57" spans="2:15" s="74" customFormat="1" ht="15">
      <c r="B57" s="75" t="s">
        <v>38</v>
      </c>
      <c r="C57" s="76"/>
      <c r="D57" s="77" t="s">
        <v>61</v>
      </c>
      <c r="E57" s="78"/>
      <c r="F57" s="72">
        <v>0.083</v>
      </c>
      <c r="G57" s="79">
        <f>IF(AND($T$1=1,F16&gt;=600),600,IF(AND($T$1=1,AND(F16&lt;600,F16&gt;=0)),F16,IF(AND($T$1=2,F16&gt;=1000),1000,IF(AND($T$1=2,AND(F16&lt;1000,F16&gt;=0)),F16))))</f>
        <v>600</v>
      </c>
      <c r="H57" s="67">
        <f>G57*F57</f>
        <v>49.800000000000004</v>
      </c>
      <c r="I57" s="80"/>
      <c r="J57" s="66">
        <v>0.083</v>
      </c>
      <c r="K57" s="79">
        <f>G57</f>
        <v>600</v>
      </c>
      <c r="L57" s="67">
        <f>K57*J57</f>
        <v>49.800000000000004</v>
      </c>
      <c r="M57" s="80"/>
      <c r="N57" s="81">
        <f t="shared" si="10"/>
        <v>0</v>
      </c>
      <c r="O57" s="69">
        <f t="shared" si="11"/>
        <v>0</v>
      </c>
    </row>
    <row r="58" spans="2:15" s="74" customFormat="1" ht="15.75" thickBot="1">
      <c r="B58" s="75" t="s">
        <v>39</v>
      </c>
      <c r="C58" s="76"/>
      <c r="D58" s="77" t="s">
        <v>61</v>
      </c>
      <c r="E58" s="78"/>
      <c r="F58" s="72">
        <v>0.097</v>
      </c>
      <c r="G58" s="79">
        <f>IF(AND($T$1=1,F16&gt;=600),F16-600,IF(AND($T$1=1,AND(F16&lt;600,F16&gt;=0)),0,IF(AND($T$1=2,F16&gt;=1000),F16-1000,IF(AND($T$1=2,AND(F16&lt;1000,F16&gt;=0)),0))))</f>
        <v>400</v>
      </c>
      <c r="H58" s="67">
        <f>G58*F58</f>
        <v>38.800000000000004</v>
      </c>
      <c r="I58" s="80"/>
      <c r="J58" s="66">
        <v>0.097</v>
      </c>
      <c r="K58" s="79">
        <f>G58</f>
        <v>400</v>
      </c>
      <c r="L58" s="67">
        <f>K58*J58</f>
        <v>38.800000000000004</v>
      </c>
      <c r="M58" s="80"/>
      <c r="N58" s="81">
        <f t="shared" si="10"/>
        <v>0</v>
      </c>
      <c r="O58" s="69">
        <f t="shared" si="11"/>
        <v>0</v>
      </c>
    </row>
    <row r="59" spans="2:15" ht="8.25" customHeight="1" thickBot="1">
      <c r="B59" s="82"/>
      <c r="C59" s="83"/>
      <c r="D59" s="84"/>
      <c r="E59" s="83"/>
      <c r="F59" s="85"/>
      <c r="G59" s="86"/>
      <c r="H59" s="87"/>
      <c r="I59" s="88"/>
      <c r="J59" s="85"/>
      <c r="K59" s="89"/>
      <c r="L59" s="87"/>
      <c r="M59" s="88"/>
      <c r="N59" s="90"/>
      <c r="O59" s="91"/>
    </row>
    <row r="60" spans="2:19" ht="15">
      <c r="B60" s="92" t="s">
        <v>40</v>
      </c>
      <c r="C60" s="22"/>
      <c r="D60" s="22"/>
      <c r="E60" s="22"/>
      <c r="F60" s="93"/>
      <c r="G60" s="94"/>
      <c r="H60" s="95">
        <f>SUM(H50:H56,H49)</f>
        <v>151.25355199999998</v>
      </c>
      <c r="I60" s="96"/>
      <c r="J60" s="97"/>
      <c r="K60" s="97"/>
      <c r="L60" s="191">
        <f>SUM(L50:L56,L49)</f>
        <v>158.36320187022162</v>
      </c>
      <c r="M60" s="98"/>
      <c r="N60" s="99">
        <f>L60-H60</f>
        <v>7.109649870221631</v>
      </c>
      <c r="O60" s="100">
        <f>IF((H60)=0,"",(N60/H60))</f>
        <v>0.047004845679403495</v>
      </c>
      <c r="S60" s="73"/>
    </row>
    <row r="61" spans="2:19" ht="15">
      <c r="B61" s="101" t="s">
        <v>41</v>
      </c>
      <c r="C61" s="22"/>
      <c r="D61" s="22"/>
      <c r="E61" s="22"/>
      <c r="F61" s="102">
        <v>0.13</v>
      </c>
      <c r="G61" s="103"/>
      <c r="H61" s="104">
        <f>H60*F61</f>
        <v>19.662961759999998</v>
      </c>
      <c r="I61" s="105"/>
      <c r="J61" s="106">
        <v>0.13</v>
      </c>
      <c r="K61" s="105"/>
      <c r="L61" s="107">
        <f>L60*J61</f>
        <v>20.58721624312881</v>
      </c>
      <c r="M61" s="108"/>
      <c r="N61" s="109">
        <f t="shared" si="10"/>
        <v>0.9242544831288129</v>
      </c>
      <c r="O61" s="110">
        <f t="shared" si="11"/>
        <v>0.04700484567940354</v>
      </c>
      <c r="S61" s="73"/>
    </row>
    <row r="62" spans="2:19" ht="15">
      <c r="B62" s="111" t="s">
        <v>42</v>
      </c>
      <c r="C62" s="22"/>
      <c r="D62" s="22"/>
      <c r="E62" s="22"/>
      <c r="F62" s="112"/>
      <c r="G62" s="103"/>
      <c r="H62" s="104">
        <f>H60+H61</f>
        <v>170.91651376</v>
      </c>
      <c r="I62" s="105"/>
      <c r="J62" s="105"/>
      <c r="K62" s="105"/>
      <c r="L62" s="107">
        <f>L60+L61</f>
        <v>178.95041811335042</v>
      </c>
      <c r="M62" s="108"/>
      <c r="N62" s="109">
        <f t="shared" si="10"/>
        <v>8.033904353350437</v>
      </c>
      <c r="O62" s="110">
        <f t="shared" si="11"/>
        <v>0.047004845679403454</v>
      </c>
      <c r="S62" s="73"/>
    </row>
    <row r="63" spans="2:15" ht="15.75" customHeight="1">
      <c r="B63" s="251" t="s">
        <v>43</v>
      </c>
      <c r="C63" s="251"/>
      <c r="D63" s="251"/>
      <c r="E63" s="22"/>
      <c r="F63" s="112"/>
      <c r="G63" s="103"/>
      <c r="H63" s="113">
        <f>ROUND(-H62*10%,2)</f>
        <v>-17.09</v>
      </c>
      <c r="I63" s="105"/>
      <c r="J63" s="105"/>
      <c r="K63" s="105"/>
      <c r="L63" s="114">
        <f>ROUND(-L62*10%,2)</f>
        <v>-17.9</v>
      </c>
      <c r="M63" s="108"/>
      <c r="N63" s="115">
        <f t="shared" si="10"/>
        <v>-0.8099999999999987</v>
      </c>
      <c r="O63" s="116">
        <f t="shared" si="11"/>
        <v>0.047396138092451655</v>
      </c>
    </row>
    <row r="64" spans="2:15" ht="15.75" thickBot="1">
      <c r="B64" s="233" t="s">
        <v>44</v>
      </c>
      <c r="C64" s="233"/>
      <c r="D64" s="233"/>
      <c r="E64" s="117"/>
      <c r="F64" s="118"/>
      <c r="G64" s="119"/>
      <c r="H64" s="120">
        <f>H62+H63</f>
        <v>153.82651375999998</v>
      </c>
      <c r="I64" s="121"/>
      <c r="J64" s="121"/>
      <c r="K64" s="121"/>
      <c r="L64" s="122">
        <f>L62+L63</f>
        <v>161.05041811335042</v>
      </c>
      <c r="M64" s="123"/>
      <c r="N64" s="124">
        <f t="shared" si="10"/>
        <v>7.223904353350434</v>
      </c>
      <c r="O64" s="125">
        <f t="shared" si="11"/>
        <v>0.04696137341200597</v>
      </c>
    </row>
    <row r="65" spans="2:15" s="74" customFormat="1" ht="8.25" customHeight="1" thickBot="1">
      <c r="B65" s="126"/>
      <c r="C65" s="127"/>
      <c r="D65" s="128"/>
      <c r="E65" s="127"/>
      <c r="F65" s="85"/>
      <c r="G65" s="129"/>
      <c r="H65" s="87"/>
      <c r="I65" s="130"/>
      <c r="J65" s="85"/>
      <c r="K65" s="131"/>
      <c r="L65" s="87"/>
      <c r="M65" s="130"/>
      <c r="N65" s="132"/>
      <c r="O65" s="91"/>
    </row>
    <row r="66" spans="2:15" s="74" customFormat="1" ht="12.75">
      <c r="B66" s="133" t="s">
        <v>45</v>
      </c>
      <c r="C66" s="76"/>
      <c r="D66" s="76"/>
      <c r="E66" s="76"/>
      <c r="F66" s="134"/>
      <c r="G66" s="135"/>
      <c r="H66" s="136">
        <f>SUM(H57:H58,H49,H50:H53)</f>
        <v>150.93355199999996</v>
      </c>
      <c r="I66" s="137"/>
      <c r="J66" s="138"/>
      <c r="K66" s="138"/>
      <c r="L66" s="190">
        <f>SUM(L57:L58,L49,L50:L53)</f>
        <v>158.04320187022162</v>
      </c>
      <c r="M66" s="139"/>
      <c r="N66" s="140">
        <f>L66-H66</f>
        <v>7.109649870221659</v>
      </c>
      <c r="O66" s="100">
        <f>IF((H66)=0,"",(N66/H66))</f>
        <v>0.0471045024516594</v>
      </c>
    </row>
    <row r="67" spans="2:15" s="74" customFormat="1" ht="12.75">
      <c r="B67" s="141" t="s">
        <v>41</v>
      </c>
      <c r="C67" s="76"/>
      <c r="D67" s="76"/>
      <c r="E67" s="76"/>
      <c r="F67" s="142">
        <v>0.13</v>
      </c>
      <c r="G67" s="135"/>
      <c r="H67" s="143">
        <f>H66*F67</f>
        <v>19.621361759999996</v>
      </c>
      <c r="I67" s="144"/>
      <c r="J67" s="145">
        <v>0.13</v>
      </c>
      <c r="K67" s="146"/>
      <c r="L67" s="147">
        <f>L66*J67</f>
        <v>20.545616243128812</v>
      </c>
      <c r="M67" s="148"/>
      <c r="N67" s="149">
        <f>L67-H67</f>
        <v>0.9242544831288164</v>
      </c>
      <c r="O67" s="110">
        <f>IF((H67)=0,"",(N67/H67))</f>
        <v>0.04710450245165943</v>
      </c>
    </row>
    <row r="68" spans="2:15" s="74" customFormat="1" ht="12.75">
      <c r="B68" s="150" t="s">
        <v>42</v>
      </c>
      <c r="C68" s="76"/>
      <c r="D68" s="76"/>
      <c r="E68" s="76"/>
      <c r="F68" s="151"/>
      <c r="G68" s="152"/>
      <c r="H68" s="143">
        <f>H66+H67</f>
        <v>170.55491375999995</v>
      </c>
      <c r="I68" s="144"/>
      <c r="J68" s="144"/>
      <c r="K68" s="144"/>
      <c r="L68" s="147">
        <f>L66+L67</f>
        <v>178.58881811335044</v>
      </c>
      <c r="M68" s="148"/>
      <c r="N68" s="149">
        <f>L68-H68</f>
        <v>8.033904353350493</v>
      </c>
      <c r="O68" s="110">
        <f>IF((H68)=0,"",(N68/H68))</f>
        <v>0.04710450245165951</v>
      </c>
    </row>
    <row r="69" spans="2:15" s="74" customFormat="1" ht="15.75" customHeight="1">
      <c r="B69" s="239" t="s">
        <v>43</v>
      </c>
      <c r="C69" s="239"/>
      <c r="D69" s="239"/>
      <c r="E69" s="76"/>
      <c r="F69" s="151"/>
      <c r="G69" s="152"/>
      <c r="H69" s="153">
        <f>ROUND(-H68*10%,2)</f>
        <v>-17.06</v>
      </c>
      <c r="I69" s="144"/>
      <c r="J69" s="144"/>
      <c r="K69" s="144"/>
      <c r="L69" s="154">
        <f>ROUND(-L68*10%,2)</f>
        <v>-17.86</v>
      </c>
      <c r="M69" s="148"/>
      <c r="N69" s="155">
        <f>L69-H69</f>
        <v>-0.8000000000000007</v>
      </c>
      <c r="O69" s="116">
        <f>IF((H69)=0,"",(N69/H69))</f>
        <v>0.046893317702227474</v>
      </c>
    </row>
    <row r="70" spans="2:15" s="74" customFormat="1" ht="13.5" thickBot="1">
      <c r="B70" s="244" t="s">
        <v>46</v>
      </c>
      <c r="C70" s="244"/>
      <c r="D70" s="244"/>
      <c r="E70" s="156"/>
      <c r="F70" s="157"/>
      <c r="G70" s="158"/>
      <c r="H70" s="159">
        <f>SUM(H68:H69)</f>
        <v>153.49491375999995</v>
      </c>
      <c r="I70" s="160"/>
      <c r="J70" s="160"/>
      <c r="K70" s="160"/>
      <c r="L70" s="161">
        <f>SUM(L68:L69)</f>
        <v>160.72881811335043</v>
      </c>
      <c r="M70" s="162"/>
      <c r="N70" s="163">
        <f>L70-H70</f>
        <v>7.233904353350482</v>
      </c>
      <c r="O70" s="164">
        <f>IF((H70)=0,"",(N70/H70))</f>
        <v>0.047127974316212184</v>
      </c>
    </row>
    <row r="71" spans="2:15" s="74" customFormat="1" ht="8.25" customHeight="1" thickBot="1">
      <c r="B71" s="126"/>
      <c r="C71" s="127"/>
      <c r="D71" s="128"/>
      <c r="E71" s="127"/>
      <c r="F71" s="165"/>
      <c r="G71" s="166"/>
      <c r="H71" s="167"/>
      <c r="I71" s="168"/>
      <c r="J71" s="165"/>
      <c r="K71" s="129"/>
      <c r="L71" s="169"/>
      <c r="M71" s="130"/>
      <c r="N71" s="170"/>
      <c r="O71" s="91"/>
    </row>
    <row r="72" ht="10.5" customHeight="1">
      <c r="L72" s="73"/>
    </row>
    <row r="73" spans="2:10" ht="15">
      <c r="B73" s="13" t="s">
        <v>47</v>
      </c>
      <c r="F73" s="171">
        <v>0.0286</v>
      </c>
      <c r="J73" s="171">
        <v>0.0335</v>
      </c>
    </row>
    <row r="74" ht="10.5" customHeight="1"/>
    <row r="75" ht="15">
      <c r="A75" s="172" t="s">
        <v>48</v>
      </c>
    </row>
    <row r="76" ht="10.5" customHeight="1"/>
    <row r="77" ht="15">
      <c r="A77" s="7" t="s">
        <v>49</v>
      </c>
    </row>
    <row r="78" ht="15">
      <c r="A78" s="7" t="s">
        <v>50</v>
      </c>
    </row>
    <row r="80" ht="15">
      <c r="A80" s="12" t="s">
        <v>51</v>
      </c>
    </row>
    <row r="81" ht="15">
      <c r="A81" s="12" t="s">
        <v>52</v>
      </c>
    </row>
    <row r="83" ht="15">
      <c r="A83" s="7" t="s">
        <v>53</v>
      </c>
    </row>
    <row r="84" ht="15">
      <c r="A84" s="7" t="s">
        <v>54</v>
      </c>
    </row>
    <row r="85" ht="15">
      <c r="A85" s="7" t="s">
        <v>55</v>
      </c>
    </row>
    <row r="86" ht="15">
      <c r="A86" s="7" t="s">
        <v>56</v>
      </c>
    </row>
    <row r="87" ht="15">
      <c r="A87" s="7" t="s">
        <v>57</v>
      </c>
    </row>
    <row r="89" spans="1:2" ht="15">
      <c r="A89" s="173"/>
      <c r="B89" s="7" t="s">
        <v>58</v>
      </c>
    </row>
  </sheetData>
  <sheetProtection/>
  <mergeCells count="18">
    <mergeCell ref="D12:O12"/>
    <mergeCell ref="F18:H18"/>
    <mergeCell ref="J18:L18"/>
    <mergeCell ref="N18:O18"/>
    <mergeCell ref="B70:D70"/>
    <mergeCell ref="D19:D20"/>
    <mergeCell ref="N19:N20"/>
    <mergeCell ref="O19:O20"/>
    <mergeCell ref="B63:D63"/>
    <mergeCell ref="B64:D64"/>
    <mergeCell ref="B69:D69"/>
    <mergeCell ref="N1:O1"/>
    <mergeCell ref="N2:O2"/>
    <mergeCell ref="N4:O4"/>
    <mergeCell ref="N5:O5"/>
    <mergeCell ref="B8:O8"/>
    <mergeCell ref="B9:O9"/>
    <mergeCell ref="N3:O3"/>
  </mergeCells>
  <dataValidations count="4">
    <dataValidation type="list" allowBlank="1" showInputMessage="1" showErrorMessage="1" sqref="E47:E48 E50:E56 E59 E38:E45 E21:E36">
      <formula1>'GS&lt;50 (1,000kWh)'!#REF!</formula1>
    </dataValidation>
    <dataValidation type="list" allowBlank="1" showInputMessage="1" showErrorMessage="1" prompt="Select Charge Unit - monthly, per kWh, per kW" sqref="D47:D48 D65 D71 D50:D59 D38:D45 D21:D36">
      <formula1>"Monthly, per kWh, per kW"</formula1>
    </dataValidation>
    <dataValidation type="list" allowBlank="1" showInputMessage="1" showErrorMessage="1" sqref="E71 E65 E57:E58">
      <formula1>'GS&lt;50 (1,000kWh)'!#REF!</formula1>
    </dataValidation>
    <dataValidation type="list" allowBlank="1" showInputMessage="1" showErrorMessage="1" sqref="D14">
      <formula1>"TOU, non-TOU"</formula1>
    </dataValidation>
  </dataValidations>
  <printOptions/>
  <pageMargins left="0.7" right="0.7" top="0.75" bottom="0.75" header="0.3" footer="0.3"/>
  <pageSetup fitToHeight="0" fitToWidth="1" horizontalDpi="600" verticalDpi="600" orientation="portrait" scale="5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T89"/>
  <sheetViews>
    <sheetView showGridLines="0" zoomScalePageLayoutView="0" workbookViewId="0" topLeftCell="A1">
      <selection activeCell="J5" sqref="J5"/>
    </sheetView>
  </sheetViews>
  <sheetFormatPr defaultColWidth="9.140625" defaultRowHeight="15"/>
  <cols>
    <col min="1" max="1" width="2.140625" style="7" customWidth="1"/>
    <col min="2" max="2" width="44.57421875" style="7" customWidth="1"/>
    <col min="3" max="3" width="1.28515625" style="7" customWidth="1"/>
    <col min="4" max="4" width="11.28125" style="7" customWidth="1"/>
    <col min="5" max="5" width="1.28515625" style="7" customWidth="1"/>
    <col min="6" max="6" width="12.28125" style="7" customWidth="1"/>
    <col min="7" max="7" width="8.57421875" style="7" customWidth="1"/>
    <col min="8" max="8" width="9.7109375" style="7" customWidth="1"/>
    <col min="9" max="9" width="2.8515625" style="7" customWidth="1"/>
    <col min="10" max="10" width="12.140625" style="7" customWidth="1"/>
    <col min="11" max="11" width="8.57421875" style="7" customWidth="1"/>
    <col min="12" max="12" width="9.7109375" style="7" customWidth="1"/>
    <col min="13" max="13" width="2.8515625" style="7" customWidth="1"/>
    <col min="14" max="14" width="12.7109375" style="7" bestFit="1" customWidth="1"/>
    <col min="15" max="15" width="10.8515625" style="7" bestFit="1" customWidth="1"/>
    <col min="16" max="16" width="9.57421875" style="7" customWidth="1"/>
    <col min="17" max="20" width="9.140625" style="7" customWidth="1"/>
    <col min="21" max="16384" width="9.140625" style="7" customWidth="1"/>
  </cols>
  <sheetData>
    <row r="1" spans="1:20" s="2" customFormat="1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234" t="str">
        <f>EBNUMBER</f>
        <v>EB-2013-0116</v>
      </c>
      <c r="O1" s="234"/>
      <c r="P1" s="195"/>
      <c r="T1" s="2">
        <v>1</v>
      </c>
    </row>
    <row r="2" spans="1:16" s="2" customFormat="1" ht="1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110</v>
      </c>
      <c r="N2" s="235" t="s">
        <v>111</v>
      </c>
      <c r="O2" s="235"/>
      <c r="P2" s="196"/>
    </row>
    <row r="3" spans="3:16" s="2" customFormat="1" ht="15" customHeight="1">
      <c r="C3" s="6"/>
      <c r="D3" s="6"/>
      <c r="E3" s="6"/>
      <c r="L3" s="3" t="s">
        <v>78</v>
      </c>
      <c r="N3" s="236" t="s">
        <v>87</v>
      </c>
      <c r="O3" s="236"/>
      <c r="P3" s="195"/>
    </row>
    <row r="4" spans="12:16" s="2" customFormat="1" ht="9" customHeight="1">
      <c r="L4" s="3"/>
      <c r="N4" s="252"/>
      <c r="O4" s="252"/>
      <c r="P4" s="197"/>
    </row>
    <row r="5" spans="12:16" s="2" customFormat="1" ht="15">
      <c r="L5" s="3" t="s">
        <v>100</v>
      </c>
      <c r="N5" s="237">
        <v>41695</v>
      </c>
      <c r="O5" s="237"/>
      <c r="P5" s="198"/>
    </row>
    <row r="6" spans="14:16" s="2" customFormat="1" ht="15" customHeight="1">
      <c r="N6" s="7"/>
      <c r="O6"/>
      <c r="P6"/>
    </row>
    <row r="7" spans="12:16" ht="7.5" customHeight="1">
      <c r="L7"/>
      <c r="M7"/>
      <c r="N7"/>
      <c r="O7"/>
      <c r="P7"/>
    </row>
    <row r="8" spans="2:16" ht="18.75" customHeight="1">
      <c r="B8" s="238" t="s">
        <v>1</v>
      </c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/>
    </row>
    <row r="9" spans="2:16" ht="18.75" customHeight="1">
      <c r="B9" s="238" t="s">
        <v>2</v>
      </c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/>
    </row>
    <row r="10" spans="12:16" ht="7.5" customHeight="1">
      <c r="L10"/>
      <c r="M10"/>
      <c r="N10"/>
      <c r="O10"/>
      <c r="P10"/>
    </row>
    <row r="11" spans="12:16" ht="7.5" customHeight="1">
      <c r="L11"/>
      <c r="M11"/>
      <c r="N11"/>
      <c r="O11"/>
      <c r="P11"/>
    </row>
    <row r="12" spans="2:15" ht="15.75">
      <c r="B12" s="8" t="s">
        <v>3</v>
      </c>
      <c r="D12" s="240" t="s">
        <v>67</v>
      </c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</row>
    <row r="13" spans="2:15" ht="7.5" customHeight="1">
      <c r="B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2:15" ht="15.75">
      <c r="B14" s="8" t="s">
        <v>4</v>
      </c>
      <c r="D14" s="11" t="s">
        <v>5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2:15" ht="15.75">
      <c r="B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2:7" ht="15">
      <c r="B16" s="12"/>
      <c r="D16" s="13" t="s">
        <v>6</v>
      </c>
      <c r="E16" s="13"/>
      <c r="F16" s="14">
        <v>2000</v>
      </c>
      <c r="G16" s="13" t="s">
        <v>7</v>
      </c>
    </row>
    <row r="17" ht="15">
      <c r="B17" s="12"/>
    </row>
    <row r="18" spans="2:15" ht="15">
      <c r="B18" s="12"/>
      <c r="D18" s="15"/>
      <c r="E18" s="15"/>
      <c r="F18" s="241" t="s">
        <v>8</v>
      </c>
      <c r="G18" s="242"/>
      <c r="H18" s="243"/>
      <c r="J18" s="241" t="s">
        <v>9</v>
      </c>
      <c r="K18" s="242"/>
      <c r="L18" s="243"/>
      <c r="N18" s="241" t="s">
        <v>10</v>
      </c>
      <c r="O18" s="243"/>
    </row>
    <row r="19" spans="2:15" ht="15">
      <c r="B19" s="12"/>
      <c r="D19" s="245" t="s">
        <v>11</v>
      </c>
      <c r="E19" s="16"/>
      <c r="F19" s="17" t="s">
        <v>12</v>
      </c>
      <c r="G19" s="17" t="s">
        <v>13</v>
      </c>
      <c r="H19" s="18" t="s">
        <v>14</v>
      </c>
      <c r="J19" s="17" t="s">
        <v>12</v>
      </c>
      <c r="K19" s="19" t="s">
        <v>13</v>
      </c>
      <c r="L19" s="18" t="s">
        <v>14</v>
      </c>
      <c r="N19" s="247" t="s">
        <v>15</v>
      </c>
      <c r="O19" s="249" t="s">
        <v>16</v>
      </c>
    </row>
    <row r="20" spans="2:15" ht="15">
      <c r="B20" s="12"/>
      <c r="D20" s="246"/>
      <c r="E20" s="16"/>
      <c r="F20" s="20" t="s">
        <v>17</v>
      </c>
      <c r="G20" s="20"/>
      <c r="H20" s="21" t="s">
        <v>17</v>
      </c>
      <c r="J20" s="20" t="s">
        <v>17</v>
      </c>
      <c r="K20" s="21"/>
      <c r="L20" s="21" t="s">
        <v>17</v>
      </c>
      <c r="N20" s="248"/>
      <c r="O20" s="250"/>
    </row>
    <row r="21" spans="2:15" ht="22.5" customHeight="1">
      <c r="B21" s="22" t="s">
        <v>18</v>
      </c>
      <c r="C21" s="22"/>
      <c r="D21" s="23" t="s">
        <v>60</v>
      </c>
      <c r="E21" s="24"/>
      <c r="F21" s="175">
        <f>'[2]2013 Existing Rates'!$C$7</f>
        <v>11.92</v>
      </c>
      <c r="G21" s="26">
        <v>1</v>
      </c>
      <c r="H21" s="27">
        <f>G21*F21</f>
        <v>11.92</v>
      </c>
      <c r="I21" s="28"/>
      <c r="J21" s="174">
        <f>'[3]Rate Schedule '!$E$16</f>
        <v>25.58</v>
      </c>
      <c r="K21" s="30">
        <v>1</v>
      </c>
      <c r="L21" s="27">
        <f>K21*J21</f>
        <v>25.58</v>
      </c>
      <c r="M21" s="28"/>
      <c r="N21" s="31">
        <f>L21-H21</f>
        <v>13.659999999999998</v>
      </c>
      <c r="O21" s="32">
        <f>IF((H21)=0,"",(N21/H21))</f>
        <v>1.1459731543624159</v>
      </c>
    </row>
    <row r="22" spans="2:15" ht="36.75" customHeight="1">
      <c r="B22" s="65" t="s">
        <v>62</v>
      </c>
      <c r="C22" s="22"/>
      <c r="D22" s="56" t="s">
        <v>60</v>
      </c>
      <c r="E22" s="24"/>
      <c r="F22" s="174">
        <v>4.89</v>
      </c>
      <c r="G22" s="26">
        <v>1</v>
      </c>
      <c r="H22" s="27">
        <f aca="true" t="shared" si="0" ref="H22:H36">G22*F22</f>
        <v>4.89</v>
      </c>
      <c r="I22" s="28"/>
      <c r="J22" s="29"/>
      <c r="K22" s="30">
        <v>1</v>
      </c>
      <c r="L22" s="27">
        <f>K22*J22</f>
        <v>0</v>
      </c>
      <c r="M22" s="28"/>
      <c r="N22" s="31">
        <f>L22-H22</f>
        <v>-4.89</v>
      </c>
      <c r="O22" s="32">
        <f>IF((H22)=0,"",(N22/H22))</f>
        <v>-1</v>
      </c>
    </row>
    <row r="23" spans="2:15" ht="36.75" customHeight="1">
      <c r="B23" s="176" t="s">
        <v>63</v>
      </c>
      <c r="C23" s="22"/>
      <c r="D23" s="56" t="s">
        <v>60</v>
      </c>
      <c r="E23" s="57"/>
      <c r="F23" s="174">
        <v>6.2</v>
      </c>
      <c r="G23" s="26">
        <v>1</v>
      </c>
      <c r="H23" s="27">
        <f t="shared" si="0"/>
        <v>6.2</v>
      </c>
      <c r="I23" s="28"/>
      <c r="J23" s="29"/>
      <c r="K23" s="30">
        <v>1</v>
      </c>
      <c r="L23" s="27">
        <f aca="true" t="shared" si="1" ref="L23:L36">K23*J23</f>
        <v>0</v>
      </c>
      <c r="M23" s="28"/>
      <c r="N23" s="31">
        <f aca="true" t="shared" si="2" ref="N23:N64">L23-H23</f>
        <v>-6.2</v>
      </c>
      <c r="O23" s="32">
        <f aca="true" t="shared" si="3" ref="O23:O44">IF((H23)=0,"",(N23/H23))</f>
        <v>-1</v>
      </c>
    </row>
    <row r="24" spans="2:15" ht="15">
      <c r="B24" s="176" t="s">
        <v>64</v>
      </c>
      <c r="C24" s="22"/>
      <c r="D24" s="23" t="s">
        <v>60</v>
      </c>
      <c r="E24" s="24"/>
      <c r="F24" s="25"/>
      <c r="G24" s="26">
        <v>1</v>
      </c>
      <c r="H24" s="27">
        <f t="shared" si="0"/>
        <v>0</v>
      </c>
      <c r="I24" s="28"/>
      <c r="J24" s="174">
        <v>10.02</v>
      </c>
      <c r="K24" s="30">
        <v>1</v>
      </c>
      <c r="L24" s="27">
        <f t="shared" si="1"/>
        <v>10.02</v>
      </c>
      <c r="M24" s="28"/>
      <c r="N24" s="31">
        <f t="shared" si="2"/>
        <v>10.02</v>
      </c>
      <c r="O24" s="32">
        <f t="shared" si="3"/>
      </c>
    </row>
    <row r="25" spans="2:15" ht="15">
      <c r="B25" s="46" t="s">
        <v>65</v>
      </c>
      <c r="C25" s="22"/>
      <c r="D25" s="23" t="s">
        <v>61</v>
      </c>
      <c r="E25" s="24"/>
      <c r="F25" s="25">
        <v>-0.0001</v>
      </c>
      <c r="G25" s="26">
        <f>$F$16</f>
        <v>2000</v>
      </c>
      <c r="H25" s="27">
        <f t="shared" si="0"/>
        <v>-0.2</v>
      </c>
      <c r="I25" s="28"/>
      <c r="J25" s="174"/>
      <c r="K25" s="26">
        <f>$F$16</f>
        <v>2000</v>
      </c>
      <c r="L25" s="27">
        <f t="shared" si="1"/>
        <v>0</v>
      </c>
      <c r="M25" s="28"/>
      <c r="N25" s="31">
        <f t="shared" si="2"/>
        <v>0.2</v>
      </c>
      <c r="O25" s="32">
        <f t="shared" si="3"/>
        <v>-1</v>
      </c>
    </row>
    <row r="26" spans="2:15" ht="15">
      <c r="B26" s="46" t="s">
        <v>66</v>
      </c>
      <c r="C26" s="22"/>
      <c r="D26" s="23" t="s">
        <v>61</v>
      </c>
      <c r="E26" s="24"/>
      <c r="F26" s="25"/>
      <c r="G26" s="26">
        <f>$F$16</f>
        <v>2000</v>
      </c>
      <c r="H26" s="27">
        <f t="shared" si="0"/>
        <v>0</v>
      </c>
      <c r="I26" s="28"/>
      <c r="J26" s="29">
        <f>'[4]6. Rate Rider Calculations'!$F$76</f>
        <v>-0.0023955525753637957</v>
      </c>
      <c r="K26" s="26">
        <f>$F$16</f>
        <v>2000</v>
      </c>
      <c r="L26" s="27">
        <f t="shared" si="1"/>
        <v>-4.791105150727591</v>
      </c>
      <c r="M26" s="28"/>
      <c r="N26" s="31">
        <f t="shared" si="2"/>
        <v>-4.791105150727591</v>
      </c>
      <c r="O26" s="32">
        <f t="shared" si="3"/>
      </c>
    </row>
    <row r="27" spans="2:15" ht="15">
      <c r="B27" s="22" t="s">
        <v>19</v>
      </c>
      <c r="C27" s="22"/>
      <c r="D27" s="23" t="s">
        <v>61</v>
      </c>
      <c r="E27" s="24"/>
      <c r="F27" s="25">
        <f>'[2]2013 Existing Rates'!$E$7</f>
        <v>0.0127</v>
      </c>
      <c r="G27" s="26">
        <f>$F$16</f>
        <v>2000</v>
      </c>
      <c r="H27" s="27">
        <f t="shared" si="0"/>
        <v>25.4</v>
      </c>
      <c r="I27" s="28"/>
      <c r="J27" s="29">
        <f>'[3]Rate Schedule '!$E$17</f>
        <v>0.0104</v>
      </c>
      <c r="K27" s="26">
        <f>$F$16</f>
        <v>2000</v>
      </c>
      <c r="L27" s="27">
        <f t="shared" si="1"/>
        <v>20.8</v>
      </c>
      <c r="M27" s="28"/>
      <c r="N27" s="31">
        <f t="shared" si="2"/>
        <v>-4.599999999999998</v>
      </c>
      <c r="O27" s="32">
        <f t="shared" si="3"/>
        <v>-0.18110236220472434</v>
      </c>
    </row>
    <row r="28" spans="2:15" ht="15" hidden="1">
      <c r="B28" s="22" t="s">
        <v>20</v>
      </c>
      <c r="C28" s="22"/>
      <c r="D28" s="23"/>
      <c r="E28" s="24"/>
      <c r="F28" s="25"/>
      <c r="G28" s="26">
        <f>$F$16</f>
        <v>2000</v>
      </c>
      <c r="H28" s="27">
        <f t="shared" si="0"/>
        <v>0</v>
      </c>
      <c r="I28" s="28"/>
      <c r="J28" s="29"/>
      <c r="K28" s="26">
        <f aca="true" t="shared" si="4" ref="K28:K36">$F$16</f>
        <v>2000</v>
      </c>
      <c r="L28" s="27">
        <f t="shared" si="1"/>
        <v>0</v>
      </c>
      <c r="M28" s="28"/>
      <c r="N28" s="31">
        <f t="shared" si="2"/>
        <v>0</v>
      </c>
      <c r="O28" s="32">
        <f t="shared" si="3"/>
      </c>
    </row>
    <row r="29" spans="2:15" ht="15" hidden="1">
      <c r="B29" s="22" t="s">
        <v>21</v>
      </c>
      <c r="C29" s="22"/>
      <c r="D29" s="23"/>
      <c r="E29" s="24"/>
      <c r="F29" s="25"/>
      <c r="G29" s="26">
        <f>$F$16</f>
        <v>2000</v>
      </c>
      <c r="H29" s="27">
        <f t="shared" si="0"/>
        <v>0</v>
      </c>
      <c r="I29" s="28"/>
      <c r="J29" s="29"/>
      <c r="K29" s="26">
        <f t="shared" si="4"/>
        <v>2000</v>
      </c>
      <c r="L29" s="27">
        <f t="shared" si="1"/>
        <v>0</v>
      </c>
      <c r="M29" s="28"/>
      <c r="N29" s="31">
        <f t="shared" si="2"/>
        <v>0</v>
      </c>
      <c r="O29" s="32">
        <f t="shared" si="3"/>
      </c>
    </row>
    <row r="30" spans="2:15" ht="15" hidden="1">
      <c r="B30" s="33"/>
      <c r="C30" s="22"/>
      <c r="D30" s="23"/>
      <c r="E30" s="24"/>
      <c r="F30" s="25"/>
      <c r="G30" s="26">
        <f aca="true" t="shared" si="5" ref="G30:G36">$F$16</f>
        <v>2000</v>
      </c>
      <c r="H30" s="27">
        <f t="shared" si="0"/>
        <v>0</v>
      </c>
      <c r="I30" s="28"/>
      <c r="J30" s="29"/>
      <c r="K30" s="26">
        <f t="shared" si="4"/>
        <v>2000</v>
      </c>
      <c r="L30" s="27">
        <f t="shared" si="1"/>
        <v>0</v>
      </c>
      <c r="M30" s="28"/>
      <c r="N30" s="31">
        <f t="shared" si="2"/>
        <v>0</v>
      </c>
      <c r="O30" s="32">
        <f t="shared" si="3"/>
      </c>
    </row>
    <row r="31" spans="2:15" ht="15" hidden="1">
      <c r="B31" s="33"/>
      <c r="C31" s="22"/>
      <c r="D31" s="23"/>
      <c r="E31" s="24"/>
      <c r="F31" s="25"/>
      <c r="G31" s="26">
        <f t="shared" si="5"/>
        <v>2000</v>
      </c>
      <c r="H31" s="27">
        <f t="shared" si="0"/>
        <v>0</v>
      </c>
      <c r="I31" s="28"/>
      <c r="J31" s="29"/>
      <c r="K31" s="26">
        <f t="shared" si="4"/>
        <v>2000</v>
      </c>
      <c r="L31" s="27">
        <f t="shared" si="1"/>
        <v>0</v>
      </c>
      <c r="M31" s="28"/>
      <c r="N31" s="31">
        <f t="shared" si="2"/>
        <v>0</v>
      </c>
      <c r="O31" s="32">
        <f t="shared" si="3"/>
      </c>
    </row>
    <row r="32" spans="2:15" ht="15" hidden="1">
      <c r="B32" s="33"/>
      <c r="C32" s="22"/>
      <c r="D32" s="23"/>
      <c r="E32" s="24"/>
      <c r="F32" s="25"/>
      <c r="G32" s="26">
        <f t="shared" si="5"/>
        <v>2000</v>
      </c>
      <c r="H32" s="27">
        <f t="shared" si="0"/>
        <v>0</v>
      </c>
      <c r="I32" s="28"/>
      <c r="J32" s="29"/>
      <c r="K32" s="26">
        <f t="shared" si="4"/>
        <v>2000</v>
      </c>
      <c r="L32" s="27">
        <f t="shared" si="1"/>
        <v>0</v>
      </c>
      <c r="M32" s="28"/>
      <c r="N32" s="31">
        <f t="shared" si="2"/>
        <v>0</v>
      </c>
      <c r="O32" s="32">
        <f t="shared" si="3"/>
      </c>
    </row>
    <row r="33" spans="2:15" ht="15" hidden="1">
      <c r="B33" s="33"/>
      <c r="C33" s="22"/>
      <c r="D33" s="23"/>
      <c r="E33" s="24"/>
      <c r="F33" s="25"/>
      <c r="G33" s="26">
        <f t="shared" si="5"/>
        <v>2000</v>
      </c>
      <c r="H33" s="27">
        <f t="shared" si="0"/>
        <v>0</v>
      </c>
      <c r="I33" s="28"/>
      <c r="J33" s="29"/>
      <c r="K33" s="26">
        <f t="shared" si="4"/>
        <v>2000</v>
      </c>
      <c r="L33" s="27">
        <f t="shared" si="1"/>
        <v>0</v>
      </c>
      <c r="M33" s="28"/>
      <c r="N33" s="31">
        <f t="shared" si="2"/>
        <v>0</v>
      </c>
      <c r="O33" s="32">
        <f t="shared" si="3"/>
      </c>
    </row>
    <row r="34" spans="2:15" ht="15" hidden="1">
      <c r="B34" s="33"/>
      <c r="C34" s="22"/>
      <c r="D34" s="23"/>
      <c r="E34" s="24"/>
      <c r="F34" s="25"/>
      <c r="G34" s="26">
        <f t="shared" si="5"/>
        <v>2000</v>
      </c>
      <c r="H34" s="27">
        <f t="shared" si="0"/>
        <v>0</v>
      </c>
      <c r="I34" s="28"/>
      <c r="J34" s="29"/>
      <c r="K34" s="26">
        <f t="shared" si="4"/>
        <v>2000</v>
      </c>
      <c r="L34" s="27">
        <f t="shared" si="1"/>
        <v>0</v>
      </c>
      <c r="M34" s="28"/>
      <c r="N34" s="31">
        <f t="shared" si="2"/>
        <v>0</v>
      </c>
      <c r="O34" s="32">
        <f t="shared" si="3"/>
      </c>
    </row>
    <row r="35" spans="2:15" ht="15" hidden="1">
      <c r="B35" s="33"/>
      <c r="C35" s="22"/>
      <c r="D35" s="23"/>
      <c r="E35" s="24"/>
      <c r="F35" s="25"/>
      <c r="G35" s="26">
        <f t="shared" si="5"/>
        <v>2000</v>
      </c>
      <c r="H35" s="27">
        <f t="shared" si="0"/>
        <v>0</v>
      </c>
      <c r="I35" s="28"/>
      <c r="J35" s="29"/>
      <c r="K35" s="26">
        <f t="shared" si="4"/>
        <v>2000</v>
      </c>
      <c r="L35" s="27">
        <f t="shared" si="1"/>
        <v>0</v>
      </c>
      <c r="M35" s="28"/>
      <c r="N35" s="31">
        <f t="shared" si="2"/>
        <v>0</v>
      </c>
      <c r="O35" s="32">
        <f t="shared" si="3"/>
      </c>
    </row>
    <row r="36" spans="2:15" ht="15" hidden="1">
      <c r="B36" s="33"/>
      <c r="C36" s="22"/>
      <c r="D36" s="23"/>
      <c r="E36" s="24"/>
      <c r="F36" s="25"/>
      <c r="G36" s="26">
        <f t="shared" si="5"/>
        <v>2000</v>
      </c>
      <c r="H36" s="27">
        <f t="shared" si="0"/>
        <v>0</v>
      </c>
      <c r="I36" s="28"/>
      <c r="J36" s="29"/>
      <c r="K36" s="26">
        <f t="shared" si="4"/>
        <v>2000</v>
      </c>
      <c r="L36" s="27">
        <f t="shared" si="1"/>
        <v>0</v>
      </c>
      <c r="M36" s="28"/>
      <c r="N36" s="31">
        <f t="shared" si="2"/>
        <v>0</v>
      </c>
      <c r="O36" s="32">
        <f t="shared" si="3"/>
      </c>
    </row>
    <row r="37" spans="2:15" s="34" customFormat="1" ht="15">
      <c r="B37" s="35" t="s">
        <v>22</v>
      </c>
      <c r="C37" s="36"/>
      <c r="D37" s="37"/>
      <c r="E37" s="36"/>
      <c r="F37" s="38"/>
      <c r="G37" s="39"/>
      <c r="H37" s="40">
        <f>SUM(H21:H36)</f>
        <v>48.209999999999994</v>
      </c>
      <c r="I37" s="41"/>
      <c r="J37" s="42"/>
      <c r="K37" s="43"/>
      <c r="L37" s="40">
        <f>SUM(L21:L36)</f>
        <v>51.6088948492724</v>
      </c>
      <c r="M37" s="41"/>
      <c r="N37" s="44">
        <f t="shared" si="2"/>
        <v>3.398894849272409</v>
      </c>
      <c r="O37" s="45">
        <f t="shared" si="3"/>
        <v>0.07050186370612756</v>
      </c>
    </row>
    <row r="38" spans="2:15" ht="15" hidden="1">
      <c r="B38" s="176"/>
      <c r="C38" s="22"/>
      <c r="D38" s="56" t="s">
        <v>60</v>
      </c>
      <c r="E38" s="24"/>
      <c r="F38" s="25"/>
      <c r="G38" s="26">
        <v>1</v>
      </c>
      <c r="H38" s="27">
        <f>G38*F38</f>
        <v>0</v>
      </c>
      <c r="I38" s="28"/>
      <c r="J38" s="174"/>
      <c r="K38" s="30">
        <v>1</v>
      </c>
      <c r="L38" s="27">
        <f>K38*J38</f>
        <v>0</v>
      </c>
      <c r="M38" s="28"/>
      <c r="N38" s="31">
        <f>L38-H38</f>
        <v>0</v>
      </c>
      <c r="O38" s="32">
        <f>IF((H38)=0,"",(N38/H38))</f>
      </c>
    </row>
    <row r="39" spans="2:15" ht="25.5">
      <c r="B39" s="46" t="s">
        <v>23</v>
      </c>
      <c r="C39" s="22"/>
      <c r="D39" s="56" t="s">
        <v>61</v>
      </c>
      <c r="E39" s="57"/>
      <c r="F39" s="29">
        <v>0.0003</v>
      </c>
      <c r="G39" s="26">
        <f>$F$16</f>
        <v>2000</v>
      </c>
      <c r="H39" s="27">
        <f aca="true" t="shared" si="6" ref="H39:H45">G39*F39</f>
        <v>0.6</v>
      </c>
      <c r="I39" s="28"/>
      <c r="J39" s="29">
        <f>'[4]6. Rate Rider Calculations'!$F$21</f>
        <v>-0.001125755911208088</v>
      </c>
      <c r="K39" s="26">
        <f>$F$16</f>
        <v>2000</v>
      </c>
      <c r="L39" s="27">
        <f aca="true" t="shared" si="7" ref="L39:L45">K39*J39</f>
        <v>-2.251511822416176</v>
      </c>
      <c r="M39" s="28"/>
      <c r="N39" s="31">
        <f t="shared" si="2"/>
        <v>-2.851511822416176</v>
      </c>
      <c r="O39" s="32">
        <f t="shared" si="3"/>
        <v>-4.75251970402696</v>
      </c>
    </row>
    <row r="40" spans="2:15" ht="15" hidden="1">
      <c r="B40" s="46"/>
      <c r="C40" s="22"/>
      <c r="D40" s="23" t="s">
        <v>61</v>
      </c>
      <c r="E40" s="24"/>
      <c r="F40" s="25"/>
      <c r="G40" s="26">
        <f>$F$16</f>
        <v>2000</v>
      </c>
      <c r="H40" s="27">
        <f t="shared" si="6"/>
        <v>0</v>
      </c>
      <c r="I40" s="47"/>
      <c r="J40" s="29"/>
      <c r="K40" s="26">
        <f>$F$16</f>
        <v>2000</v>
      </c>
      <c r="L40" s="27">
        <f t="shared" si="7"/>
        <v>0</v>
      </c>
      <c r="M40" s="48"/>
      <c r="N40" s="31">
        <f t="shared" si="2"/>
        <v>0</v>
      </c>
      <c r="O40" s="32">
        <f t="shared" si="3"/>
      </c>
    </row>
    <row r="41" spans="2:15" ht="15" hidden="1">
      <c r="B41" s="46"/>
      <c r="C41" s="22"/>
      <c r="D41" s="23" t="s">
        <v>61</v>
      </c>
      <c r="E41" s="24"/>
      <c r="F41" s="25"/>
      <c r="G41" s="26">
        <f>$F$16</f>
        <v>2000</v>
      </c>
      <c r="H41" s="27">
        <f t="shared" si="6"/>
        <v>0</v>
      </c>
      <c r="I41" s="47"/>
      <c r="J41" s="29"/>
      <c r="K41" s="26">
        <f>$F$16</f>
        <v>2000</v>
      </c>
      <c r="L41" s="27">
        <f t="shared" si="7"/>
        <v>0</v>
      </c>
      <c r="M41" s="48"/>
      <c r="N41" s="31">
        <f t="shared" si="2"/>
        <v>0</v>
      </c>
      <c r="O41" s="32">
        <f t="shared" si="3"/>
      </c>
    </row>
    <row r="42" spans="2:15" ht="15" hidden="1">
      <c r="B42" s="46"/>
      <c r="C42" s="22"/>
      <c r="D42" s="23"/>
      <c r="E42" s="24"/>
      <c r="F42" s="25"/>
      <c r="G42" s="26">
        <f>$F$16</f>
        <v>2000</v>
      </c>
      <c r="H42" s="27">
        <f t="shared" si="6"/>
        <v>0</v>
      </c>
      <c r="I42" s="47"/>
      <c r="J42" s="29"/>
      <c r="K42" s="26">
        <f>$F$16</f>
        <v>2000</v>
      </c>
      <c r="L42" s="27">
        <f t="shared" si="7"/>
        <v>0</v>
      </c>
      <c r="M42" s="48"/>
      <c r="N42" s="31">
        <f t="shared" si="2"/>
        <v>0</v>
      </c>
      <c r="O42" s="32">
        <f t="shared" si="3"/>
      </c>
    </row>
    <row r="43" spans="2:15" ht="15">
      <c r="B43" s="49" t="s">
        <v>24</v>
      </c>
      <c r="C43" s="22"/>
      <c r="D43" s="23" t="s">
        <v>61</v>
      </c>
      <c r="E43" s="24"/>
      <c r="F43" s="25">
        <v>0</v>
      </c>
      <c r="G43" s="26">
        <f>$F$16</f>
        <v>2000</v>
      </c>
      <c r="H43" s="27">
        <f t="shared" si="6"/>
        <v>0</v>
      </c>
      <c r="I43" s="28"/>
      <c r="J43" s="29">
        <f>'[3]Rate Schedule '!$E$18</f>
        <v>0.0001</v>
      </c>
      <c r="K43" s="26">
        <f>$F$16</f>
        <v>2000</v>
      </c>
      <c r="L43" s="27">
        <f t="shared" si="7"/>
        <v>0.2</v>
      </c>
      <c r="M43" s="28"/>
      <c r="N43" s="31">
        <f t="shared" si="2"/>
        <v>0.2</v>
      </c>
      <c r="O43" s="32">
        <f t="shared" si="3"/>
      </c>
    </row>
    <row r="44" spans="2:15" s="34" customFormat="1" ht="15">
      <c r="B44" s="182" t="s">
        <v>25</v>
      </c>
      <c r="C44" s="24"/>
      <c r="D44" s="183" t="s">
        <v>61</v>
      </c>
      <c r="E44" s="24"/>
      <c r="F44" s="184">
        <f>IF(ISBLANK(D14)=TRUE,0,IF(D14="TOU",0.64*$F$54+0.18*$F$55+0.18*$F$56,IF(AND(D14="non-TOU",G58&gt;0),F58,F57)))</f>
        <v>0.08892</v>
      </c>
      <c r="G44" s="26">
        <f>$F$16*(1+$F$73)-$F$16</f>
        <v>57.19999999999982</v>
      </c>
      <c r="H44" s="185">
        <f t="shared" si="6"/>
        <v>5.086223999999984</v>
      </c>
      <c r="I44" s="57"/>
      <c r="J44" s="186">
        <f>0.64*$F$54+0.18*$F$55+0.18*$F$56</f>
        <v>0.08892</v>
      </c>
      <c r="K44" s="26">
        <f>$F$16*(1+$J$73)-$F$16</f>
        <v>67</v>
      </c>
      <c r="L44" s="185">
        <f t="shared" si="7"/>
        <v>5.95764</v>
      </c>
      <c r="M44" s="57"/>
      <c r="N44" s="187">
        <f t="shared" si="2"/>
        <v>0.871416000000016</v>
      </c>
      <c r="O44" s="188">
        <f t="shared" si="3"/>
        <v>0.17132867132867502</v>
      </c>
    </row>
    <row r="45" spans="2:15" ht="15">
      <c r="B45" s="49" t="s">
        <v>26</v>
      </c>
      <c r="C45" s="22"/>
      <c r="D45" s="23" t="s">
        <v>60</v>
      </c>
      <c r="E45" s="24"/>
      <c r="F45" s="179">
        <v>0.79</v>
      </c>
      <c r="G45" s="26">
        <v>1</v>
      </c>
      <c r="H45" s="27">
        <f t="shared" si="6"/>
        <v>0.79</v>
      </c>
      <c r="I45" s="28"/>
      <c r="J45" s="179">
        <v>0.79</v>
      </c>
      <c r="K45" s="26">
        <v>1</v>
      </c>
      <c r="L45" s="27">
        <f t="shared" si="7"/>
        <v>0.79</v>
      </c>
      <c r="M45" s="28"/>
      <c r="N45" s="31">
        <f t="shared" si="2"/>
        <v>0</v>
      </c>
      <c r="O45" s="32"/>
    </row>
    <row r="46" spans="2:15" ht="25.5">
      <c r="B46" s="50" t="s">
        <v>27</v>
      </c>
      <c r="C46" s="51"/>
      <c r="D46" s="51"/>
      <c r="E46" s="51"/>
      <c r="F46" s="52"/>
      <c r="G46" s="53"/>
      <c r="H46" s="54">
        <f>SUM(H38:H45)+H37</f>
        <v>54.686223999999974</v>
      </c>
      <c r="I46" s="41"/>
      <c r="J46" s="53"/>
      <c r="K46" s="55"/>
      <c r="L46" s="54">
        <f>SUM(L38:L45)+L37</f>
        <v>56.305023026856226</v>
      </c>
      <c r="M46" s="41"/>
      <c r="N46" s="44">
        <f t="shared" si="2"/>
        <v>1.6187990268562515</v>
      </c>
      <c r="O46" s="45">
        <f aca="true" t="shared" si="8" ref="O46:O64">IF((H46)=0,"",(N46/H46))</f>
        <v>0.02960158717223285</v>
      </c>
    </row>
    <row r="47" spans="2:15" ht="15">
      <c r="B47" s="28" t="s">
        <v>28</v>
      </c>
      <c r="C47" s="28"/>
      <c r="D47" s="56" t="s">
        <v>61</v>
      </c>
      <c r="E47" s="57"/>
      <c r="F47" s="29">
        <v>0.0062</v>
      </c>
      <c r="G47" s="58">
        <f>F16*(1+F73)</f>
        <v>2057.2</v>
      </c>
      <c r="H47" s="27">
        <f>G47*F47</f>
        <v>12.754639999999998</v>
      </c>
      <c r="I47" s="28"/>
      <c r="J47" s="29">
        <f>'[5]13. Final 2014 RTS Rates'!$F$27</f>
        <v>0.005811873445206607</v>
      </c>
      <c r="K47" s="59">
        <f>F16*(1+J73)</f>
        <v>2067</v>
      </c>
      <c r="L47" s="27">
        <f>K47*J47</f>
        <v>12.013142411242058</v>
      </c>
      <c r="M47" s="28"/>
      <c r="N47" s="31">
        <f t="shared" si="2"/>
        <v>-0.7414975887579409</v>
      </c>
      <c r="O47" s="32">
        <f t="shared" si="8"/>
        <v>-0.0581355168595853</v>
      </c>
    </row>
    <row r="48" spans="2:15" ht="30">
      <c r="B48" s="60" t="s">
        <v>29</v>
      </c>
      <c r="C48" s="28"/>
      <c r="D48" s="56" t="s">
        <v>61</v>
      </c>
      <c r="E48" s="57"/>
      <c r="F48" s="29">
        <v>0.0036</v>
      </c>
      <c r="G48" s="58">
        <f>G47</f>
        <v>2057.2</v>
      </c>
      <c r="H48" s="27">
        <f>G48*F48</f>
        <v>7.405919999999999</v>
      </c>
      <c r="I48" s="28"/>
      <c r="J48" s="29">
        <f>'[5]13. Final 2014 RTS Rates'!$H$27</f>
        <v>0.003920192695861129</v>
      </c>
      <c r="K48" s="59">
        <f>K47</f>
        <v>2067</v>
      </c>
      <c r="L48" s="27">
        <f>K48*J48</f>
        <v>8.103038302344954</v>
      </c>
      <c r="M48" s="28"/>
      <c r="N48" s="31">
        <f t="shared" si="2"/>
        <v>0.697118302344955</v>
      </c>
      <c r="O48" s="32">
        <f t="shared" si="8"/>
        <v>0.09412987209488559</v>
      </c>
    </row>
    <row r="49" spans="2:15" ht="25.5">
      <c r="B49" s="50" t="s">
        <v>30</v>
      </c>
      <c r="C49" s="36"/>
      <c r="D49" s="36"/>
      <c r="E49" s="36"/>
      <c r="F49" s="61"/>
      <c r="G49" s="53"/>
      <c r="H49" s="54">
        <f>SUM(H46:H48)</f>
        <v>74.84678399999997</v>
      </c>
      <c r="I49" s="62"/>
      <c r="J49" s="63"/>
      <c r="K49" s="64"/>
      <c r="L49" s="54">
        <f>SUM(L46:L48)</f>
        <v>76.42120374044323</v>
      </c>
      <c r="M49" s="62"/>
      <c r="N49" s="44">
        <f t="shared" si="2"/>
        <v>1.5744197404432612</v>
      </c>
      <c r="O49" s="45">
        <f t="shared" si="8"/>
        <v>0.02103523566815191</v>
      </c>
    </row>
    <row r="50" spans="2:15" ht="30">
      <c r="B50" s="65" t="s">
        <v>31</v>
      </c>
      <c r="C50" s="22"/>
      <c r="D50" s="23" t="s">
        <v>61</v>
      </c>
      <c r="E50" s="24"/>
      <c r="F50" s="66">
        <v>0.0044</v>
      </c>
      <c r="G50" s="58">
        <f>G48</f>
        <v>2057.2</v>
      </c>
      <c r="H50" s="67">
        <f aca="true" t="shared" si="9" ref="H50:H56">G50*F50</f>
        <v>9.05168</v>
      </c>
      <c r="I50" s="28"/>
      <c r="J50" s="68">
        <v>0.0044</v>
      </c>
      <c r="K50" s="59">
        <f>K48</f>
        <v>2067</v>
      </c>
      <c r="L50" s="67">
        <f aca="true" t="shared" si="10" ref="L50:L56">K50*J50</f>
        <v>9.094800000000001</v>
      </c>
      <c r="M50" s="28"/>
      <c r="N50" s="31">
        <f t="shared" si="2"/>
        <v>0.043120000000001824</v>
      </c>
      <c r="O50" s="69">
        <f t="shared" si="8"/>
        <v>0.004763756562317915</v>
      </c>
    </row>
    <row r="51" spans="2:15" ht="15">
      <c r="B51" s="65" t="s">
        <v>32</v>
      </c>
      <c r="C51" s="22"/>
      <c r="D51" s="23" t="s">
        <v>61</v>
      </c>
      <c r="E51" s="24"/>
      <c r="F51" s="66">
        <v>0.0012</v>
      </c>
      <c r="G51" s="58">
        <f>G48</f>
        <v>2057.2</v>
      </c>
      <c r="H51" s="67">
        <f t="shared" si="9"/>
        <v>2.4686399999999997</v>
      </c>
      <c r="I51" s="28"/>
      <c r="J51" s="68">
        <v>0.0012</v>
      </c>
      <c r="K51" s="59">
        <f>K48</f>
        <v>2067</v>
      </c>
      <c r="L51" s="67">
        <f t="shared" si="10"/>
        <v>2.4804</v>
      </c>
      <c r="M51" s="28"/>
      <c r="N51" s="31">
        <f t="shared" si="2"/>
        <v>0.011760000000000215</v>
      </c>
      <c r="O51" s="69">
        <f t="shared" si="8"/>
        <v>0.004763756562317801</v>
      </c>
    </row>
    <row r="52" spans="2:15" ht="15">
      <c r="B52" s="22" t="s">
        <v>33</v>
      </c>
      <c r="C52" s="22"/>
      <c r="D52" s="23" t="s">
        <v>60</v>
      </c>
      <c r="E52" s="24"/>
      <c r="F52" s="177">
        <v>0.25</v>
      </c>
      <c r="G52" s="26">
        <v>1</v>
      </c>
      <c r="H52" s="67">
        <f t="shared" si="9"/>
        <v>0.25</v>
      </c>
      <c r="I52" s="28"/>
      <c r="J52" s="178">
        <v>0.25</v>
      </c>
      <c r="K52" s="30">
        <v>1</v>
      </c>
      <c r="L52" s="67">
        <f t="shared" si="10"/>
        <v>0.25</v>
      </c>
      <c r="M52" s="28"/>
      <c r="N52" s="31">
        <f t="shared" si="2"/>
        <v>0</v>
      </c>
      <c r="O52" s="69">
        <f t="shared" si="8"/>
        <v>0</v>
      </c>
    </row>
    <row r="53" spans="2:15" ht="15">
      <c r="B53" s="22" t="s">
        <v>34</v>
      </c>
      <c r="C53" s="22"/>
      <c r="D53" s="23" t="s">
        <v>61</v>
      </c>
      <c r="E53" s="24"/>
      <c r="F53" s="66">
        <v>0.007</v>
      </c>
      <c r="G53" s="70">
        <f>F16</f>
        <v>2000</v>
      </c>
      <c r="H53" s="67">
        <f t="shared" si="9"/>
        <v>14</v>
      </c>
      <c r="I53" s="28"/>
      <c r="J53" s="68">
        <f>0.007</f>
        <v>0.007</v>
      </c>
      <c r="K53" s="71">
        <f>F16</f>
        <v>2000</v>
      </c>
      <c r="L53" s="67">
        <f t="shared" si="10"/>
        <v>14</v>
      </c>
      <c r="M53" s="28"/>
      <c r="N53" s="31">
        <f t="shared" si="2"/>
        <v>0</v>
      </c>
      <c r="O53" s="69">
        <f t="shared" si="8"/>
        <v>0</v>
      </c>
    </row>
    <row r="54" spans="2:19" ht="15">
      <c r="B54" s="49" t="s">
        <v>35</v>
      </c>
      <c r="C54" s="22"/>
      <c r="D54" s="23" t="s">
        <v>61</v>
      </c>
      <c r="E54" s="24"/>
      <c r="F54" s="72">
        <v>0.072</v>
      </c>
      <c r="G54" s="70">
        <f>0.64*$F$16</f>
        <v>1280</v>
      </c>
      <c r="H54" s="67">
        <f t="shared" si="9"/>
        <v>92.16</v>
      </c>
      <c r="I54" s="28"/>
      <c r="J54" s="66">
        <v>0.072</v>
      </c>
      <c r="K54" s="70">
        <f>G54</f>
        <v>1280</v>
      </c>
      <c r="L54" s="67">
        <f t="shared" si="10"/>
        <v>92.16</v>
      </c>
      <c r="M54" s="28"/>
      <c r="N54" s="31">
        <f t="shared" si="2"/>
        <v>0</v>
      </c>
      <c r="O54" s="69">
        <f t="shared" si="8"/>
        <v>0</v>
      </c>
      <c r="S54" s="73"/>
    </row>
    <row r="55" spans="2:19" ht="15">
      <c r="B55" s="49" t="s">
        <v>36</v>
      </c>
      <c r="C55" s="22"/>
      <c r="D55" s="23" t="s">
        <v>61</v>
      </c>
      <c r="E55" s="24"/>
      <c r="F55" s="72">
        <v>0.109</v>
      </c>
      <c r="G55" s="70">
        <f>0.18*$F$16</f>
        <v>360</v>
      </c>
      <c r="H55" s="67">
        <f t="shared" si="9"/>
        <v>39.24</v>
      </c>
      <c r="I55" s="28"/>
      <c r="J55" s="66">
        <v>0.109</v>
      </c>
      <c r="K55" s="70">
        <f>G55</f>
        <v>360</v>
      </c>
      <c r="L55" s="67">
        <f t="shared" si="10"/>
        <v>39.24</v>
      </c>
      <c r="M55" s="28"/>
      <c r="N55" s="31">
        <f t="shared" si="2"/>
        <v>0</v>
      </c>
      <c r="O55" s="69">
        <f t="shared" si="8"/>
        <v>0</v>
      </c>
      <c r="S55" s="73"/>
    </row>
    <row r="56" spans="2:19" ht="15">
      <c r="B56" s="12" t="s">
        <v>37</v>
      </c>
      <c r="C56" s="22"/>
      <c r="D56" s="23" t="s">
        <v>61</v>
      </c>
      <c r="E56" s="24"/>
      <c r="F56" s="72">
        <v>0.129</v>
      </c>
      <c r="G56" s="70">
        <f>0.18*$F$16</f>
        <v>360</v>
      </c>
      <c r="H56" s="67">
        <f t="shared" si="9"/>
        <v>46.44</v>
      </c>
      <c r="I56" s="28"/>
      <c r="J56" s="66">
        <v>0.129</v>
      </c>
      <c r="K56" s="70">
        <f>G56</f>
        <v>360</v>
      </c>
      <c r="L56" s="67">
        <f t="shared" si="10"/>
        <v>46.44</v>
      </c>
      <c r="M56" s="28"/>
      <c r="N56" s="31">
        <f t="shared" si="2"/>
        <v>0</v>
      </c>
      <c r="O56" s="69">
        <f t="shared" si="8"/>
        <v>0</v>
      </c>
      <c r="S56" s="73"/>
    </row>
    <row r="57" spans="2:15" s="74" customFormat="1" ht="15">
      <c r="B57" s="75" t="s">
        <v>38</v>
      </c>
      <c r="C57" s="76"/>
      <c r="D57" s="77" t="s">
        <v>61</v>
      </c>
      <c r="E57" s="78"/>
      <c r="F57" s="72">
        <v>0.083</v>
      </c>
      <c r="G57" s="79">
        <f>IF(AND($T$1=1,F16&gt;=600),600,IF(AND($T$1=1,AND(F16&lt;600,F16&gt;=0)),F16,IF(AND($T$1=2,F16&gt;=1000),1000,IF(AND($T$1=2,AND(F16&lt;1000,F16&gt;=0)),F16))))</f>
        <v>600</v>
      </c>
      <c r="H57" s="67">
        <f>G57*F57</f>
        <v>49.800000000000004</v>
      </c>
      <c r="I57" s="80"/>
      <c r="J57" s="66">
        <v>0.083</v>
      </c>
      <c r="K57" s="79">
        <f>G57</f>
        <v>600</v>
      </c>
      <c r="L57" s="67">
        <f>K57*J57</f>
        <v>49.800000000000004</v>
      </c>
      <c r="M57" s="80"/>
      <c r="N57" s="81">
        <f t="shared" si="2"/>
        <v>0</v>
      </c>
      <c r="O57" s="69">
        <f t="shared" si="8"/>
        <v>0</v>
      </c>
    </row>
    <row r="58" spans="2:15" s="74" customFormat="1" ht="15.75" thickBot="1">
      <c r="B58" s="75" t="s">
        <v>39</v>
      </c>
      <c r="C58" s="76"/>
      <c r="D58" s="77" t="s">
        <v>61</v>
      </c>
      <c r="E58" s="78"/>
      <c r="F58" s="72">
        <v>0.097</v>
      </c>
      <c r="G58" s="79">
        <f>IF(AND($T$1=1,F16&gt;=600),F16-600,IF(AND($T$1=1,AND(F16&lt;600,F16&gt;=0)),0,IF(AND($T$1=2,F16&gt;=1000),F16-1000,IF(AND($T$1=2,AND(F16&lt;1000,F16&gt;=0)),0))))</f>
        <v>1400</v>
      </c>
      <c r="H58" s="67">
        <f>G58*F58</f>
        <v>135.8</v>
      </c>
      <c r="I58" s="80"/>
      <c r="J58" s="66">
        <v>0.097</v>
      </c>
      <c r="K58" s="79">
        <f>G58</f>
        <v>1400</v>
      </c>
      <c r="L58" s="67">
        <f>K58*J58</f>
        <v>135.8</v>
      </c>
      <c r="M58" s="80"/>
      <c r="N58" s="81">
        <f t="shared" si="2"/>
        <v>0</v>
      </c>
      <c r="O58" s="69">
        <f t="shared" si="8"/>
        <v>0</v>
      </c>
    </row>
    <row r="59" spans="2:15" ht="8.25" customHeight="1" thickBot="1">
      <c r="B59" s="82"/>
      <c r="C59" s="83"/>
      <c r="D59" s="84"/>
      <c r="E59" s="83"/>
      <c r="F59" s="85"/>
      <c r="G59" s="86"/>
      <c r="H59" s="87"/>
      <c r="I59" s="88"/>
      <c r="J59" s="85"/>
      <c r="K59" s="89"/>
      <c r="L59" s="87"/>
      <c r="M59" s="88"/>
      <c r="N59" s="90"/>
      <c r="O59" s="91"/>
    </row>
    <row r="60" spans="2:19" ht="15">
      <c r="B60" s="92" t="s">
        <v>40</v>
      </c>
      <c r="C60" s="22"/>
      <c r="D60" s="22"/>
      <c r="E60" s="22"/>
      <c r="F60" s="93"/>
      <c r="G60" s="94"/>
      <c r="H60" s="95">
        <f>SUM(H50:H56,H49)</f>
        <v>278.45710399999996</v>
      </c>
      <c r="I60" s="96"/>
      <c r="J60" s="97"/>
      <c r="K60" s="97"/>
      <c r="L60" s="191">
        <f>SUM(L50:L56,L49)</f>
        <v>280.08640374044325</v>
      </c>
      <c r="M60" s="98"/>
      <c r="N60" s="99">
        <f>L60-H60</f>
        <v>1.6292997404432867</v>
      </c>
      <c r="O60" s="100">
        <f>IF((H60)=0,"",(N60/H60))</f>
        <v>0.005851169595024183</v>
      </c>
      <c r="S60" s="73"/>
    </row>
    <row r="61" spans="2:19" ht="15">
      <c r="B61" s="101" t="s">
        <v>41</v>
      </c>
      <c r="C61" s="22"/>
      <c r="D61" s="22"/>
      <c r="E61" s="22"/>
      <c r="F61" s="102">
        <v>0.13</v>
      </c>
      <c r="G61" s="103"/>
      <c r="H61" s="104">
        <f>H60*F61</f>
        <v>36.199423519999996</v>
      </c>
      <c r="I61" s="105"/>
      <c r="J61" s="106">
        <v>0.13</v>
      </c>
      <c r="K61" s="105"/>
      <c r="L61" s="107">
        <f>L60*J61</f>
        <v>36.411232486257624</v>
      </c>
      <c r="M61" s="108"/>
      <c r="N61" s="109">
        <f t="shared" si="2"/>
        <v>0.21180896625762813</v>
      </c>
      <c r="O61" s="110">
        <f t="shared" si="8"/>
        <v>0.005851169595024207</v>
      </c>
      <c r="S61" s="73"/>
    </row>
    <row r="62" spans="2:19" ht="15">
      <c r="B62" s="111" t="s">
        <v>42</v>
      </c>
      <c r="C62" s="22"/>
      <c r="D62" s="22"/>
      <c r="E62" s="22"/>
      <c r="F62" s="112"/>
      <c r="G62" s="103"/>
      <c r="H62" s="104">
        <f>H60+H61</f>
        <v>314.65652751999994</v>
      </c>
      <c r="I62" s="105"/>
      <c r="J62" s="105"/>
      <c r="K62" s="105"/>
      <c r="L62" s="107">
        <f>L60+L61</f>
        <v>316.4976362267009</v>
      </c>
      <c r="M62" s="108"/>
      <c r="N62" s="109">
        <f t="shared" si="2"/>
        <v>1.8411087067009362</v>
      </c>
      <c r="O62" s="110">
        <f t="shared" si="8"/>
        <v>0.0058511695950242545</v>
      </c>
      <c r="S62" s="73"/>
    </row>
    <row r="63" spans="2:15" ht="15.75" customHeight="1">
      <c r="B63" s="251" t="s">
        <v>43</v>
      </c>
      <c r="C63" s="251"/>
      <c r="D63" s="251"/>
      <c r="E63" s="22"/>
      <c r="F63" s="112"/>
      <c r="G63" s="103"/>
      <c r="H63" s="113">
        <f>ROUND(-H62*10%,2)</f>
        <v>-31.47</v>
      </c>
      <c r="I63" s="105"/>
      <c r="J63" s="105"/>
      <c r="K63" s="105"/>
      <c r="L63" s="114">
        <f>ROUND(-L62*10%,2)</f>
        <v>-31.65</v>
      </c>
      <c r="M63" s="108"/>
      <c r="N63" s="115">
        <f t="shared" si="2"/>
        <v>-0.17999999999999972</v>
      </c>
      <c r="O63" s="116">
        <f t="shared" si="8"/>
        <v>0.005719733079122965</v>
      </c>
    </row>
    <row r="64" spans="2:15" ht="15.75" thickBot="1">
      <c r="B64" s="233" t="s">
        <v>44</v>
      </c>
      <c r="C64" s="233"/>
      <c r="D64" s="233"/>
      <c r="E64" s="117"/>
      <c r="F64" s="118"/>
      <c r="G64" s="119"/>
      <c r="H64" s="120">
        <f>H62+H63</f>
        <v>283.1865275199999</v>
      </c>
      <c r="I64" s="121"/>
      <c r="J64" s="121"/>
      <c r="K64" s="121"/>
      <c r="L64" s="122">
        <f>L62+L63</f>
        <v>284.8476362267009</v>
      </c>
      <c r="M64" s="123"/>
      <c r="N64" s="124">
        <f t="shared" si="2"/>
        <v>1.6611087067009862</v>
      </c>
      <c r="O64" s="125">
        <f t="shared" si="8"/>
        <v>0.005865775894242254</v>
      </c>
    </row>
    <row r="65" spans="2:15" s="74" customFormat="1" ht="8.25" customHeight="1" thickBot="1">
      <c r="B65" s="126"/>
      <c r="C65" s="127"/>
      <c r="D65" s="128"/>
      <c r="E65" s="127"/>
      <c r="F65" s="85"/>
      <c r="G65" s="129"/>
      <c r="H65" s="87"/>
      <c r="I65" s="130"/>
      <c r="J65" s="85"/>
      <c r="K65" s="131"/>
      <c r="L65" s="87"/>
      <c r="M65" s="130"/>
      <c r="N65" s="132"/>
      <c r="O65" s="91"/>
    </row>
    <row r="66" spans="2:15" s="74" customFormat="1" ht="12.75">
      <c r="B66" s="133" t="s">
        <v>45</v>
      </c>
      <c r="C66" s="76"/>
      <c r="D66" s="76"/>
      <c r="E66" s="76"/>
      <c r="F66" s="134"/>
      <c r="G66" s="135"/>
      <c r="H66" s="136">
        <f>SUM(H57:H58,H49,H50:H53)</f>
        <v>286.21710399999995</v>
      </c>
      <c r="I66" s="137"/>
      <c r="J66" s="138"/>
      <c r="K66" s="138"/>
      <c r="L66" s="190">
        <f>SUM(L57:L58,L49,L50:L53)</f>
        <v>287.84640374044324</v>
      </c>
      <c r="M66" s="139"/>
      <c r="N66" s="140">
        <f>L66-H66</f>
        <v>1.6292997404432867</v>
      </c>
      <c r="O66" s="100">
        <f>IF((H66)=0,"",(N66/H66))</f>
        <v>0.005692531011156087</v>
      </c>
    </row>
    <row r="67" spans="2:15" s="74" customFormat="1" ht="12.75">
      <c r="B67" s="141" t="s">
        <v>41</v>
      </c>
      <c r="C67" s="76"/>
      <c r="D67" s="76"/>
      <c r="E67" s="76"/>
      <c r="F67" s="142">
        <v>0.13</v>
      </c>
      <c r="G67" s="135"/>
      <c r="H67" s="143">
        <f>H66*F67</f>
        <v>37.20822352</v>
      </c>
      <c r="I67" s="144"/>
      <c r="J67" s="145">
        <v>0.13</v>
      </c>
      <c r="K67" s="146"/>
      <c r="L67" s="147">
        <f>L66*J67</f>
        <v>37.420032486257625</v>
      </c>
      <c r="M67" s="148"/>
      <c r="N67" s="149">
        <f>L67-H67</f>
        <v>0.21180896625762813</v>
      </c>
      <c r="O67" s="110">
        <f>IF((H67)=0,"",(N67/H67))</f>
        <v>0.00569253101115611</v>
      </c>
    </row>
    <row r="68" spans="2:15" s="74" customFormat="1" ht="12.75">
      <c r="B68" s="150" t="s">
        <v>42</v>
      </c>
      <c r="C68" s="76"/>
      <c r="D68" s="76"/>
      <c r="E68" s="76"/>
      <c r="F68" s="151"/>
      <c r="G68" s="152"/>
      <c r="H68" s="143">
        <f>H66+H67</f>
        <v>323.42532751999994</v>
      </c>
      <c r="I68" s="144"/>
      <c r="J68" s="144"/>
      <c r="K68" s="144"/>
      <c r="L68" s="147">
        <f>L66+L67</f>
        <v>325.2664362267009</v>
      </c>
      <c r="M68" s="148"/>
      <c r="N68" s="149">
        <f>L68-H68</f>
        <v>1.8411087067009362</v>
      </c>
      <c r="O68" s="110">
        <f>IF((H68)=0,"",(N68/H68))</f>
        <v>0.005692531011156156</v>
      </c>
    </row>
    <row r="69" spans="2:15" s="74" customFormat="1" ht="15.75" customHeight="1">
      <c r="B69" s="239" t="s">
        <v>43</v>
      </c>
      <c r="C69" s="239"/>
      <c r="D69" s="239"/>
      <c r="E69" s="76"/>
      <c r="F69" s="151"/>
      <c r="G69" s="152"/>
      <c r="H69" s="153">
        <f>ROUND(-H68*10%,2)</f>
        <v>-32.34</v>
      </c>
      <c r="I69" s="144"/>
      <c r="J69" s="144"/>
      <c r="K69" s="144"/>
      <c r="L69" s="154">
        <f>ROUND(-L68*10%,2)</f>
        <v>-32.53</v>
      </c>
      <c r="M69" s="148"/>
      <c r="N69" s="155">
        <f>L69-H69</f>
        <v>-0.18999999999999773</v>
      </c>
      <c r="O69" s="116">
        <f>IF((H69)=0,"",(N69/H69))</f>
        <v>0.005875077303648661</v>
      </c>
    </row>
    <row r="70" spans="2:15" s="74" customFormat="1" ht="13.5" thickBot="1">
      <c r="B70" s="244" t="s">
        <v>46</v>
      </c>
      <c r="C70" s="244"/>
      <c r="D70" s="244"/>
      <c r="E70" s="156"/>
      <c r="F70" s="157"/>
      <c r="G70" s="158"/>
      <c r="H70" s="159">
        <f>SUM(H68:H69)</f>
        <v>291.08532751999996</v>
      </c>
      <c r="I70" s="160"/>
      <c r="J70" s="160"/>
      <c r="K70" s="160"/>
      <c r="L70" s="161">
        <f>SUM(L68:L69)</f>
        <v>292.7364362267009</v>
      </c>
      <c r="M70" s="162"/>
      <c r="N70" s="163">
        <f>L70-H70</f>
        <v>1.6511087067009385</v>
      </c>
      <c r="O70" s="164">
        <f>IF((H70)=0,"",(N70/H70))</f>
        <v>0.005672249854598026</v>
      </c>
    </row>
    <row r="71" spans="2:15" s="74" customFormat="1" ht="8.25" customHeight="1" thickBot="1">
      <c r="B71" s="126"/>
      <c r="C71" s="127"/>
      <c r="D71" s="128"/>
      <c r="E71" s="127"/>
      <c r="F71" s="165"/>
      <c r="G71" s="166"/>
      <c r="H71" s="167"/>
      <c r="I71" s="168"/>
      <c r="J71" s="165"/>
      <c r="K71" s="129"/>
      <c r="L71" s="169"/>
      <c r="M71" s="130"/>
      <c r="N71" s="170"/>
      <c r="O71" s="91"/>
    </row>
    <row r="72" ht="10.5" customHeight="1">
      <c r="L72" s="73"/>
    </row>
    <row r="73" spans="2:10" ht="15">
      <c r="B73" s="13" t="s">
        <v>47</v>
      </c>
      <c r="F73" s="171">
        <v>0.0286</v>
      </c>
      <c r="J73" s="171">
        <v>0.0335</v>
      </c>
    </row>
    <row r="74" ht="10.5" customHeight="1"/>
    <row r="75" ht="15">
      <c r="A75" s="172" t="s">
        <v>48</v>
      </c>
    </row>
    <row r="76" ht="10.5" customHeight="1"/>
    <row r="77" ht="15">
      <c r="A77" s="7" t="s">
        <v>49</v>
      </c>
    </row>
    <row r="78" ht="15">
      <c r="A78" s="7" t="s">
        <v>50</v>
      </c>
    </row>
    <row r="80" ht="15">
      <c r="A80" s="12" t="s">
        <v>51</v>
      </c>
    </row>
    <row r="81" ht="15">
      <c r="A81" s="12" t="s">
        <v>52</v>
      </c>
    </row>
    <row r="83" ht="15">
      <c r="A83" s="7" t="s">
        <v>53</v>
      </c>
    </row>
    <row r="84" ht="15">
      <c r="A84" s="7" t="s">
        <v>54</v>
      </c>
    </row>
    <row r="85" ht="15">
      <c r="A85" s="7" t="s">
        <v>55</v>
      </c>
    </row>
    <row r="86" ht="15">
      <c r="A86" s="7" t="s">
        <v>56</v>
      </c>
    </row>
    <row r="87" ht="15">
      <c r="A87" s="7" t="s">
        <v>57</v>
      </c>
    </row>
    <row r="89" spans="1:2" ht="15">
      <c r="A89" s="173"/>
      <c r="B89" s="7" t="s">
        <v>58</v>
      </c>
    </row>
  </sheetData>
  <sheetProtection/>
  <mergeCells count="18">
    <mergeCell ref="D12:O12"/>
    <mergeCell ref="F18:H18"/>
    <mergeCell ref="J18:L18"/>
    <mergeCell ref="N18:O18"/>
    <mergeCell ref="B70:D70"/>
    <mergeCell ref="D19:D20"/>
    <mergeCell ref="N19:N20"/>
    <mergeCell ref="O19:O20"/>
    <mergeCell ref="B63:D63"/>
    <mergeCell ref="B64:D64"/>
    <mergeCell ref="B69:D69"/>
    <mergeCell ref="N1:O1"/>
    <mergeCell ref="N2:O2"/>
    <mergeCell ref="N4:O4"/>
    <mergeCell ref="N5:O5"/>
    <mergeCell ref="B8:O8"/>
    <mergeCell ref="B9:O9"/>
    <mergeCell ref="N3:O3"/>
  </mergeCells>
  <dataValidations count="4">
    <dataValidation type="list" allowBlank="1" showInputMessage="1" showErrorMessage="1" sqref="D14">
      <formula1>"TOU, non-TOU"</formula1>
    </dataValidation>
    <dataValidation type="list" allowBlank="1" showInputMessage="1" showErrorMessage="1" sqref="E71 E65 E57:E58">
      <formula1>'GS&lt;50 (2,000kWh)'!#REF!</formula1>
    </dataValidation>
    <dataValidation type="list" allowBlank="1" showInputMessage="1" showErrorMessage="1" prompt="Select Charge Unit - monthly, per kWh, per kW" sqref="D47:D48 D65 D71 D50:D59 D38:D45 D21:D36">
      <formula1>"Monthly, per kWh, per kW"</formula1>
    </dataValidation>
    <dataValidation type="list" allowBlank="1" showInputMessage="1" showErrorMessage="1" sqref="E47:E48 E50:E56 E59 E38:E45 E21:E36">
      <formula1>'GS&lt;50 (2,000kWh)'!#REF!</formula1>
    </dataValidation>
  </dataValidations>
  <printOptions/>
  <pageMargins left="0.7" right="0.7" top="0.75" bottom="0.75" header="0.3" footer="0.3"/>
  <pageSetup fitToHeight="0" fitToWidth="1" horizontalDpi="600" verticalDpi="600" orientation="portrait" scale="5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Cambridge and North Dumfries Hydro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Colleen Calhoun</dc:creator>
  <cp:keywords/>
  <dc:description/>
  <cp:lastModifiedBy>Grant Brooker</cp:lastModifiedBy>
  <cp:lastPrinted>2013-09-19T15:56:51Z</cp:lastPrinted>
  <dcterms:created xsi:type="dcterms:W3CDTF">2013-08-28T15:11:04Z</dcterms:created>
  <dcterms:modified xsi:type="dcterms:W3CDTF">2014-02-25T12:59:54Z</dcterms:modified>
  <cp:category/>
  <cp:version/>
  <cp:contentType/>
  <cp:contentStatus/>
</cp:coreProperties>
</file>