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3835" windowHeight="15135"/>
  </bookViews>
  <sheets>
    <sheet name="App.2-AA_Capital Projects" sheetId="2" r:id="rId1"/>
    <sheet name="App.2-AB_Capital Expenditures" sheetId="3" r:id="rId2"/>
    <sheet name="App.2_BA1_Fix.Asset Cont.CGAAP" sheetId="4" r:id="rId3"/>
    <sheet name="App.2-CT_NewCGAAP_DepExp_2013" sheetId="5" r:id="rId4"/>
    <sheet name="App.2-CU_NewCGAAP_DepExp_2014" sheetId="6" r:id="rId5"/>
    <sheet name="App.2-EE_Account(1576) (2013)" sheetId="1" r:id="rId6"/>
    <sheet name="App.2-I_LF_CDM_WF" sheetId="7" r:id="rId7"/>
    <sheet name="App.2-M_Regulatory Costs" sheetId="8" r:id="rId8"/>
    <sheet name="App.2-P_Cost Allocation" sheetId="9" r:id="rId9"/>
    <sheet name="App.2-R_Loss Factors" sheetId="10" r:id="rId10"/>
    <sheet name="App.2-W_Bill Impacts" sheetId="11" r:id="rId11"/>
    <sheet name="App.2-YB_CGAAP Summary Impacts" sheetId="13" r:id="rId12"/>
    <sheet name="App.2-Z_Tariff" sheetId="12"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INDEX_SHEET___ASAP_Utilities">#REF!</definedName>
    <definedName name="_xlnm._FilterDatabase" hidden="1">#REF!</definedName>
    <definedName name="_Order1" hidden="1">255</definedName>
    <definedName name="_Sort" hidden="1">[1]Sheet1!$G$40:$K$40</definedName>
    <definedName name="ApprovedAlready">#REF!</definedName>
    <definedName name="CAfile">[2]Refs!$B$2</definedName>
    <definedName name="CArevReq">[2]Refs!$B$6</definedName>
    <definedName name="ClassRange1">[2]Refs!$B$3</definedName>
    <definedName name="ClassRange2">[2]Refs!$B$4</definedName>
    <definedName name="contactf">#REF!</definedName>
    <definedName name="CurrentAvail">'[3]2012LostRev'!$O$86</definedName>
    <definedName name="CurrentSheetRef">'[3]2012LostRev'!$P$86</definedName>
    <definedName name="Daily60MinutePeak">#REF!</definedName>
    <definedName name="daslfja">#REF!</definedName>
    <definedName name="DistRates">[4]Rates!$A$4:$G$13</definedName>
    <definedName name="DistRatesTable">[4]Rates!$B$4:$G$11</definedName>
    <definedName name="EBNUMBER" localSheetId="2">'[5]LDC Info'!$E$16</definedName>
    <definedName name="EBNUMBER">'[6]LDC Info'!$E$16</definedName>
    <definedName name="EP">#REF!</definedName>
    <definedName name="FolderPath">[2]Menu!$C$8</definedName>
    <definedName name="FormulasToCopy">#REF!</definedName>
    <definedName name="histdate">[7]Financials!$E$76</definedName>
    <definedName name="Incr2000">#REF!</definedName>
    <definedName name="ldasjkfl">#REF!</definedName>
    <definedName name="LIC">#REF!</definedName>
    <definedName name="LIMIT">#REF!</definedName>
    <definedName name="lookup231">'[8]231'!$B$13:$Q$93</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ew" hidden="1">#REF!</definedName>
    <definedName name="NewRevReq">[2]Refs!$B$8</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GE11">#REF!</definedName>
    <definedName name="PAGE2">[1]Sheet1!$A$1:$I$40</definedName>
    <definedName name="PAGE3">#REF!</definedName>
    <definedName name="PAGE4">#REF!</definedName>
    <definedName name="PAGE7">#REF!</definedName>
    <definedName name="PAGE9">#REF!</definedName>
    <definedName name="PPE">#REF!</definedName>
    <definedName name="print_end">#REF!</definedName>
    <definedName name="Quarter">[8]Summary!$B$9</definedName>
    <definedName name="RateNames">[4]Rates!$A$4:$C$13</definedName>
    <definedName name="RebaseYear" localSheetId="2">'[9]LDC Info'!$E$28</definedName>
    <definedName name="RebaseYear">'[6]LDC Info'!$E$28</definedName>
    <definedName name="resultsyear">'[3]2011 OPA final results'!$B$4</definedName>
    <definedName name="RevReqLookupKey">[2]Refs!$B$5</definedName>
    <definedName name="RevReqRange">[2]Refs!$B$7</definedName>
    <definedName name="SALBENF">#REF!</definedName>
    <definedName name="salreg">#REF!</definedName>
    <definedName name="SALREGF">#REF!</definedName>
    <definedName name="sdflsdjlfkj">#REF!</definedName>
    <definedName name="Season1">'[8]231'!$C$4</definedName>
    <definedName name="Season2">'[8]231'!$C$5</definedName>
    <definedName name="Season3">'[8]231'!$C$6</definedName>
    <definedName name="sherry" hidden="1">#REF!</definedName>
    <definedName name="SYear">[8]Summary!$B$8</definedName>
    <definedName name="TableA3">#REF!</definedName>
    <definedName name="TEMPA">#REF!</definedName>
    <definedName name="test" hidden="1">#REF!</definedName>
    <definedName name="TestYear">'[6]LDC Info'!$E$24</definedName>
    <definedName name="TestYrPL">'[10]Revenue Requirement'!$B$10</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tility">[7]Financials!$A$1</definedName>
    <definedName name="utitliy1">[11]Financials!$A$1</definedName>
    <definedName name="WAGBENF">#REF!</definedName>
    <definedName name="wagdob">#REF!</definedName>
    <definedName name="wagdobf">#REF!</definedName>
    <definedName name="wagreg">#REF!</definedName>
    <definedName name="wagregf">#REF!</definedName>
  </definedNames>
  <calcPr calcId="145621" iterate="1"/>
</workbook>
</file>

<file path=xl/calcChain.xml><?xml version="1.0" encoding="utf-8"?>
<calcChain xmlns="http://schemas.openxmlformats.org/spreadsheetml/2006/main">
  <c r="E34" i="13" l="1"/>
  <c r="D34" i="13"/>
  <c r="F33" i="13"/>
  <c r="F32" i="13"/>
  <c r="F31" i="13"/>
  <c r="F30" i="13"/>
  <c r="F29" i="13"/>
  <c r="F28" i="13"/>
  <c r="F27" i="13"/>
  <c r="F26" i="13"/>
  <c r="F34" i="13" s="1"/>
  <c r="F23" i="13"/>
  <c r="E22" i="13"/>
  <c r="E24" i="13" s="1"/>
  <c r="D22" i="13"/>
  <c r="D24" i="13" s="1"/>
  <c r="F21" i="13"/>
  <c r="F20" i="13"/>
  <c r="F22" i="13" s="1"/>
  <c r="F24" i="13" s="1"/>
  <c r="E15" i="13"/>
  <c r="D15" i="13"/>
  <c r="I1" i="13"/>
  <c r="A43" i="12" l="1"/>
  <c r="A39" i="12"/>
  <c r="A37" i="12"/>
  <c r="C1" i="12"/>
  <c r="O627" i="11"/>
  <c r="N627" i="11"/>
  <c r="K622" i="11"/>
  <c r="G622" i="11"/>
  <c r="F611" i="11" s="1"/>
  <c r="G621" i="11"/>
  <c r="K620" i="11"/>
  <c r="L620" i="11" s="1"/>
  <c r="G620" i="11"/>
  <c r="H620" i="11" s="1"/>
  <c r="N619" i="11"/>
  <c r="L619" i="11"/>
  <c r="H619" i="11"/>
  <c r="K618" i="11"/>
  <c r="L618" i="11" s="1"/>
  <c r="G618" i="11"/>
  <c r="H618" i="11" s="1"/>
  <c r="K617" i="11"/>
  <c r="L617" i="11" s="1"/>
  <c r="G617" i="11"/>
  <c r="H617" i="11" s="1"/>
  <c r="K615" i="11"/>
  <c r="L615" i="11" s="1"/>
  <c r="N615" i="11" s="1"/>
  <c r="G615" i="11"/>
  <c r="H615" i="11" s="1"/>
  <c r="K614" i="11"/>
  <c r="L614" i="11" s="1"/>
  <c r="N614" i="11" s="1"/>
  <c r="O614" i="11" s="1"/>
  <c r="G614" i="11"/>
  <c r="H614" i="11" s="1"/>
  <c r="L612" i="11"/>
  <c r="N612" i="11" s="1"/>
  <c r="H612" i="11"/>
  <c r="K611" i="11"/>
  <c r="G611" i="11"/>
  <c r="H611" i="11" s="1"/>
  <c r="K610" i="11"/>
  <c r="L610" i="11" s="1"/>
  <c r="N610" i="11" s="1"/>
  <c r="H610" i="11"/>
  <c r="O610" i="11" s="1"/>
  <c r="G610" i="11"/>
  <c r="L609" i="11"/>
  <c r="K609" i="11"/>
  <c r="G609" i="11"/>
  <c r="H609" i="11" s="1"/>
  <c r="O609" i="11" s="1"/>
  <c r="O608" i="11"/>
  <c r="K608" i="11"/>
  <c r="L608" i="11" s="1"/>
  <c r="N608" i="11" s="1"/>
  <c r="H608" i="11"/>
  <c r="G608" i="11"/>
  <c r="O607" i="11"/>
  <c r="N607" i="11"/>
  <c r="L607" i="11"/>
  <c r="K607" i="11"/>
  <c r="G607" i="11"/>
  <c r="H607" i="11" s="1"/>
  <c r="L606" i="11"/>
  <c r="N606" i="11" s="1"/>
  <c r="K606" i="11"/>
  <c r="J606" i="11"/>
  <c r="G606" i="11"/>
  <c r="H606" i="11" s="1"/>
  <c r="F606" i="11"/>
  <c r="O604" i="11"/>
  <c r="K604" i="11"/>
  <c r="L604" i="11" s="1"/>
  <c r="N604" i="11" s="1"/>
  <c r="H604" i="11"/>
  <c r="G604" i="11"/>
  <c r="O603" i="11"/>
  <c r="N603" i="11"/>
  <c r="L603" i="11"/>
  <c r="K603" i="11"/>
  <c r="G603" i="11"/>
  <c r="H603" i="11" s="1"/>
  <c r="L602" i="11"/>
  <c r="K602" i="11"/>
  <c r="H602" i="11"/>
  <c r="O602" i="11" s="1"/>
  <c r="G602" i="11"/>
  <c r="L601" i="11"/>
  <c r="K601" i="11"/>
  <c r="G601" i="11"/>
  <c r="H601" i="11" s="1"/>
  <c r="O601" i="11" s="1"/>
  <c r="O600" i="11"/>
  <c r="K600" i="11"/>
  <c r="L600" i="11" s="1"/>
  <c r="N600" i="11" s="1"/>
  <c r="H600" i="11"/>
  <c r="G600" i="11"/>
  <c r="O599" i="11"/>
  <c r="L599" i="11"/>
  <c r="K599" i="11"/>
  <c r="G599" i="11"/>
  <c r="H599" i="11" s="1"/>
  <c r="K598" i="11"/>
  <c r="L598" i="11" s="1"/>
  <c r="N598" i="11" s="1"/>
  <c r="H598" i="11"/>
  <c r="O598" i="11" s="1"/>
  <c r="G598" i="11"/>
  <c r="L597" i="11"/>
  <c r="K597" i="11"/>
  <c r="G597" i="11"/>
  <c r="H597" i="11" s="1"/>
  <c r="O597" i="11" s="1"/>
  <c r="O596" i="11"/>
  <c r="K596" i="11"/>
  <c r="L596" i="11" s="1"/>
  <c r="N596" i="11" s="1"/>
  <c r="H596" i="11"/>
  <c r="G596" i="11"/>
  <c r="L595" i="11"/>
  <c r="N595" i="11" s="1"/>
  <c r="K595" i="11"/>
  <c r="G595" i="11"/>
  <c r="H595" i="11" s="1"/>
  <c r="L594" i="11"/>
  <c r="H594" i="11"/>
  <c r="O594" i="11" s="1"/>
  <c r="O593" i="11"/>
  <c r="L593" i="11"/>
  <c r="N593" i="11" s="1"/>
  <c r="H593" i="11"/>
  <c r="L592" i="11"/>
  <c r="H592" i="11"/>
  <c r="O591" i="11"/>
  <c r="L591" i="11"/>
  <c r="N591" i="11" s="1"/>
  <c r="H591" i="11"/>
  <c r="L590" i="11"/>
  <c r="H590" i="11"/>
  <c r="O590" i="11" s="1"/>
  <c r="L589" i="11"/>
  <c r="N589" i="11" s="1"/>
  <c r="O589" i="11" s="1"/>
  <c r="H589" i="11"/>
  <c r="O572" i="11"/>
  <c r="N572" i="11"/>
  <c r="G567" i="11"/>
  <c r="K567" i="11" s="1"/>
  <c r="L566" i="11"/>
  <c r="N566" i="11" s="1"/>
  <c r="K566" i="11"/>
  <c r="H566" i="11"/>
  <c r="G566" i="11"/>
  <c r="L565" i="11"/>
  <c r="K565" i="11"/>
  <c r="H565" i="11"/>
  <c r="G565" i="11"/>
  <c r="L564" i="11"/>
  <c r="H564" i="11"/>
  <c r="N564" i="11" s="1"/>
  <c r="L563" i="11"/>
  <c r="N563" i="11" s="1"/>
  <c r="K563" i="11"/>
  <c r="H563" i="11"/>
  <c r="L562" i="11"/>
  <c r="K562" i="11"/>
  <c r="G562" i="11"/>
  <c r="G563" i="11" s="1"/>
  <c r="L560" i="11"/>
  <c r="N560" i="11" s="1"/>
  <c r="K560" i="11"/>
  <c r="H560" i="11"/>
  <c r="L559" i="11"/>
  <c r="K559" i="11"/>
  <c r="H559" i="11"/>
  <c r="G559" i="11"/>
  <c r="G560" i="11" s="1"/>
  <c r="L557" i="11"/>
  <c r="H557" i="11"/>
  <c r="N557" i="11" s="1"/>
  <c r="K556" i="11"/>
  <c r="G556" i="11"/>
  <c r="F556" i="11"/>
  <c r="H556" i="11" s="1"/>
  <c r="L555" i="11"/>
  <c r="N555" i="11" s="1"/>
  <c r="K555" i="11"/>
  <c r="H555" i="11"/>
  <c r="G555" i="11"/>
  <c r="N554" i="11"/>
  <c r="L554" i="11"/>
  <c r="K554" i="11"/>
  <c r="H554" i="11"/>
  <c r="O554" i="11" s="1"/>
  <c r="G554" i="11"/>
  <c r="K553" i="11"/>
  <c r="L553" i="11" s="1"/>
  <c r="G553" i="11"/>
  <c r="H553" i="11" s="1"/>
  <c r="O553" i="11" s="1"/>
  <c r="O552" i="11"/>
  <c r="L552" i="11"/>
  <c r="K552" i="11"/>
  <c r="G552" i="11"/>
  <c r="H552" i="11" s="1"/>
  <c r="K551" i="11"/>
  <c r="J551" i="11"/>
  <c r="L551" i="11" s="1"/>
  <c r="N551" i="11" s="1"/>
  <c r="O551" i="11" s="1"/>
  <c r="G551" i="11"/>
  <c r="F551" i="11"/>
  <c r="H551" i="11" s="1"/>
  <c r="O549" i="11"/>
  <c r="K549" i="11"/>
  <c r="L549" i="11" s="1"/>
  <c r="H549" i="11"/>
  <c r="G549" i="11"/>
  <c r="L548" i="11"/>
  <c r="K548" i="11"/>
  <c r="G548" i="11"/>
  <c r="H548" i="11" s="1"/>
  <c r="O548" i="11" s="1"/>
  <c r="O547" i="11"/>
  <c r="N547" i="11"/>
  <c r="L547" i="11"/>
  <c r="K547" i="11"/>
  <c r="H547" i="11"/>
  <c r="G547" i="11"/>
  <c r="K546" i="11"/>
  <c r="L546" i="11" s="1"/>
  <c r="H546" i="11"/>
  <c r="O546" i="11" s="1"/>
  <c r="G546" i="11"/>
  <c r="K545" i="11"/>
  <c r="L545" i="11" s="1"/>
  <c r="G545" i="11"/>
  <c r="H545" i="11" s="1"/>
  <c r="O545" i="11" s="1"/>
  <c r="L544" i="11"/>
  <c r="K544" i="11"/>
  <c r="G544" i="11"/>
  <c r="H544" i="11" s="1"/>
  <c r="L543" i="11"/>
  <c r="K543" i="11"/>
  <c r="H543" i="11"/>
  <c r="G543" i="11"/>
  <c r="N542" i="11"/>
  <c r="L542" i="11"/>
  <c r="K542" i="11"/>
  <c r="H542" i="11"/>
  <c r="O542" i="11" s="1"/>
  <c r="G542" i="11"/>
  <c r="K541" i="11"/>
  <c r="L541" i="11" s="1"/>
  <c r="G541" i="11"/>
  <c r="H541" i="11" s="1"/>
  <c r="O541" i="11" s="1"/>
  <c r="L540" i="11"/>
  <c r="K540" i="11"/>
  <c r="G540" i="11"/>
  <c r="H540" i="11" s="1"/>
  <c r="O539" i="11"/>
  <c r="L539" i="11"/>
  <c r="N539" i="11" s="1"/>
  <c r="H539" i="11"/>
  <c r="O538" i="11"/>
  <c r="L538" i="11"/>
  <c r="H538" i="11"/>
  <c r="N538" i="11" s="1"/>
  <c r="O537" i="11"/>
  <c r="N537" i="11"/>
  <c r="L537" i="11"/>
  <c r="H537" i="11"/>
  <c r="O536" i="11"/>
  <c r="L536" i="11"/>
  <c r="H536" i="11"/>
  <c r="N536" i="11" s="1"/>
  <c r="O535" i="11"/>
  <c r="L535" i="11"/>
  <c r="H535" i="11"/>
  <c r="L534" i="11"/>
  <c r="H534" i="11"/>
  <c r="O512" i="11"/>
  <c r="K512" i="11"/>
  <c r="H512" i="11"/>
  <c r="G512" i="11"/>
  <c r="G511" i="11"/>
  <c r="N510" i="11"/>
  <c r="O510" i="11" s="1"/>
  <c r="L510" i="11"/>
  <c r="K510" i="11"/>
  <c r="H510" i="11"/>
  <c r="G510" i="11"/>
  <c r="L509" i="11"/>
  <c r="N509" i="11" s="1"/>
  <c r="H509" i="11"/>
  <c r="L508" i="11"/>
  <c r="N508" i="11" s="1"/>
  <c r="O508" i="11" s="1"/>
  <c r="K508" i="11"/>
  <c r="G508" i="11"/>
  <c r="H508" i="11" s="1"/>
  <c r="L507" i="11"/>
  <c r="K507" i="11"/>
  <c r="H507" i="11"/>
  <c r="G507" i="11"/>
  <c r="L505" i="11"/>
  <c r="K505" i="11"/>
  <c r="G505" i="11"/>
  <c r="H505" i="11" s="1"/>
  <c r="N504" i="11"/>
  <c r="O504" i="11" s="1"/>
  <c r="L504" i="11"/>
  <c r="K504" i="11"/>
  <c r="H504" i="11"/>
  <c r="G504" i="11"/>
  <c r="N502" i="11"/>
  <c r="L502" i="11"/>
  <c r="H502" i="11"/>
  <c r="K501" i="11"/>
  <c r="G501" i="11"/>
  <c r="F501" i="11"/>
  <c r="H501" i="11" s="1"/>
  <c r="K500" i="11"/>
  <c r="L500" i="11" s="1"/>
  <c r="N500" i="11" s="1"/>
  <c r="G500" i="11"/>
  <c r="H500" i="11" s="1"/>
  <c r="L499" i="11"/>
  <c r="K499" i="11"/>
  <c r="H499" i="11"/>
  <c r="G499" i="11"/>
  <c r="O498" i="11"/>
  <c r="K498" i="11"/>
  <c r="L498" i="11" s="1"/>
  <c r="N498" i="11" s="1"/>
  <c r="H498" i="11"/>
  <c r="G498" i="11"/>
  <c r="O497" i="11"/>
  <c r="K497" i="11"/>
  <c r="L497" i="11" s="1"/>
  <c r="N497" i="11" s="1"/>
  <c r="G497" i="11"/>
  <c r="H497" i="11" s="1"/>
  <c r="L496" i="11"/>
  <c r="K496" i="11"/>
  <c r="G496" i="11"/>
  <c r="H496" i="11" s="1"/>
  <c r="K494" i="11"/>
  <c r="L494" i="11" s="1"/>
  <c r="N494" i="11" s="1"/>
  <c r="G494" i="11"/>
  <c r="H494" i="11" s="1"/>
  <c r="O494" i="11" s="1"/>
  <c r="K493" i="11"/>
  <c r="L493" i="11" s="1"/>
  <c r="N493" i="11" s="1"/>
  <c r="H493" i="11"/>
  <c r="O493" i="11" s="1"/>
  <c r="G493" i="11"/>
  <c r="L492" i="11"/>
  <c r="K492" i="11"/>
  <c r="G492" i="11"/>
  <c r="H492" i="11" s="1"/>
  <c r="O491" i="11"/>
  <c r="N491" i="11"/>
  <c r="K491" i="11"/>
  <c r="L491" i="11" s="1"/>
  <c r="H491" i="11"/>
  <c r="G491" i="11"/>
  <c r="O490" i="11"/>
  <c r="L490" i="11"/>
  <c r="N490" i="11" s="1"/>
  <c r="K490" i="11"/>
  <c r="G490" i="11"/>
  <c r="H490" i="11" s="1"/>
  <c r="K489" i="11"/>
  <c r="L489" i="11" s="1"/>
  <c r="G489" i="11"/>
  <c r="H489" i="11" s="1"/>
  <c r="L488" i="11"/>
  <c r="K488" i="11"/>
  <c r="H488" i="11"/>
  <c r="G488" i="11"/>
  <c r="O487" i="11"/>
  <c r="K487" i="11"/>
  <c r="L487" i="11" s="1"/>
  <c r="N487" i="11" s="1"/>
  <c r="H487" i="11"/>
  <c r="G487" i="11"/>
  <c r="O486" i="11"/>
  <c r="K486" i="11"/>
  <c r="L486" i="11" s="1"/>
  <c r="N486" i="11" s="1"/>
  <c r="G486" i="11"/>
  <c r="H486" i="11" s="1"/>
  <c r="L485" i="11"/>
  <c r="K485" i="11"/>
  <c r="G485" i="11"/>
  <c r="H485" i="11" s="1"/>
  <c r="N484" i="11"/>
  <c r="L484" i="11"/>
  <c r="H484" i="11"/>
  <c r="O484" i="11" s="1"/>
  <c r="N483" i="11"/>
  <c r="L483" i="11"/>
  <c r="H483" i="11"/>
  <c r="O483" i="11" s="1"/>
  <c r="N482" i="11"/>
  <c r="L482" i="11"/>
  <c r="H482" i="11"/>
  <c r="O482" i="11" s="1"/>
  <c r="L481" i="11"/>
  <c r="N481" i="11" s="1"/>
  <c r="H481" i="11"/>
  <c r="O481" i="11" s="1"/>
  <c r="N480" i="11"/>
  <c r="L480" i="11"/>
  <c r="H480" i="11"/>
  <c r="O480" i="11" s="1"/>
  <c r="L479" i="11"/>
  <c r="H479" i="11"/>
  <c r="K457" i="11"/>
  <c r="L457" i="11" s="1"/>
  <c r="N457" i="11" s="1"/>
  <c r="G457" i="11"/>
  <c r="H457" i="11" s="1"/>
  <c r="O457" i="11" s="1"/>
  <c r="K456" i="11"/>
  <c r="L456" i="11" s="1"/>
  <c r="N456" i="11" s="1"/>
  <c r="O456" i="11" s="1"/>
  <c r="G456" i="11"/>
  <c r="H456" i="11" s="1"/>
  <c r="L455" i="11"/>
  <c r="K455" i="11"/>
  <c r="H455" i="11"/>
  <c r="G455" i="11"/>
  <c r="L454" i="11"/>
  <c r="H454" i="11"/>
  <c r="N454" i="11" s="1"/>
  <c r="O454" i="11" s="1"/>
  <c r="K453" i="11"/>
  <c r="L453" i="11" s="1"/>
  <c r="G453" i="11"/>
  <c r="H453" i="11" s="1"/>
  <c r="K450" i="11"/>
  <c r="K452" i="11" s="1"/>
  <c r="L452" i="11" s="1"/>
  <c r="G450" i="11"/>
  <c r="H450" i="11" s="1"/>
  <c r="L449" i="11"/>
  <c r="K449" i="11"/>
  <c r="H449" i="11"/>
  <c r="G449" i="11"/>
  <c r="L447" i="11"/>
  <c r="H447" i="11"/>
  <c r="N447" i="11" s="1"/>
  <c r="K446" i="11"/>
  <c r="J446" i="11"/>
  <c r="L446" i="11" s="1"/>
  <c r="N446" i="11" s="1"/>
  <c r="G446" i="11"/>
  <c r="F446" i="11"/>
  <c r="H446" i="11" s="1"/>
  <c r="L445" i="11"/>
  <c r="N445" i="11" s="1"/>
  <c r="O445" i="11" s="1"/>
  <c r="K445" i="11"/>
  <c r="H445" i="11"/>
  <c r="G445" i="11"/>
  <c r="N444" i="11"/>
  <c r="K444" i="11"/>
  <c r="L444" i="11" s="1"/>
  <c r="H444" i="11"/>
  <c r="O444" i="11" s="1"/>
  <c r="G444" i="11"/>
  <c r="K443" i="11"/>
  <c r="L443" i="11" s="1"/>
  <c r="G443" i="11"/>
  <c r="H443" i="11" s="1"/>
  <c r="O442" i="11"/>
  <c r="K442" i="11"/>
  <c r="L442" i="11" s="1"/>
  <c r="N442" i="11" s="1"/>
  <c r="G442" i="11"/>
  <c r="H442" i="11" s="1"/>
  <c r="L441" i="11"/>
  <c r="K441" i="11"/>
  <c r="H441" i="11"/>
  <c r="G441" i="11"/>
  <c r="K439" i="11"/>
  <c r="L439" i="11" s="1"/>
  <c r="G439" i="11"/>
  <c r="H439" i="11" s="1"/>
  <c r="O439" i="11" s="1"/>
  <c r="L438" i="11"/>
  <c r="K438" i="11"/>
  <c r="G438" i="11"/>
  <c r="H438" i="11" s="1"/>
  <c r="N437" i="11"/>
  <c r="L437" i="11"/>
  <c r="K437" i="11"/>
  <c r="H437" i="11"/>
  <c r="O437" i="11" s="1"/>
  <c r="G437" i="11"/>
  <c r="K436" i="11"/>
  <c r="L436" i="11" s="1"/>
  <c r="G436" i="11"/>
  <c r="H436" i="11" s="1"/>
  <c r="O436" i="11" s="1"/>
  <c r="L435" i="11"/>
  <c r="K435" i="11"/>
  <c r="G435" i="11"/>
  <c r="H435" i="11" s="1"/>
  <c r="O435" i="11" s="1"/>
  <c r="N434" i="11"/>
  <c r="L434" i="11"/>
  <c r="K434" i="11"/>
  <c r="G434" i="11"/>
  <c r="H434" i="11" s="1"/>
  <c r="L433" i="11"/>
  <c r="K433" i="11"/>
  <c r="H433" i="11"/>
  <c r="G433" i="11"/>
  <c r="O432" i="11"/>
  <c r="K432" i="11"/>
  <c r="L432" i="11" s="1"/>
  <c r="G432" i="11"/>
  <c r="H432" i="11" s="1"/>
  <c r="K431" i="11"/>
  <c r="L431" i="11" s="1"/>
  <c r="N431" i="11" s="1"/>
  <c r="G431" i="11"/>
  <c r="H431" i="11" s="1"/>
  <c r="O431" i="11" s="1"/>
  <c r="L430" i="11"/>
  <c r="K430" i="11"/>
  <c r="G430" i="11"/>
  <c r="H430" i="11" s="1"/>
  <c r="L429" i="11"/>
  <c r="N429" i="11" s="1"/>
  <c r="H429" i="11"/>
  <c r="O429" i="11" s="1"/>
  <c r="L428" i="11"/>
  <c r="H428" i="11"/>
  <c r="O428" i="11" s="1"/>
  <c r="L427" i="11"/>
  <c r="N427" i="11" s="1"/>
  <c r="H427" i="11"/>
  <c r="O427" i="11" s="1"/>
  <c r="O426" i="11"/>
  <c r="L426" i="11"/>
  <c r="H426" i="11"/>
  <c r="L425" i="11"/>
  <c r="N425" i="11" s="1"/>
  <c r="H425" i="11"/>
  <c r="O425" i="11" s="1"/>
  <c r="L424" i="11"/>
  <c r="H424" i="11"/>
  <c r="O407" i="11"/>
  <c r="N407" i="11"/>
  <c r="N402" i="11"/>
  <c r="O402" i="11" s="1"/>
  <c r="H402" i="11"/>
  <c r="G402" i="11"/>
  <c r="K402" i="11" s="1"/>
  <c r="L402" i="11" s="1"/>
  <c r="K401" i="11"/>
  <c r="L401" i="11" s="1"/>
  <c r="H401" i="11"/>
  <c r="G401" i="11"/>
  <c r="K400" i="11"/>
  <c r="L400" i="11" s="1"/>
  <c r="H400" i="11"/>
  <c r="G400" i="11"/>
  <c r="L399" i="11"/>
  <c r="N399" i="11" s="1"/>
  <c r="O399" i="11" s="1"/>
  <c r="H399" i="11"/>
  <c r="K398" i="11"/>
  <c r="L398" i="11" s="1"/>
  <c r="G398" i="11"/>
  <c r="H398" i="11" s="1"/>
  <c r="O397" i="11"/>
  <c r="N397" i="11"/>
  <c r="K397" i="11"/>
  <c r="L397" i="11" s="1"/>
  <c r="H397" i="11"/>
  <c r="G397" i="11"/>
  <c r="G395" i="11"/>
  <c r="H395" i="11" s="1"/>
  <c r="K394" i="11"/>
  <c r="H394" i="11"/>
  <c r="G394" i="11"/>
  <c r="L392" i="11"/>
  <c r="N392" i="11" s="1"/>
  <c r="H392" i="11"/>
  <c r="K391" i="11"/>
  <c r="J391" i="11"/>
  <c r="L391" i="11" s="1"/>
  <c r="G391" i="11"/>
  <c r="F391" i="11"/>
  <c r="O390" i="11"/>
  <c r="N390" i="11"/>
  <c r="K390" i="11"/>
  <c r="L390" i="11" s="1"/>
  <c r="H390" i="11"/>
  <c r="G390" i="11"/>
  <c r="L389" i="11"/>
  <c r="K389" i="11"/>
  <c r="G389" i="11"/>
  <c r="H389" i="11" s="1"/>
  <c r="O389" i="11" s="1"/>
  <c r="L388" i="11"/>
  <c r="N388" i="11" s="1"/>
  <c r="K388" i="11"/>
  <c r="G388" i="11"/>
  <c r="H388" i="11" s="1"/>
  <c r="O388" i="11" s="1"/>
  <c r="L387" i="11"/>
  <c r="K387" i="11"/>
  <c r="H387" i="11"/>
  <c r="O387" i="11" s="1"/>
  <c r="G387" i="11"/>
  <c r="L386" i="11"/>
  <c r="K386" i="11"/>
  <c r="J386" i="11"/>
  <c r="G386" i="11"/>
  <c r="F386" i="11"/>
  <c r="L384" i="11"/>
  <c r="K384" i="11"/>
  <c r="H384" i="11"/>
  <c r="O384" i="11" s="1"/>
  <c r="G384" i="11"/>
  <c r="O383" i="11"/>
  <c r="L383" i="11"/>
  <c r="N383" i="11" s="1"/>
  <c r="K383" i="11"/>
  <c r="H383" i="11"/>
  <c r="G383" i="11"/>
  <c r="O382" i="11"/>
  <c r="K382" i="11"/>
  <c r="L382" i="11" s="1"/>
  <c r="N382" i="11" s="1"/>
  <c r="H382" i="11"/>
  <c r="G382" i="11"/>
  <c r="L381" i="11"/>
  <c r="K381" i="11"/>
  <c r="G381" i="11"/>
  <c r="H381" i="11" s="1"/>
  <c r="O381" i="11" s="1"/>
  <c r="L380" i="11"/>
  <c r="N380" i="11" s="1"/>
  <c r="K380" i="11"/>
  <c r="H380" i="11"/>
  <c r="O380" i="11" s="1"/>
  <c r="G380" i="11"/>
  <c r="L379" i="11"/>
  <c r="N379" i="11" s="1"/>
  <c r="O379" i="11" s="1"/>
  <c r="K379" i="11"/>
  <c r="H379" i="11"/>
  <c r="G379" i="11"/>
  <c r="K378" i="11"/>
  <c r="L378" i="11" s="1"/>
  <c r="N378" i="11" s="1"/>
  <c r="O378" i="11" s="1"/>
  <c r="H378" i="11"/>
  <c r="G378" i="11"/>
  <c r="L377" i="11"/>
  <c r="K377" i="11"/>
  <c r="G377" i="11"/>
  <c r="H377" i="11" s="1"/>
  <c r="O377" i="11" s="1"/>
  <c r="L376" i="11"/>
  <c r="K376" i="11"/>
  <c r="H376" i="11"/>
  <c r="O376" i="11" s="1"/>
  <c r="G376" i="11"/>
  <c r="N375" i="11"/>
  <c r="O375" i="11" s="1"/>
  <c r="L375" i="11"/>
  <c r="K375" i="11"/>
  <c r="H375" i="11"/>
  <c r="G375" i="11"/>
  <c r="O374" i="11"/>
  <c r="L374" i="11"/>
  <c r="H374" i="11"/>
  <c r="O373" i="11"/>
  <c r="L373" i="11"/>
  <c r="N373" i="11" s="1"/>
  <c r="H373" i="11"/>
  <c r="L372" i="11"/>
  <c r="H372" i="11"/>
  <c r="O372" i="11" s="1"/>
  <c r="O371" i="11"/>
  <c r="L371" i="11"/>
  <c r="N371" i="11" s="1"/>
  <c r="H371" i="11"/>
  <c r="O370" i="11"/>
  <c r="L370" i="11"/>
  <c r="H370" i="11"/>
  <c r="L369" i="11"/>
  <c r="N369" i="11" s="1"/>
  <c r="O369" i="11" s="1"/>
  <c r="H369" i="11"/>
  <c r="O352" i="11"/>
  <c r="N352" i="11"/>
  <c r="H347" i="11"/>
  <c r="G347" i="11"/>
  <c r="K347" i="11" s="1"/>
  <c r="L346" i="11"/>
  <c r="K346" i="11"/>
  <c r="H346" i="11"/>
  <c r="G346" i="11"/>
  <c r="L345" i="11"/>
  <c r="K345" i="11"/>
  <c r="H345" i="11"/>
  <c r="G345" i="11"/>
  <c r="O344" i="11"/>
  <c r="L344" i="11"/>
  <c r="N344" i="11" s="1"/>
  <c r="H344" i="11"/>
  <c r="L343" i="11"/>
  <c r="K343" i="11"/>
  <c r="H343" i="11"/>
  <c r="L342" i="11"/>
  <c r="K342" i="11"/>
  <c r="H342" i="11"/>
  <c r="G342" i="11"/>
  <c r="G343" i="11" s="1"/>
  <c r="K340" i="11"/>
  <c r="L340" i="11" s="1"/>
  <c r="N340" i="11" s="1"/>
  <c r="H340" i="11"/>
  <c r="O340" i="11" s="1"/>
  <c r="L339" i="11"/>
  <c r="N339" i="11" s="1"/>
  <c r="K339" i="11"/>
  <c r="H339" i="11"/>
  <c r="G339" i="11"/>
  <c r="G340" i="11" s="1"/>
  <c r="L337" i="11"/>
  <c r="H337" i="11"/>
  <c r="N337" i="11" s="1"/>
  <c r="K336" i="11"/>
  <c r="G336" i="11"/>
  <c r="F336" i="11"/>
  <c r="H336" i="11" s="1"/>
  <c r="K335" i="11"/>
  <c r="L335" i="11" s="1"/>
  <c r="N335" i="11" s="1"/>
  <c r="O335" i="11" s="1"/>
  <c r="G335" i="11"/>
  <c r="H335" i="11" s="1"/>
  <c r="K334" i="11"/>
  <c r="L334" i="11" s="1"/>
  <c r="N334" i="11" s="1"/>
  <c r="G334" i="11"/>
  <c r="H334" i="11" s="1"/>
  <c r="O334" i="11" s="1"/>
  <c r="K333" i="11"/>
  <c r="L333" i="11" s="1"/>
  <c r="G333" i="11"/>
  <c r="H333" i="11" s="1"/>
  <c r="K332" i="11"/>
  <c r="L332" i="11" s="1"/>
  <c r="N332" i="11" s="1"/>
  <c r="G332" i="11"/>
  <c r="H332" i="11" s="1"/>
  <c r="O332" i="11" s="1"/>
  <c r="K331" i="11"/>
  <c r="L331" i="11" s="1"/>
  <c r="N331" i="11" s="1"/>
  <c r="J331" i="11"/>
  <c r="H331" i="11"/>
  <c r="G331" i="11"/>
  <c r="F331" i="11"/>
  <c r="K329" i="11"/>
  <c r="L329" i="11" s="1"/>
  <c r="N329" i="11" s="1"/>
  <c r="G329" i="11"/>
  <c r="H329" i="11" s="1"/>
  <c r="O329" i="11" s="1"/>
  <c r="K328" i="11"/>
  <c r="L328" i="11" s="1"/>
  <c r="G328" i="11"/>
  <c r="H328" i="11" s="1"/>
  <c r="O328" i="11" s="1"/>
  <c r="K327" i="11"/>
  <c r="L327" i="11" s="1"/>
  <c r="G327" i="11"/>
  <c r="H327" i="11" s="1"/>
  <c r="K326" i="11"/>
  <c r="L326" i="11" s="1"/>
  <c r="N326" i="11" s="1"/>
  <c r="G326" i="11"/>
  <c r="H326" i="11" s="1"/>
  <c r="O326" i="11" s="1"/>
  <c r="K325" i="11"/>
  <c r="L325" i="11" s="1"/>
  <c r="G325" i="11"/>
  <c r="H325" i="11" s="1"/>
  <c r="O325" i="11" s="1"/>
  <c r="K324" i="11"/>
  <c r="L324" i="11" s="1"/>
  <c r="G324" i="11"/>
  <c r="H324" i="11" s="1"/>
  <c r="O323" i="11"/>
  <c r="N323" i="11"/>
  <c r="K323" i="11"/>
  <c r="L323" i="11" s="1"/>
  <c r="G323" i="11"/>
  <c r="H323" i="11" s="1"/>
  <c r="L322" i="11"/>
  <c r="K322" i="11"/>
  <c r="G322" i="11"/>
  <c r="H322" i="11" s="1"/>
  <c r="O322" i="11" s="1"/>
  <c r="N321" i="11"/>
  <c r="K321" i="11"/>
  <c r="L321" i="11" s="1"/>
  <c r="G321" i="11"/>
  <c r="H321" i="11" s="1"/>
  <c r="O321" i="11" s="1"/>
  <c r="K320" i="11"/>
  <c r="L320" i="11" s="1"/>
  <c r="G320" i="11"/>
  <c r="H320" i="11" s="1"/>
  <c r="O319" i="11"/>
  <c r="N319" i="11"/>
  <c r="L319" i="11"/>
  <c r="H319" i="11"/>
  <c r="L318" i="11"/>
  <c r="H318" i="11"/>
  <c r="O318" i="11" s="1"/>
  <c r="O317" i="11"/>
  <c r="N317" i="11"/>
  <c r="L317" i="11"/>
  <c r="H317" i="11"/>
  <c r="N316" i="11"/>
  <c r="L316" i="11"/>
  <c r="H316" i="11"/>
  <c r="O316" i="11" s="1"/>
  <c r="N315" i="11"/>
  <c r="O315" i="11" s="1"/>
  <c r="L315" i="11"/>
  <c r="H315" i="11"/>
  <c r="N314" i="11"/>
  <c r="L314" i="11"/>
  <c r="L330" i="11" s="1"/>
  <c r="H314" i="11"/>
  <c r="G292" i="11"/>
  <c r="G291" i="11"/>
  <c r="H291" i="11" s="1"/>
  <c r="G290" i="11"/>
  <c r="N289" i="11"/>
  <c r="O289" i="11" s="1"/>
  <c r="K289" i="11"/>
  <c r="L289" i="11" s="1"/>
  <c r="G289" i="11"/>
  <c r="H289" i="11" s="1"/>
  <c r="N288" i="11"/>
  <c r="L288" i="11"/>
  <c r="H288" i="11"/>
  <c r="K286" i="11"/>
  <c r="L286" i="11" s="1"/>
  <c r="G286" i="11"/>
  <c r="H286" i="11" s="1"/>
  <c r="K284" i="11"/>
  <c r="L284" i="11" s="1"/>
  <c r="G284" i="11"/>
  <c r="N283" i="11"/>
  <c r="O283" i="11" s="1"/>
  <c r="K283" i="11"/>
  <c r="L283" i="11" s="1"/>
  <c r="G283" i="11"/>
  <c r="H283" i="11" s="1"/>
  <c r="N281" i="11"/>
  <c r="L281" i="11"/>
  <c r="H281" i="11"/>
  <c r="K280" i="11"/>
  <c r="L280" i="11" s="1"/>
  <c r="J280" i="11"/>
  <c r="H280" i="11"/>
  <c r="G280" i="11"/>
  <c r="F280" i="11"/>
  <c r="K279" i="11"/>
  <c r="L279" i="11" s="1"/>
  <c r="N279" i="11" s="1"/>
  <c r="G279" i="11"/>
  <c r="H279" i="11" s="1"/>
  <c r="K278" i="11"/>
  <c r="L278" i="11" s="1"/>
  <c r="G278" i="11"/>
  <c r="H278" i="11" s="1"/>
  <c r="L277" i="11"/>
  <c r="N277" i="11" s="1"/>
  <c r="K277" i="11"/>
  <c r="G277" i="11"/>
  <c r="H277" i="11" s="1"/>
  <c r="O277" i="11" s="1"/>
  <c r="K276" i="11"/>
  <c r="L276" i="11" s="1"/>
  <c r="G276" i="11"/>
  <c r="H276" i="11" s="1"/>
  <c r="O276" i="11" s="1"/>
  <c r="K275" i="11"/>
  <c r="L275" i="11" s="1"/>
  <c r="N275" i="11" s="1"/>
  <c r="G275" i="11"/>
  <c r="H275" i="11" s="1"/>
  <c r="K273" i="11"/>
  <c r="L273" i="11" s="1"/>
  <c r="G273" i="11"/>
  <c r="H273" i="11" s="1"/>
  <c r="O273" i="11" s="1"/>
  <c r="K272" i="11"/>
  <c r="L272" i="11" s="1"/>
  <c r="G272" i="11"/>
  <c r="H272" i="11" s="1"/>
  <c r="O272" i="11" s="1"/>
  <c r="K271" i="11"/>
  <c r="L271" i="11" s="1"/>
  <c r="G271" i="11"/>
  <c r="H271" i="11" s="1"/>
  <c r="O271" i="11" s="1"/>
  <c r="L270" i="11"/>
  <c r="K270" i="11"/>
  <c r="G270" i="11"/>
  <c r="H270" i="11" s="1"/>
  <c r="O270" i="11" s="1"/>
  <c r="K269" i="11"/>
  <c r="L269" i="11" s="1"/>
  <c r="G269" i="11"/>
  <c r="H269" i="11" s="1"/>
  <c r="K268" i="11"/>
  <c r="L268" i="11" s="1"/>
  <c r="G268" i="11"/>
  <c r="H268" i="11" s="1"/>
  <c r="O267" i="11"/>
  <c r="N267" i="11"/>
  <c r="K267" i="11"/>
  <c r="L267" i="11" s="1"/>
  <c r="G267" i="11"/>
  <c r="H267" i="11" s="1"/>
  <c r="L266" i="11"/>
  <c r="N266" i="11" s="1"/>
  <c r="K266" i="11"/>
  <c r="G266" i="11"/>
  <c r="H266" i="11" s="1"/>
  <c r="O266" i="11" s="1"/>
  <c r="K265" i="11"/>
  <c r="L265" i="11" s="1"/>
  <c r="N265" i="11" s="1"/>
  <c r="H265" i="11"/>
  <c r="O265" i="11" s="1"/>
  <c r="G265" i="11"/>
  <c r="K264" i="11"/>
  <c r="L264" i="11" s="1"/>
  <c r="G264" i="11"/>
  <c r="H264" i="11" s="1"/>
  <c r="O263" i="11"/>
  <c r="N263" i="11"/>
  <c r="L263" i="11"/>
  <c r="H263" i="11"/>
  <c r="N262" i="11"/>
  <c r="L262" i="11"/>
  <c r="H262" i="11"/>
  <c r="O262" i="11" s="1"/>
  <c r="O261" i="11"/>
  <c r="N261" i="11"/>
  <c r="L261" i="11"/>
  <c r="H261" i="11"/>
  <c r="N260" i="11"/>
  <c r="L260" i="11"/>
  <c r="H260" i="11"/>
  <c r="O260" i="11" s="1"/>
  <c r="N259" i="11"/>
  <c r="O259" i="11" s="1"/>
  <c r="L259" i="11"/>
  <c r="H259" i="11"/>
  <c r="N258" i="11"/>
  <c r="L258" i="11"/>
  <c r="H258" i="11"/>
  <c r="H236" i="11"/>
  <c r="G236" i="11"/>
  <c r="K236" i="11" s="1"/>
  <c r="L236" i="11" s="1"/>
  <c r="K235" i="11"/>
  <c r="L235" i="11" s="1"/>
  <c r="N235" i="11" s="1"/>
  <c r="G235" i="11"/>
  <c r="H235" i="11" s="1"/>
  <c r="G234" i="11"/>
  <c r="L233" i="11"/>
  <c r="K233" i="11"/>
  <c r="G233" i="11"/>
  <c r="H233" i="11" s="1"/>
  <c r="N232" i="11"/>
  <c r="L232" i="11"/>
  <c r="H232" i="11"/>
  <c r="G231" i="11"/>
  <c r="H231" i="11" s="1"/>
  <c r="G228" i="11"/>
  <c r="L227" i="11"/>
  <c r="N227" i="11" s="1"/>
  <c r="K227" i="11"/>
  <c r="K228" i="11" s="1"/>
  <c r="G227" i="11"/>
  <c r="H227" i="11" s="1"/>
  <c r="L225" i="11"/>
  <c r="N225" i="11" s="1"/>
  <c r="H225" i="11"/>
  <c r="L224" i="11"/>
  <c r="K224" i="11"/>
  <c r="J224" i="11"/>
  <c r="G224" i="11"/>
  <c r="H224" i="11" s="1"/>
  <c r="F224" i="11"/>
  <c r="L223" i="11"/>
  <c r="K223" i="11"/>
  <c r="H223" i="11"/>
  <c r="G223" i="11"/>
  <c r="O222" i="11"/>
  <c r="L222" i="11"/>
  <c r="K222" i="11"/>
  <c r="H222" i="11"/>
  <c r="N222" i="11" s="1"/>
  <c r="G222" i="11"/>
  <c r="O221" i="11"/>
  <c r="N221" i="11"/>
  <c r="L221" i="11"/>
  <c r="K221" i="11"/>
  <c r="H221" i="11"/>
  <c r="G221" i="11"/>
  <c r="K220" i="11"/>
  <c r="L220" i="11" s="1"/>
  <c r="N220" i="11" s="1"/>
  <c r="H220" i="11"/>
  <c r="O220" i="11" s="1"/>
  <c r="G220" i="11"/>
  <c r="L219" i="11"/>
  <c r="K219" i="11"/>
  <c r="H219" i="11"/>
  <c r="G219" i="11"/>
  <c r="O217" i="11"/>
  <c r="L217" i="11"/>
  <c r="N217" i="11" s="1"/>
  <c r="K217" i="11"/>
  <c r="H217" i="11"/>
  <c r="G217" i="11"/>
  <c r="L216" i="11"/>
  <c r="K216" i="11"/>
  <c r="G216" i="11"/>
  <c r="H216" i="11" s="1"/>
  <c r="O216" i="11" s="1"/>
  <c r="O215" i="11"/>
  <c r="L215" i="11"/>
  <c r="N215" i="11" s="1"/>
  <c r="K215" i="11"/>
  <c r="H215" i="11"/>
  <c r="G215" i="11"/>
  <c r="O214" i="11"/>
  <c r="L214" i="11"/>
  <c r="N214" i="11" s="1"/>
  <c r="K214" i="11"/>
  <c r="H214" i="11"/>
  <c r="G214" i="11"/>
  <c r="L213" i="11"/>
  <c r="K213" i="11"/>
  <c r="H213" i="11"/>
  <c r="O213" i="11" s="1"/>
  <c r="G213" i="11"/>
  <c r="L212" i="11"/>
  <c r="N212" i="11" s="1"/>
  <c r="K212" i="11"/>
  <c r="H212" i="11"/>
  <c r="G212" i="11"/>
  <c r="L211" i="11"/>
  <c r="K211" i="11"/>
  <c r="H211" i="11"/>
  <c r="G211" i="11"/>
  <c r="O210" i="11"/>
  <c r="N210" i="11"/>
  <c r="L210" i="11"/>
  <c r="K210" i="11"/>
  <c r="H210" i="11"/>
  <c r="G210" i="11"/>
  <c r="O209" i="11"/>
  <c r="L209" i="11"/>
  <c r="N209" i="11" s="1"/>
  <c r="K209" i="11"/>
  <c r="H209" i="11"/>
  <c r="G209" i="11"/>
  <c r="L208" i="11"/>
  <c r="K208" i="11"/>
  <c r="G208" i="11"/>
  <c r="H208" i="11" s="1"/>
  <c r="O207" i="11"/>
  <c r="L207" i="11"/>
  <c r="N207" i="11" s="1"/>
  <c r="H207" i="11"/>
  <c r="O206" i="11"/>
  <c r="L206" i="11"/>
  <c r="N206" i="11" s="1"/>
  <c r="H206" i="11"/>
  <c r="O205" i="11"/>
  <c r="L205" i="11"/>
  <c r="N205" i="11" s="1"/>
  <c r="H205" i="11"/>
  <c r="O204" i="11"/>
  <c r="L204" i="11"/>
  <c r="N204" i="11" s="1"/>
  <c r="H204" i="11"/>
  <c r="O203" i="11"/>
  <c r="L203" i="11"/>
  <c r="N203" i="11" s="1"/>
  <c r="H203" i="11"/>
  <c r="L202" i="11"/>
  <c r="H202" i="11"/>
  <c r="L181" i="11"/>
  <c r="K181" i="11"/>
  <c r="H181" i="11"/>
  <c r="G181" i="11"/>
  <c r="L180" i="11"/>
  <c r="N180" i="11" s="1"/>
  <c r="H180" i="11"/>
  <c r="G180" i="11"/>
  <c r="K180" i="11" s="1"/>
  <c r="L179" i="11"/>
  <c r="K179" i="11"/>
  <c r="H179" i="11"/>
  <c r="G179" i="11"/>
  <c r="L178" i="11"/>
  <c r="K178" i="11"/>
  <c r="H178" i="11"/>
  <c r="N178" i="11" s="1"/>
  <c r="O178" i="11" s="1"/>
  <c r="G178" i="11"/>
  <c r="L177" i="11"/>
  <c r="H177" i="11"/>
  <c r="N172" i="11"/>
  <c r="O172" i="11" s="1"/>
  <c r="L172" i="11"/>
  <c r="K172" i="11"/>
  <c r="K173" i="11" s="1"/>
  <c r="H172" i="11"/>
  <c r="G172" i="11"/>
  <c r="G173" i="11" s="1"/>
  <c r="N170" i="11"/>
  <c r="L170" i="11"/>
  <c r="H170" i="11"/>
  <c r="K169" i="11"/>
  <c r="J169" i="11"/>
  <c r="H169" i="11"/>
  <c r="G169" i="11"/>
  <c r="F169" i="11"/>
  <c r="K168" i="11"/>
  <c r="L168" i="11" s="1"/>
  <c r="H168" i="11"/>
  <c r="G168" i="11"/>
  <c r="K167" i="11"/>
  <c r="L167" i="11" s="1"/>
  <c r="G167" i="11"/>
  <c r="H167" i="11" s="1"/>
  <c r="O167" i="11" s="1"/>
  <c r="O166" i="11"/>
  <c r="L166" i="11"/>
  <c r="K166" i="11"/>
  <c r="G166" i="11"/>
  <c r="H166" i="11" s="1"/>
  <c r="N166" i="11" s="1"/>
  <c r="K165" i="11"/>
  <c r="L165" i="11" s="1"/>
  <c r="N165" i="11" s="1"/>
  <c r="H165" i="11"/>
  <c r="O165" i="11" s="1"/>
  <c r="G165" i="11"/>
  <c r="K164" i="11"/>
  <c r="L164" i="11" s="1"/>
  <c r="G164" i="11"/>
  <c r="H164" i="11" s="1"/>
  <c r="K162" i="11"/>
  <c r="L162" i="11" s="1"/>
  <c r="N162" i="11" s="1"/>
  <c r="H162" i="11"/>
  <c r="O162" i="11" s="1"/>
  <c r="G162" i="11"/>
  <c r="K161" i="11"/>
  <c r="L161" i="11" s="1"/>
  <c r="G161" i="11"/>
  <c r="H161" i="11" s="1"/>
  <c r="O161" i="11" s="1"/>
  <c r="K160" i="11"/>
  <c r="L160" i="11" s="1"/>
  <c r="G160" i="11"/>
  <c r="H160" i="11" s="1"/>
  <c r="O160" i="11" s="1"/>
  <c r="O159" i="11"/>
  <c r="N159" i="11"/>
  <c r="L159" i="11"/>
  <c r="K159" i="11"/>
  <c r="G159" i="11"/>
  <c r="H159" i="11" s="1"/>
  <c r="K158" i="11"/>
  <c r="L158" i="11" s="1"/>
  <c r="N158" i="11" s="1"/>
  <c r="H158" i="11"/>
  <c r="O158" i="11" s="1"/>
  <c r="G158" i="11"/>
  <c r="K157" i="11"/>
  <c r="L157" i="11" s="1"/>
  <c r="G157" i="11"/>
  <c r="H157" i="11" s="1"/>
  <c r="K156" i="11"/>
  <c r="L156" i="11" s="1"/>
  <c r="N156" i="11" s="1"/>
  <c r="G156" i="11"/>
  <c r="H156" i="11" s="1"/>
  <c r="O155" i="11"/>
  <c r="N155" i="11"/>
  <c r="L155" i="11"/>
  <c r="K155" i="11"/>
  <c r="G155" i="11"/>
  <c r="H155" i="11" s="1"/>
  <c r="L154" i="11"/>
  <c r="N154" i="11" s="1"/>
  <c r="K154" i="11"/>
  <c r="H154" i="11"/>
  <c r="O154" i="11" s="1"/>
  <c r="G154" i="11"/>
  <c r="K153" i="11"/>
  <c r="L153" i="11" s="1"/>
  <c r="N153" i="11" s="1"/>
  <c r="H153" i="11"/>
  <c r="G153" i="11"/>
  <c r="L152" i="11"/>
  <c r="H152" i="11"/>
  <c r="O152" i="11" s="1"/>
  <c r="L151" i="11"/>
  <c r="N151" i="11" s="1"/>
  <c r="H151" i="11"/>
  <c r="O151" i="11" s="1"/>
  <c r="L150" i="11"/>
  <c r="H150" i="11"/>
  <c r="O150" i="11" s="1"/>
  <c r="L149" i="11"/>
  <c r="N149" i="11" s="1"/>
  <c r="H149" i="11"/>
  <c r="O149" i="11" s="1"/>
  <c r="L148" i="11"/>
  <c r="H148" i="11"/>
  <c r="F148" i="11"/>
  <c r="O147" i="11"/>
  <c r="N147" i="11"/>
  <c r="L147" i="11"/>
  <c r="H147" i="11"/>
  <c r="L112" i="11"/>
  <c r="N112" i="11" s="1"/>
  <c r="O112" i="11" s="1"/>
  <c r="K112" i="11"/>
  <c r="H112" i="11"/>
  <c r="G112" i="11"/>
  <c r="L111" i="11"/>
  <c r="N111" i="11" s="1"/>
  <c r="K111" i="11"/>
  <c r="H111" i="11"/>
  <c r="G111" i="11"/>
  <c r="H110" i="11"/>
  <c r="G110" i="11"/>
  <c r="K110" i="11" s="1"/>
  <c r="L110" i="11" s="1"/>
  <c r="O109" i="11"/>
  <c r="L109" i="11"/>
  <c r="K109" i="11"/>
  <c r="H109" i="11"/>
  <c r="N109" i="11" s="1"/>
  <c r="G109" i="11"/>
  <c r="N108" i="11"/>
  <c r="O108" i="11" s="1"/>
  <c r="L108" i="11"/>
  <c r="H108" i="11"/>
  <c r="G107" i="11"/>
  <c r="H107" i="11" s="1"/>
  <c r="G104" i="11"/>
  <c r="G106" i="11" s="1"/>
  <c r="H106" i="11" s="1"/>
  <c r="O103" i="11"/>
  <c r="L103" i="11"/>
  <c r="K103" i="11"/>
  <c r="K104" i="11" s="1"/>
  <c r="H103" i="11"/>
  <c r="N103" i="11" s="1"/>
  <c r="G103" i="11"/>
  <c r="L101" i="11"/>
  <c r="H101" i="11"/>
  <c r="N101" i="11" s="1"/>
  <c r="K100" i="11"/>
  <c r="L100" i="11" s="1"/>
  <c r="N100" i="11" s="1"/>
  <c r="J100" i="11"/>
  <c r="G100" i="11"/>
  <c r="F100" i="11"/>
  <c r="H100" i="11" s="1"/>
  <c r="L99" i="11"/>
  <c r="N99" i="11" s="1"/>
  <c r="K99" i="11"/>
  <c r="H99" i="11"/>
  <c r="G99" i="11"/>
  <c r="K98" i="11"/>
  <c r="L98" i="11" s="1"/>
  <c r="G98" i="11"/>
  <c r="H98" i="11" s="1"/>
  <c r="O98" i="11" s="1"/>
  <c r="K97" i="11"/>
  <c r="L97" i="11" s="1"/>
  <c r="G97" i="11"/>
  <c r="H97" i="11" s="1"/>
  <c r="O97" i="11" s="1"/>
  <c r="O96" i="11"/>
  <c r="L96" i="11"/>
  <c r="K96" i="11"/>
  <c r="G96" i="11"/>
  <c r="H96" i="11" s="1"/>
  <c r="N96" i="11" s="1"/>
  <c r="K95" i="11"/>
  <c r="L95" i="11" s="1"/>
  <c r="N95" i="11" s="1"/>
  <c r="H95" i="11"/>
  <c r="G95" i="11"/>
  <c r="L93" i="11"/>
  <c r="K93" i="11"/>
  <c r="G93" i="11"/>
  <c r="H93" i="11" s="1"/>
  <c r="O93" i="11" s="1"/>
  <c r="K92" i="11"/>
  <c r="L92" i="11" s="1"/>
  <c r="N92" i="11" s="1"/>
  <c r="H92" i="11"/>
  <c r="O92" i="11" s="1"/>
  <c r="G92" i="11"/>
  <c r="K91" i="11"/>
  <c r="L91" i="11" s="1"/>
  <c r="G91" i="11"/>
  <c r="H91" i="11" s="1"/>
  <c r="O91" i="11" s="1"/>
  <c r="K90" i="11"/>
  <c r="L90" i="11" s="1"/>
  <c r="N90" i="11" s="1"/>
  <c r="G90" i="11"/>
  <c r="H90" i="11" s="1"/>
  <c r="O90" i="11" s="1"/>
  <c r="L89" i="11"/>
  <c r="K89" i="11"/>
  <c r="G89" i="11"/>
  <c r="H89" i="11" s="1"/>
  <c r="O89" i="11" s="1"/>
  <c r="N88" i="11"/>
  <c r="L88" i="11"/>
  <c r="K88" i="11"/>
  <c r="H88" i="11"/>
  <c r="G88" i="11"/>
  <c r="K87" i="11"/>
  <c r="L87" i="11" s="1"/>
  <c r="G87" i="11"/>
  <c r="H87" i="11" s="1"/>
  <c r="K86" i="11"/>
  <c r="L86" i="11" s="1"/>
  <c r="N86" i="11" s="1"/>
  <c r="G86" i="11"/>
  <c r="H86" i="11" s="1"/>
  <c r="O86" i="11" s="1"/>
  <c r="L85" i="11"/>
  <c r="K85" i="11"/>
  <c r="G85" i="11"/>
  <c r="H85" i="11" s="1"/>
  <c r="N85" i="11" s="1"/>
  <c r="L84" i="11"/>
  <c r="N84" i="11" s="1"/>
  <c r="K84" i="11"/>
  <c r="H84" i="11"/>
  <c r="G84" i="11"/>
  <c r="N83" i="11"/>
  <c r="L83" i="11"/>
  <c r="H83" i="11"/>
  <c r="O83" i="11" s="1"/>
  <c r="O82" i="11"/>
  <c r="N82" i="11"/>
  <c r="L82" i="11"/>
  <c r="H82" i="11"/>
  <c r="N81" i="11"/>
  <c r="L81" i="11"/>
  <c r="H81" i="11"/>
  <c r="O81" i="11" s="1"/>
  <c r="O80" i="11"/>
  <c r="N80" i="11"/>
  <c r="L80" i="11"/>
  <c r="H80" i="11"/>
  <c r="L79" i="11"/>
  <c r="H79" i="11"/>
  <c r="F79" i="11"/>
  <c r="O78" i="11"/>
  <c r="N78" i="11"/>
  <c r="L78" i="11"/>
  <c r="H78" i="11"/>
  <c r="H57" i="11"/>
  <c r="O57" i="11" s="1"/>
  <c r="G57" i="11"/>
  <c r="K57" i="11" s="1"/>
  <c r="L57" i="11" s="1"/>
  <c r="N57" i="11" s="1"/>
  <c r="L56" i="11"/>
  <c r="K56" i="11"/>
  <c r="G56" i="11"/>
  <c r="H56" i="11" s="1"/>
  <c r="N56" i="11" s="1"/>
  <c r="O56" i="11" s="1"/>
  <c r="K55" i="11"/>
  <c r="L55" i="11" s="1"/>
  <c r="N55" i="11" s="1"/>
  <c r="H55" i="11"/>
  <c r="O55" i="11" s="1"/>
  <c r="G55" i="11"/>
  <c r="L54" i="11"/>
  <c r="K54" i="11"/>
  <c r="H54" i="11"/>
  <c r="G54" i="11"/>
  <c r="O53" i="11"/>
  <c r="N53" i="11"/>
  <c r="L53" i="11"/>
  <c r="H53" i="11"/>
  <c r="G51" i="11"/>
  <c r="H51" i="11" s="1"/>
  <c r="K49" i="11"/>
  <c r="K51" i="11" s="1"/>
  <c r="L51" i="11" s="1"/>
  <c r="L48" i="11"/>
  <c r="K48" i="11"/>
  <c r="H48" i="11"/>
  <c r="G48" i="11"/>
  <c r="G49" i="11" s="1"/>
  <c r="G52" i="11" s="1"/>
  <c r="H52" i="11" s="1"/>
  <c r="N46" i="11"/>
  <c r="L46" i="11"/>
  <c r="H46" i="11"/>
  <c r="N45" i="11"/>
  <c r="O45" i="11" s="1"/>
  <c r="L45" i="11"/>
  <c r="K45" i="11"/>
  <c r="J45" i="11"/>
  <c r="H45" i="11"/>
  <c r="G45" i="11"/>
  <c r="F45" i="11"/>
  <c r="N44" i="11"/>
  <c r="O44" i="11" s="1"/>
  <c r="L44" i="11"/>
  <c r="K44" i="11"/>
  <c r="G44" i="11"/>
  <c r="H44" i="11" s="1"/>
  <c r="L43" i="11"/>
  <c r="N43" i="11" s="1"/>
  <c r="K43" i="11"/>
  <c r="H43" i="11"/>
  <c r="O43" i="11" s="1"/>
  <c r="G43" i="11"/>
  <c r="K42" i="11"/>
  <c r="L42" i="11" s="1"/>
  <c r="G42" i="11"/>
  <c r="H42" i="11" s="1"/>
  <c r="K41" i="11"/>
  <c r="L41" i="11" s="1"/>
  <c r="N41" i="11" s="1"/>
  <c r="G41" i="11"/>
  <c r="H41" i="11" s="1"/>
  <c r="O41" i="11" s="1"/>
  <c r="N40" i="11"/>
  <c r="O40" i="11" s="1"/>
  <c r="L40" i="11"/>
  <c r="K40" i="11"/>
  <c r="G40" i="11"/>
  <c r="H40" i="11" s="1"/>
  <c r="K38" i="11"/>
  <c r="L38" i="11" s="1"/>
  <c r="G38" i="11"/>
  <c r="H38" i="11" s="1"/>
  <c r="O38" i="11" s="1"/>
  <c r="O37" i="11"/>
  <c r="L37" i="11"/>
  <c r="K37" i="11"/>
  <c r="G37" i="11"/>
  <c r="H37" i="11" s="1"/>
  <c r="N37" i="11" s="1"/>
  <c r="K36" i="11"/>
  <c r="L36" i="11" s="1"/>
  <c r="N36" i="11" s="1"/>
  <c r="H36" i="11"/>
  <c r="O36" i="11" s="1"/>
  <c r="G36" i="11"/>
  <c r="K35" i="11"/>
  <c r="L35" i="11" s="1"/>
  <c r="N35" i="11" s="1"/>
  <c r="H35" i="11"/>
  <c r="O35" i="11" s="1"/>
  <c r="G35" i="11"/>
  <c r="K34" i="11"/>
  <c r="L34" i="11" s="1"/>
  <c r="G34" i="11"/>
  <c r="H34" i="11" s="1"/>
  <c r="O34" i="11" s="1"/>
  <c r="L33" i="11"/>
  <c r="K33" i="11"/>
  <c r="G33" i="11"/>
  <c r="H33" i="11" s="1"/>
  <c r="N33" i="11" s="1"/>
  <c r="O33" i="11" s="1"/>
  <c r="K32" i="11"/>
  <c r="L32" i="11" s="1"/>
  <c r="N32" i="11" s="1"/>
  <c r="H32" i="11"/>
  <c r="G32" i="11"/>
  <c r="K31" i="11"/>
  <c r="L31" i="11" s="1"/>
  <c r="N31" i="11" s="1"/>
  <c r="H31" i="11"/>
  <c r="O31" i="11" s="1"/>
  <c r="G31" i="11"/>
  <c r="K30" i="11"/>
  <c r="L30" i="11" s="1"/>
  <c r="G30" i="11"/>
  <c r="H30" i="11" s="1"/>
  <c r="O30" i="11" s="1"/>
  <c r="L29" i="11"/>
  <c r="K29" i="11"/>
  <c r="G29" i="11"/>
  <c r="H29" i="11" s="1"/>
  <c r="N29" i="11" s="1"/>
  <c r="O29" i="11" s="1"/>
  <c r="L28" i="11"/>
  <c r="N28" i="11" s="1"/>
  <c r="H28" i="11"/>
  <c r="O28" i="11" s="1"/>
  <c r="L27" i="11"/>
  <c r="N27" i="11" s="1"/>
  <c r="H27" i="11"/>
  <c r="O27" i="11" s="1"/>
  <c r="L26" i="11"/>
  <c r="N26" i="11" s="1"/>
  <c r="H26" i="11"/>
  <c r="O26" i="11" s="1"/>
  <c r="L25" i="11"/>
  <c r="H25" i="11"/>
  <c r="O25" i="11" s="1"/>
  <c r="L24" i="11"/>
  <c r="N24" i="11" s="1"/>
  <c r="H24" i="11"/>
  <c r="H39" i="11" s="1"/>
  <c r="F24" i="11"/>
  <c r="L23" i="11"/>
  <c r="N23" i="11" s="1"/>
  <c r="H23" i="11"/>
  <c r="O23" i="11" s="1"/>
  <c r="O1" i="11"/>
  <c r="C28" i="10"/>
  <c r="H26" i="10"/>
  <c r="C24" i="10"/>
  <c r="H23" i="10"/>
  <c r="G23" i="10"/>
  <c r="G24" i="10" s="1"/>
  <c r="G28" i="10" s="1"/>
  <c r="F23" i="10"/>
  <c r="F24" i="10" s="1"/>
  <c r="F28" i="10" s="1"/>
  <c r="E23" i="10"/>
  <c r="D23" i="10"/>
  <c r="D24" i="10" s="1"/>
  <c r="D28" i="10" s="1"/>
  <c r="C23" i="10"/>
  <c r="H22" i="10"/>
  <c r="H21" i="10"/>
  <c r="G20" i="10"/>
  <c r="F20" i="10"/>
  <c r="D20" i="10"/>
  <c r="C20" i="10"/>
  <c r="H19" i="10"/>
  <c r="G18" i="10"/>
  <c r="F18" i="10"/>
  <c r="E18" i="10"/>
  <c r="E20" i="10" s="1"/>
  <c r="E24" i="10" s="1"/>
  <c r="E28" i="10" s="1"/>
  <c r="D18" i="10"/>
  <c r="C18" i="10"/>
  <c r="H17" i="10"/>
  <c r="H1" i="10"/>
  <c r="F105" i="9"/>
  <c r="F104" i="9"/>
  <c r="A104" i="9"/>
  <c r="F103" i="9"/>
  <c r="F102" i="9"/>
  <c r="C102" i="9"/>
  <c r="F101" i="9"/>
  <c r="F100" i="9"/>
  <c r="C100" i="9"/>
  <c r="F99" i="9"/>
  <c r="F98" i="9"/>
  <c r="C98" i="9"/>
  <c r="D98" i="9" s="1"/>
  <c r="C96" i="9"/>
  <c r="D96" i="9" s="1"/>
  <c r="E96" i="9" s="1"/>
  <c r="E84" i="9"/>
  <c r="C106" i="9" s="1"/>
  <c r="D84" i="9"/>
  <c r="E83" i="9"/>
  <c r="C105" i="9" s="1"/>
  <c r="D83" i="9"/>
  <c r="E82" i="9"/>
  <c r="C104" i="9" s="1"/>
  <c r="D104" i="9" s="1"/>
  <c r="D82" i="9"/>
  <c r="A82" i="9"/>
  <c r="E81" i="9"/>
  <c r="C103" i="9" s="1"/>
  <c r="D103" i="9" s="1"/>
  <c r="D81" i="9"/>
  <c r="E80" i="9"/>
  <c r="D80" i="9"/>
  <c r="A80" i="9"/>
  <c r="A102" i="9" s="1"/>
  <c r="E79" i="9"/>
  <c r="C101" i="9" s="1"/>
  <c r="D101" i="9" s="1"/>
  <c r="D79" i="9"/>
  <c r="E78" i="9"/>
  <c r="D78" i="9"/>
  <c r="E77" i="9"/>
  <c r="C99" i="9" s="1"/>
  <c r="D99" i="9" s="1"/>
  <c r="D77" i="9"/>
  <c r="A77" i="9"/>
  <c r="A99" i="9" s="1"/>
  <c r="E76" i="9"/>
  <c r="D76" i="9"/>
  <c r="F55" i="9"/>
  <c r="E55" i="9"/>
  <c r="D55" i="9"/>
  <c r="C55" i="9"/>
  <c r="A55" i="9"/>
  <c r="A54" i="9"/>
  <c r="A84" i="9" s="1"/>
  <c r="A106" i="9" s="1"/>
  <c r="A52" i="9"/>
  <c r="A51" i="9"/>
  <c r="A81" i="9" s="1"/>
  <c r="A103" i="9" s="1"/>
  <c r="A50" i="9"/>
  <c r="A49" i="9"/>
  <c r="A79" i="9" s="1"/>
  <c r="A101" i="9" s="1"/>
  <c r="A48" i="9"/>
  <c r="A78" i="9" s="1"/>
  <c r="A100" i="9" s="1"/>
  <c r="A47" i="9"/>
  <c r="A46" i="9"/>
  <c r="A76" i="9" s="1"/>
  <c r="A98" i="9" s="1"/>
  <c r="D26" i="9"/>
  <c r="B26" i="9"/>
  <c r="E25" i="9"/>
  <c r="C25" i="9"/>
  <c r="E24" i="9"/>
  <c r="C24" i="9"/>
  <c r="E23" i="9"/>
  <c r="C23" i="9"/>
  <c r="E22" i="9"/>
  <c r="C22" i="9"/>
  <c r="E21" i="9"/>
  <c r="C21" i="9"/>
  <c r="E20" i="9"/>
  <c r="C20" i="9"/>
  <c r="E19" i="9"/>
  <c r="C19" i="9"/>
  <c r="E18" i="9"/>
  <c r="C18" i="9"/>
  <c r="E17" i="9"/>
  <c r="E26" i="9" s="1"/>
  <c r="C17" i="9"/>
  <c r="C26" i="9" s="1"/>
  <c r="F1" i="9"/>
  <c r="E38" i="8"/>
  <c r="G30" i="8"/>
  <c r="H29" i="8"/>
  <c r="G29" i="8"/>
  <c r="I29" i="8" s="1"/>
  <c r="F29" i="8"/>
  <c r="D29" i="8"/>
  <c r="J28" i="8"/>
  <c r="H28" i="8"/>
  <c r="K28" i="8" s="1"/>
  <c r="G28" i="8"/>
  <c r="I28" i="8" s="1"/>
  <c r="F28" i="8"/>
  <c r="F30" i="8" s="1"/>
  <c r="D28" i="8"/>
  <c r="D30" i="8" s="1"/>
  <c r="K27" i="8"/>
  <c r="J27" i="8"/>
  <c r="I27" i="8"/>
  <c r="F27" i="8"/>
  <c r="K26" i="8"/>
  <c r="I26" i="8"/>
  <c r="K25" i="8"/>
  <c r="I25" i="8"/>
  <c r="K24" i="8"/>
  <c r="I24" i="8"/>
  <c r="K23" i="8"/>
  <c r="I23" i="8"/>
  <c r="K22" i="8"/>
  <c r="I22" i="8"/>
  <c r="J21" i="8"/>
  <c r="J29" i="8" s="1"/>
  <c r="I21" i="8"/>
  <c r="F21" i="8"/>
  <c r="K20" i="8"/>
  <c r="J20" i="8"/>
  <c r="I20" i="8"/>
  <c r="F20" i="8"/>
  <c r="K19" i="8"/>
  <c r="I19" i="8"/>
  <c r="K18" i="8"/>
  <c r="H18" i="8"/>
  <c r="I18" i="8" s="1"/>
  <c r="K17" i="8"/>
  <c r="I17" i="8"/>
  <c r="K16" i="8"/>
  <c r="I16" i="8"/>
  <c r="K15" i="8"/>
  <c r="I15" i="8"/>
  <c r="J13" i="8"/>
  <c r="E35" i="8" s="1"/>
  <c r="H13" i="8"/>
  <c r="D35" i="8" s="1"/>
  <c r="G13" i="8"/>
  <c r="F13" i="8"/>
  <c r="K1" i="8"/>
  <c r="C71" i="7"/>
  <c r="C73" i="7" s="1"/>
  <c r="C76" i="7" s="1"/>
  <c r="B71" i="7"/>
  <c r="B73" i="7" s="1"/>
  <c r="F48" i="7"/>
  <c r="D48" i="7"/>
  <c r="C48" i="7"/>
  <c r="E48" i="7" s="1"/>
  <c r="F33" i="7"/>
  <c r="D23" i="7" s="1"/>
  <c r="C33" i="7"/>
  <c r="B33" i="7"/>
  <c r="F30" i="7"/>
  <c r="F29" i="7"/>
  <c r="D24" i="7"/>
  <c r="C24" i="7"/>
  <c r="E23" i="7"/>
  <c r="F1" i="7"/>
  <c r="H47" i="11" l="1"/>
  <c r="O52" i="11"/>
  <c r="O208" i="11"/>
  <c r="O107" i="11"/>
  <c r="O157" i="11"/>
  <c r="O42" i="11"/>
  <c r="N42" i="11"/>
  <c r="N51" i="11"/>
  <c r="O51" i="11"/>
  <c r="O32" i="11"/>
  <c r="G176" i="11"/>
  <c r="H176" i="11" s="1"/>
  <c r="G175" i="11"/>
  <c r="H175" i="11" s="1"/>
  <c r="H173" i="11"/>
  <c r="N97" i="11"/>
  <c r="L274" i="11"/>
  <c r="N276" i="11"/>
  <c r="N507" i="11"/>
  <c r="O507" i="11" s="1"/>
  <c r="N30" i="11"/>
  <c r="N34" i="11"/>
  <c r="N38" i="11"/>
  <c r="N48" i="11"/>
  <c r="N91" i="11"/>
  <c r="O100" i="11"/>
  <c r="N167" i="11"/>
  <c r="L169" i="11"/>
  <c r="N169" i="11" s="1"/>
  <c r="O169" i="11" s="1"/>
  <c r="K175" i="11"/>
  <c r="L175" i="11" s="1"/>
  <c r="K176" i="11"/>
  <c r="L176" i="11" s="1"/>
  <c r="N176" i="11" s="1"/>
  <c r="L173" i="11"/>
  <c r="N173" i="11" s="1"/>
  <c r="N223" i="11"/>
  <c r="O223" i="11" s="1"/>
  <c r="O333" i="11"/>
  <c r="N333" i="11"/>
  <c r="N439" i="11"/>
  <c r="N25" i="11"/>
  <c r="H49" i="11"/>
  <c r="N87" i="11"/>
  <c r="O87" i="11" s="1"/>
  <c r="N93" i="11"/>
  <c r="H104" i="11"/>
  <c r="N110" i="11"/>
  <c r="O156" i="11"/>
  <c r="N160" i="11"/>
  <c r="L218" i="11"/>
  <c r="N202" i="11"/>
  <c r="O202" i="11" s="1"/>
  <c r="N236" i="11"/>
  <c r="O236" i="11" s="1"/>
  <c r="O269" i="11"/>
  <c r="N269" i="11"/>
  <c r="N272" i="11"/>
  <c r="N286" i="11"/>
  <c r="O286" i="11" s="1"/>
  <c r="O48" i="11"/>
  <c r="L94" i="11"/>
  <c r="N424" i="11"/>
  <c r="L440" i="11"/>
  <c r="O268" i="11"/>
  <c r="N330" i="11"/>
  <c r="L39" i="11"/>
  <c r="K52" i="11"/>
  <c r="L52" i="11" s="1"/>
  <c r="N52" i="11" s="1"/>
  <c r="O79" i="11"/>
  <c r="N89" i="11"/>
  <c r="N98" i="11"/>
  <c r="O168" i="11"/>
  <c r="O280" i="11"/>
  <c r="L49" i="11"/>
  <c r="O88" i="11"/>
  <c r="H94" i="11"/>
  <c r="O179" i="11"/>
  <c r="N273" i="11"/>
  <c r="N54" i="11"/>
  <c r="O54" i="11" s="1"/>
  <c r="N79" i="11"/>
  <c r="O84" i="11"/>
  <c r="O85" i="11"/>
  <c r="O99" i="11"/>
  <c r="O111" i="11"/>
  <c r="L163" i="11"/>
  <c r="N161" i="11"/>
  <c r="N164" i="11"/>
  <c r="O164" i="11" s="1"/>
  <c r="G230" i="11"/>
  <c r="H230" i="11" s="1"/>
  <c r="H228" i="11"/>
  <c r="O275" i="11"/>
  <c r="N278" i="11"/>
  <c r="O278" i="11"/>
  <c r="K292" i="11"/>
  <c r="L292" i="11" s="1"/>
  <c r="H292" i="11"/>
  <c r="H495" i="11"/>
  <c r="O479" i="11"/>
  <c r="N479" i="11"/>
  <c r="O231" i="11"/>
  <c r="O110" i="11"/>
  <c r="O181" i="11"/>
  <c r="O211" i="11"/>
  <c r="N168" i="11"/>
  <c r="N177" i="11"/>
  <c r="O177" i="11" s="1"/>
  <c r="O24" i="11"/>
  <c r="O95" i="11"/>
  <c r="L104" i="11"/>
  <c r="N104" i="11" s="1"/>
  <c r="K106" i="11"/>
  <c r="L106" i="11" s="1"/>
  <c r="K107" i="11"/>
  <c r="L107" i="11" s="1"/>
  <c r="N107" i="11" s="1"/>
  <c r="O153" i="11"/>
  <c r="N157" i="11"/>
  <c r="N224" i="11"/>
  <c r="O224" i="11" s="1"/>
  <c r="N233" i="11"/>
  <c r="O233" i="11" s="1"/>
  <c r="N270" i="11"/>
  <c r="O324" i="11"/>
  <c r="L385" i="11"/>
  <c r="N328" i="11"/>
  <c r="O346" i="11"/>
  <c r="H385" i="11"/>
  <c r="O394" i="11"/>
  <c r="O400" i="11"/>
  <c r="N400" i="11"/>
  <c r="N211" i="11"/>
  <c r="N268" i="11"/>
  <c r="N322" i="11"/>
  <c r="N325" i="11"/>
  <c r="O500" i="11"/>
  <c r="N546" i="11"/>
  <c r="N179" i="11"/>
  <c r="N208" i="11"/>
  <c r="O264" i="11"/>
  <c r="N280" i="11"/>
  <c r="O443" i="11"/>
  <c r="N443" i="11"/>
  <c r="N505" i="11"/>
  <c r="O505" i="11" s="1"/>
  <c r="O232" i="11"/>
  <c r="N264" i="11"/>
  <c r="J336" i="11"/>
  <c r="L336" i="11" s="1"/>
  <c r="L347" i="11"/>
  <c r="O433" i="11"/>
  <c r="O488" i="11"/>
  <c r="N488" i="11"/>
  <c r="N565" i="11"/>
  <c r="O565" i="11" s="1"/>
  <c r="N213" i="11"/>
  <c r="N216" i="11"/>
  <c r="N346" i="11"/>
  <c r="N430" i="11"/>
  <c r="O430" i="11" s="1"/>
  <c r="L622" i="11"/>
  <c r="N622" i="11" s="1"/>
  <c r="J611" i="11"/>
  <c r="L611" i="11" s="1"/>
  <c r="N611" i="11" s="1"/>
  <c r="O611" i="11" s="1"/>
  <c r="N148" i="11"/>
  <c r="O148" i="11" s="1"/>
  <c r="N150" i="11"/>
  <c r="N152" i="11"/>
  <c r="O212" i="11"/>
  <c r="N219" i="11"/>
  <c r="O227" i="11"/>
  <c r="N271" i="11"/>
  <c r="O279" i="11"/>
  <c r="H284" i="11"/>
  <c r="G287" i="11"/>
  <c r="H287" i="11" s="1"/>
  <c r="H290" i="11"/>
  <c r="K290" i="11"/>
  <c r="L290" i="11" s="1"/>
  <c r="O339" i="11"/>
  <c r="N387" i="11"/>
  <c r="N398" i="11"/>
  <c r="O398" i="11" s="1"/>
  <c r="N401" i="11"/>
  <c r="O401" i="11" s="1"/>
  <c r="L512" i="11"/>
  <c r="N512" i="11" s="1"/>
  <c r="J501" i="11"/>
  <c r="O595" i="11"/>
  <c r="H163" i="11"/>
  <c r="N181" i="11"/>
  <c r="O219" i="11"/>
  <c r="K234" i="11"/>
  <c r="L234" i="11" s="1"/>
  <c r="N234" i="11" s="1"/>
  <c r="H234" i="11"/>
  <c r="N389" i="11"/>
  <c r="L567" i="11"/>
  <c r="J556" i="11"/>
  <c r="L556" i="11" s="1"/>
  <c r="N556" i="11" s="1"/>
  <c r="O556" i="11" s="1"/>
  <c r="O180" i="11"/>
  <c r="H218" i="11"/>
  <c r="L228" i="11"/>
  <c r="N228" i="11" s="1"/>
  <c r="K231" i="11"/>
  <c r="L231" i="11" s="1"/>
  <c r="N231" i="11" s="1"/>
  <c r="K230" i="11"/>
  <c r="L230" i="11" s="1"/>
  <c r="O235" i="11"/>
  <c r="H274" i="11"/>
  <c r="O258" i="11"/>
  <c r="O288" i="11"/>
  <c r="O327" i="11"/>
  <c r="N327" i="11"/>
  <c r="O331" i="11"/>
  <c r="H440" i="11"/>
  <c r="O424" i="11"/>
  <c r="N433" i="11"/>
  <c r="O446" i="11"/>
  <c r="N496" i="11"/>
  <c r="O496" i="11" s="1"/>
  <c r="O592" i="11"/>
  <c r="H605" i="11"/>
  <c r="N324" i="11"/>
  <c r="N342" i="11"/>
  <c r="O342" i="11" s="1"/>
  <c r="N374" i="11"/>
  <c r="N377" i="11"/>
  <c r="G452" i="11"/>
  <c r="H452" i="11" s="1"/>
  <c r="N535" i="11"/>
  <c r="L550" i="11"/>
  <c r="N559" i="11"/>
  <c r="O559" i="11" s="1"/>
  <c r="N602" i="11"/>
  <c r="N320" i="11"/>
  <c r="O320" i="11" s="1"/>
  <c r="N372" i="11"/>
  <c r="L394" i="11"/>
  <c r="N394" i="11" s="1"/>
  <c r="K395" i="11"/>
  <c r="L395" i="11" s="1"/>
  <c r="N395" i="11" s="1"/>
  <c r="O395" i="11" s="1"/>
  <c r="O434" i="11"/>
  <c r="O438" i="11"/>
  <c r="N438" i="11"/>
  <c r="N449" i="11"/>
  <c r="O449" i="11" s="1"/>
  <c r="N489" i="11"/>
  <c r="O489" i="11" s="1"/>
  <c r="K511" i="11"/>
  <c r="L511" i="11" s="1"/>
  <c r="H511" i="11"/>
  <c r="N544" i="11"/>
  <c r="O544" i="11" s="1"/>
  <c r="N590" i="11"/>
  <c r="L605" i="11"/>
  <c r="N609" i="11"/>
  <c r="N343" i="11"/>
  <c r="O343" i="11" s="1"/>
  <c r="N345" i="11"/>
  <c r="O345" i="11" s="1"/>
  <c r="N376" i="11"/>
  <c r="N436" i="11"/>
  <c r="N453" i="11"/>
  <c r="O453" i="11" s="1"/>
  <c r="N455" i="11"/>
  <c r="O455" i="11" s="1"/>
  <c r="O499" i="11"/>
  <c r="N499" i="11"/>
  <c r="L501" i="11"/>
  <c r="N501" i="11" s="1"/>
  <c r="O501" i="11" s="1"/>
  <c r="O555" i="11"/>
  <c r="O560" i="11"/>
  <c r="O563" i="11"/>
  <c r="O606" i="11"/>
  <c r="N620" i="11"/>
  <c r="O620" i="11" s="1"/>
  <c r="K287" i="11"/>
  <c r="L287" i="11" s="1"/>
  <c r="K291" i="11"/>
  <c r="L291" i="11" s="1"/>
  <c r="N291" i="11" s="1"/>
  <c r="O291" i="11" s="1"/>
  <c r="H330" i="11"/>
  <c r="O314" i="11"/>
  <c r="N318" i="11"/>
  <c r="N370" i="11"/>
  <c r="N381" i="11"/>
  <c r="N432" i="11"/>
  <c r="N441" i="11"/>
  <c r="O441" i="11" s="1"/>
  <c r="N452" i="11"/>
  <c r="N485" i="11"/>
  <c r="O485" i="11" s="1"/>
  <c r="O492" i="11"/>
  <c r="N492" i="11"/>
  <c r="H550" i="11"/>
  <c r="N534" i="11"/>
  <c r="O534" i="11" s="1"/>
  <c r="N549" i="11"/>
  <c r="N594" i="11"/>
  <c r="N599" i="11"/>
  <c r="N601" i="11"/>
  <c r="N617" i="11"/>
  <c r="O617" i="11" s="1"/>
  <c r="H391" i="11"/>
  <c r="N391" i="11" s="1"/>
  <c r="O509" i="11"/>
  <c r="N541" i="11"/>
  <c r="N553" i="11"/>
  <c r="O615" i="11"/>
  <c r="H386" i="11"/>
  <c r="N386" i="11" s="1"/>
  <c r="N428" i="11"/>
  <c r="L495" i="11"/>
  <c r="N548" i="11"/>
  <c r="N592" i="11"/>
  <c r="N618" i="11"/>
  <c r="O618" i="11" s="1"/>
  <c r="K621" i="11"/>
  <c r="L621" i="11" s="1"/>
  <c r="H621" i="11"/>
  <c r="N384" i="11"/>
  <c r="N435" i="11"/>
  <c r="N543" i="11"/>
  <c r="O543" i="11" s="1"/>
  <c r="N545" i="11"/>
  <c r="H562" i="11"/>
  <c r="O566" i="11"/>
  <c r="O619" i="11"/>
  <c r="N426" i="11"/>
  <c r="L450" i="11"/>
  <c r="N450" i="11" s="1"/>
  <c r="O450" i="11" s="1"/>
  <c r="N540" i="11"/>
  <c r="O540" i="11" s="1"/>
  <c r="N552" i="11"/>
  <c r="O564" i="11"/>
  <c r="N597" i="11"/>
  <c r="H622" i="11"/>
  <c r="H567" i="11"/>
  <c r="H18" i="10"/>
  <c r="H20" i="10" s="1"/>
  <c r="H24" i="10" s="1"/>
  <c r="H28" i="10" s="1"/>
  <c r="K29" i="8"/>
  <c r="J30" i="8"/>
  <c r="K21" i="8"/>
  <c r="H30" i="8"/>
  <c r="K30" i="8" s="1"/>
  <c r="B76" i="7"/>
  <c r="D31" i="7"/>
  <c r="E24" i="7"/>
  <c r="B23" i="7"/>
  <c r="C23" i="7"/>
  <c r="C27" i="7" s="1"/>
  <c r="I1" i="1"/>
  <c r="M1" i="4"/>
  <c r="G64" i="6"/>
  <c r="C64" i="6"/>
  <c r="E63" i="6"/>
  <c r="F62" i="6"/>
  <c r="H62" i="6" s="1"/>
  <c r="E62" i="6"/>
  <c r="F61" i="6"/>
  <c r="H61" i="6" s="1"/>
  <c r="E61" i="6"/>
  <c r="F60" i="6"/>
  <c r="H60" i="6" s="1"/>
  <c r="E60" i="6"/>
  <c r="F59" i="6"/>
  <c r="H59" i="6" s="1"/>
  <c r="E59" i="6"/>
  <c r="F58" i="6"/>
  <c r="H58" i="6" s="1"/>
  <c r="E58" i="6"/>
  <c r="F57" i="6"/>
  <c r="H57" i="6" s="1"/>
  <c r="E57" i="6"/>
  <c r="H56" i="6"/>
  <c r="F56" i="6"/>
  <c r="E56" i="6"/>
  <c r="F55" i="6"/>
  <c r="H55" i="6" s="1"/>
  <c r="E55" i="6"/>
  <c r="F54" i="6"/>
  <c r="H54" i="6" s="1"/>
  <c r="E54" i="6"/>
  <c r="F53" i="6"/>
  <c r="H53" i="6" s="1"/>
  <c r="E53" i="6"/>
  <c r="F52" i="6"/>
  <c r="H52" i="6" s="1"/>
  <c r="E52" i="6"/>
  <c r="F51" i="6"/>
  <c r="H51" i="6" s="1"/>
  <c r="E51" i="6"/>
  <c r="F50" i="6"/>
  <c r="H50" i="6" s="1"/>
  <c r="E50" i="6"/>
  <c r="F49" i="6"/>
  <c r="H49" i="6" s="1"/>
  <c r="E49" i="6"/>
  <c r="F48" i="6"/>
  <c r="H48" i="6" s="1"/>
  <c r="E48" i="6"/>
  <c r="F47" i="6"/>
  <c r="H47" i="6" s="1"/>
  <c r="E47" i="6"/>
  <c r="F46" i="6"/>
  <c r="H46" i="6" s="1"/>
  <c r="E46" i="6"/>
  <c r="F45" i="6"/>
  <c r="H45" i="6" s="1"/>
  <c r="E45" i="6"/>
  <c r="F44" i="6"/>
  <c r="H44" i="6" s="1"/>
  <c r="E44" i="6"/>
  <c r="F43" i="6"/>
  <c r="H43" i="6" s="1"/>
  <c r="E43" i="6"/>
  <c r="F42" i="6"/>
  <c r="H42" i="6" s="1"/>
  <c r="E42" i="6"/>
  <c r="F41" i="6"/>
  <c r="H41" i="6" s="1"/>
  <c r="E41" i="6"/>
  <c r="F40" i="6"/>
  <c r="H40" i="6" s="1"/>
  <c r="E40" i="6"/>
  <c r="F39" i="6"/>
  <c r="H39" i="6" s="1"/>
  <c r="E39" i="6"/>
  <c r="F38" i="6"/>
  <c r="H38" i="6" s="1"/>
  <c r="E38" i="6"/>
  <c r="F37" i="6"/>
  <c r="H37" i="6" s="1"/>
  <c r="E37" i="6"/>
  <c r="F36" i="6"/>
  <c r="H36" i="6" s="1"/>
  <c r="E36" i="6"/>
  <c r="F35" i="6"/>
  <c r="H35" i="6" s="1"/>
  <c r="E35" i="6"/>
  <c r="F34" i="6"/>
  <c r="H34" i="6" s="1"/>
  <c r="E34" i="6"/>
  <c r="F33" i="6"/>
  <c r="H33" i="6" s="1"/>
  <c r="E33" i="6"/>
  <c r="F32" i="6"/>
  <c r="H32" i="6" s="1"/>
  <c r="E32" i="6"/>
  <c r="F31" i="6"/>
  <c r="H31" i="6" s="1"/>
  <c r="E31" i="6"/>
  <c r="F30" i="6"/>
  <c r="H30" i="6" s="1"/>
  <c r="E30" i="6"/>
  <c r="F29" i="6"/>
  <c r="H29" i="6" s="1"/>
  <c r="E29" i="6"/>
  <c r="F28" i="6"/>
  <c r="H28" i="6" s="1"/>
  <c r="E28" i="6"/>
  <c r="F27" i="6"/>
  <c r="H27" i="6" s="1"/>
  <c r="E27" i="6"/>
  <c r="F26" i="6"/>
  <c r="H26" i="6" s="1"/>
  <c r="E26" i="6"/>
  <c r="F25" i="6"/>
  <c r="H25" i="6" s="1"/>
  <c r="E25" i="6"/>
  <c r="F24" i="6"/>
  <c r="H24" i="6" s="1"/>
  <c r="E24" i="6"/>
  <c r="F23" i="6"/>
  <c r="H23" i="6" s="1"/>
  <c r="E23" i="6"/>
  <c r="F22" i="6"/>
  <c r="H22" i="6" s="1"/>
  <c r="E22" i="6"/>
  <c r="F21" i="6"/>
  <c r="H21" i="6" s="1"/>
  <c r="E21" i="6"/>
  <c r="F20" i="6"/>
  <c r="H20" i="6" s="1"/>
  <c r="E20" i="6"/>
  <c r="H19" i="6"/>
  <c r="F19" i="6"/>
  <c r="E19" i="6"/>
  <c r="F18" i="6"/>
  <c r="H18" i="6" s="1"/>
  <c r="E18" i="6"/>
  <c r="F17" i="6"/>
  <c r="E17" i="6"/>
  <c r="F16" i="6"/>
  <c r="H16" i="6" s="1"/>
  <c r="E16" i="6"/>
  <c r="H1" i="6"/>
  <c r="N65" i="5"/>
  <c r="K65" i="5"/>
  <c r="D65" i="5"/>
  <c r="M63" i="5"/>
  <c r="I63" i="5"/>
  <c r="H63" i="5"/>
  <c r="G63" i="5"/>
  <c r="E63" i="5"/>
  <c r="C63" i="5"/>
  <c r="M62" i="5"/>
  <c r="I62" i="5"/>
  <c r="G62" i="5"/>
  <c r="E62" i="5"/>
  <c r="H62" i="5" s="1"/>
  <c r="J62" i="5" s="1"/>
  <c r="L62" i="5" s="1"/>
  <c r="C62" i="5"/>
  <c r="M61" i="5"/>
  <c r="O61" i="5" s="1"/>
  <c r="J61" i="5"/>
  <c r="L61" i="5" s="1"/>
  <c r="I61" i="5"/>
  <c r="G61" i="5"/>
  <c r="C61" i="5"/>
  <c r="E61" i="5" s="1"/>
  <c r="H61" i="5" s="1"/>
  <c r="M60" i="5"/>
  <c r="I60" i="5"/>
  <c r="G60" i="5"/>
  <c r="C60" i="5"/>
  <c r="E60" i="5" s="1"/>
  <c r="H60" i="5" s="1"/>
  <c r="J60" i="5" s="1"/>
  <c r="L60" i="5" s="1"/>
  <c r="M59" i="5"/>
  <c r="O59" i="5" s="1"/>
  <c r="I59" i="5"/>
  <c r="G59" i="5"/>
  <c r="C59" i="5"/>
  <c r="E59" i="5" s="1"/>
  <c r="H59" i="5" s="1"/>
  <c r="J59" i="5" s="1"/>
  <c r="L59" i="5" s="1"/>
  <c r="O58" i="5"/>
  <c r="M58" i="5"/>
  <c r="I58" i="5"/>
  <c r="G58" i="5"/>
  <c r="C58" i="5"/>
  <c r="E58" i="5" s="1"/>
  <c r="H58" i="5" s="1"/>
  <c r="J58" i="5" s="1"/>
  <c r="L58" i="5" s="1"/>
  <c r="M57" i="5"/>
  <c r="I57" i="5"/>
  <c r="G57" i="5"/>
  <c r="E57" i="5"/>
  <c r="H57" i="5" s="1"/>
  <c r="J57" i="5" s="1"/>
  <c r="L57" i="5" s="1"/>
  <c r="C57" i="5"/>
  <c r="M56" i="5"/>
  <c r="I56" i="5"/>
  <c r="G56" i="5"/>
  <c r="C56" i="5"/>
  <c r="E56" i="5" s="1"/>
  <c r="H56" i="5" s="1"/>
  <c r="M55" i="5"/>
  <c r="I55" i="5"/>
  <c r="H55" i="5"/>
  <c r="G55" i="5"/>
  <c r="E55" i="5"/>
  <c r="C55" i="5"/>
  <c r="M54" i="5"/>
  <c r="O54" i="5" s="1"/>
  <c r="I54" i="5"/>
  <c r="G54" i="5"/>
  <c r="E54" i="5"/>
  <c r="H54" i="5" s="1"/>
  <c r="C54" i="5"/>
  <c r="M53" i="5"/>
  <c r="O53" i="5" s="1"/>
  <c r="J53" i="5"/>
  <c r="L53" i="5" s="1"/>
  <c r="I53" i="5"/>
  <c r="G53" i="5"/>
  <c r="C53" i="5"/>
  <c r="E53" i="5" s="1"/>
  <c r="H53" i="5" s="1"/>
  <c r="M52" i="5"/>
  <c r="I52" i="5"/>
  <c r="G52" i="5"/>
  <c r="C52" i="5"/>
  <c r="E52" i="5" s="1"/>
  <c r="H52" i="5" s="1"/>
  <c r="J52" i="5" s="1"/>
  <c r="L52" i="5" s="1"/>
  <c r="M51" i="5"/>
  <c r="O51" i="5" s="1"/>
  <c r="I51" i="5"/>
  <c r="G51" i="5"/>
  <c r="C51" i="5"/>
  <c r="E51" i="5" s="1"/>
  <c r="H51" i="5" s="1"/>
  <c r="J51" i="5" s="1"/>
  <c r="L51" i="5" s="1"/>
  <c r="M50" i="5"/>
  <c r="I50" i="5"/>
  <c r="G50" i="5"/>
  <c r="C50" i="5"/>
  <c r="E50" i="5" s="1"/>
  <c r="H50" i="5" s="1"/>
  <c r="J50" i="5" s="1"/>
  <c r="L50" i="5" s="1"/>
  <c r="M49" i="5"/>
  <c r="O49" i="5" s="1"/>
  <c r="I49" i="5"/>
  <c r="G49" i="5"/>
  <c r="E49" i="5"/>
  <c r="H49" i="5" s="1"/>
  <c r="J49" i="5" s="1"/>
  <c r="L49" i="5" s="1"/>
  <c r="C49" i="5"/>
  <c r="M48" i="5"/>
  <c r="O48" i="5" s="1"/>
  <c r="I48" i="5"/>
  <c r="G48" i="5"/>
  <c r="C48" i="5"/>
  <c r="E48" i="5" s="1"/>
  <c r="H48" i="5" s="1"/>
  <c r="J48" i="5" s="1"/>
  <c r="L48" i="5" s="1"/>
  <c r="M47" i="5"/>
  <c r="I47" i="5"/>
  <c r="G47" i="5"/>
  <c r="C47" i="5"/>
  <c r="E47" i="5" s="1"/>
  <c r="H47" i="5" s="1"/>
  <c r="M46" i="5"/>
  <c r="O46" i="5" s="1"/>
  <c r="I46" i="5"/>
  <c r="G46" i="5"/>
  <c r="E46" i="5"/>
  <c r="H46" i="5" s="1"/>
  <c r="C46" i="5"/>
  <c r="M45" i="5"/>
  <c r="I45" i="5"/>
  <c r="G45" i="5"/>
  <c r="C45" i="5"/>
  <c r="E45" i="5" s="1"/>
  <c r="H45" i="5" s="1"/>
  <c r="J45" i="5" s="1"/>
  <c r="L45" i="5" s="1"/>
  <c r="M44" i="5"/>
  <c r="I44" i="5"/>
  <c r="G44" i="5"/>
  <c r="C44" i="5"/>
  <c r="E44" i="5" s="1"/>
  <c r="H44" i="5" s="1"/>
  <c r="J44" i="5" s="1"/>
  <c r="L44" i="5" s="1"/>
  <c r="M43" i="5"/>
  <c r="O43" i="5" s="1"/>
  <c r="I43" i="5"/>
  <c r="G43" i="5"/>
  <c r="C43" i="5"/>
  <c r="E43" i="5" s="1"/>
  <c r="H43" i="5" s="1"/>
  <c r="J43" i="5" s="1"/>
  <c r="L43" i="5" s="1"/>
  <c r="M42" i="5"/>
  <c r="I42" i="5"/>
  <c r="G42" i="5"/>
  <c r="C42" i="5"/>
  <c r="E42" i="5" s="1"/>
  <c r="H42" i="5" s="1"/>
  <c r="J42" i="5" s="1"/>
  <c r="L42" i="5" s="1"/>
  <c r="M41" i="5"/>
  <c r="O41" i="5" s="1"/>
  <c r="I41" i="5"/>
  <c r="G41" i="5"/>
  <c r="E41" i="5"/>
  <c r="H41" i="5" s="1"/>
  <c r="J41" i="5" s="1"/>
  <c r="L41" i="5" s="1"/>
  <c r="C41" i="5"/>
  <c r="M40" i="5"/>
  <c r="I40" i="5"/>
  <c r="G40" i="5"/>
  <c r="C40" i="5"/>
  <c r="E40" i="5" s="1"/>
  <c r="H40" i="5" s="1"/>
  <c r="J40" i="5" s="1"/>
  <c r="L40" i="5" s="1"/>
  <c r="M39" i="5"/>
  <c r="I39" i="5"/>
  <c r="H39" i="5"/>
  <c r="G39" i="5"/>
  <c r="C39" i="5"/>
  <c r="E39" i="5" s="1"/>
  <c r="M38" i="5"/>
  <c r="O38" i="5" s="1"/>
  <c r="I38" i="5"/>
  <c r="J38" i="5" s="1"/>
  <c r="L38" i="5" s="1"/>
  <c r="H38" i="5"/>
  <c r="G38" i="5"/>
  <c r="C38" i="5"/>
  <c r="M37" i="5"/>
  <c r="O37" i="5" s="1"/>
  <c r="I37" i="5"/>
  <c r="J37" i="5" s="1"/>
  <c r="L37" i="5" s="1"/>
  <c r="H37" i="5"/>
  <c r="G37" i="5"/>
  <c r="C37" i="5"/>
  <c r="M36" i="5"/>
  <c r="O36" i="5" s="1"/>
  <c r="I36" i="5"/>
  <c r="G36" i="5"/>
  <c r="E36" i="5"/>
  <c r="H36" i="5" s="1"/>
  <c r="C36" i="5"/>
  <c r="M35" i="5"/>
  <c r="I35" i="5"/>
  <c r="G35" i="5"/>
  <c r="C35" i="5"/>
  <c r="E35" i="5" s="1"/>
  <c r="H35" i="5" s="1"/>
  <c r="J35" i="5" s="1"/>
  <c r="L35" i="5" s="1"/>
  <c r="M34" i="5"/>
  <c r="I34" i="5"/>
  <c r="G34" i="5"/>
  <c r="C34" i="5"/>
  <c r="E34" i="5" s="1"/>
  <c r="H34" i="5" s="1"/>
  <c r="J34" i="5" s="1"/>
  <c r="L34" i="5" s="1"/>
  <c r="M33" i="5"/>
  <c r="O33" i="5" s="1"/>
  <c r="I33" i="5"/>
  <c r="G33" i="5"/>
  <c r="C33" i="5"/>
  <c r="E33" i="5" s="1"/>
  <c r="H33" i="5" s="1"/>
  <c r="J33" i="5" s="1"/>
  <c r="L33" i="5" s="1"/>
  <c r="M32" i="5"/>
  <c r="I32" i="5"/>
  <c r="G32" i="5"/>
  <c r="C32" i="5"/>
  <c r="E32" i="5" s="1"/>
  <c r="H32" i="5" s="1"/>
  <c r="J32" i="5" s="1"/>
  <c r="L32" i="5" s="1"/>
  <c r="M31" i="5"/>
  <c r="O31" i="5" s="1"/>
  <c r="I31" i="5"/>
  <c r="G31" i="5"/>
  <c r="E31" i="5"/>
  <c r="H31" i="5" s="1"/>
  <c r="J31" i="5" s="1"/>
  <c r="L31" i="5" s="1"/>
  <c r="C31" i="5"/>
  <c r="M30" i="5"/>
  <c r="O30" i="5" s="1"/>
  <c r="I30" i="5"/>
  <c r="H30" i="5"/>
  <c r="J30" i="5" s="1"/>
  <c r="L30" i="5" s="1"/>
  <c r="G30" i="5"/>
  <c r="C30" i="5"/>
  <c r="M29" i="5"/>
  <c r="O29" i="5" s="1"/>
  <c r="I29" i="5"/>
  <c r="G29" i="5"/>
  <c r="C29" i="5"/>
  <c r="E29" i="5" s="1"/>
  <c r="H29" i="5" s="1"/>
  <c r="J29" i="5" s="1"/>
  <c r="L29" i="5" s="1"/>
  <c r="M28" i="5"/>
  <c r="I28" i="5"/>
  <c r="H28" i="5"/>
  <c r="G28" i="5"/>
  <c r="C28" i="5"/>
  <c r="E28" i="5" s="1"/>
  <c r="M27" i="5"/>
  <c r="I27" i="5"/>
  <c r="G27" i="5"/>
  <c r="E27" i="5"/>
  <c r="H27" i="5" s="1"/>
  <c r="J27" i="5" s="1"/>
  <c r="L27" i="5" s="1"/>
  <c r="C27" i="5"/>
  <c r="M26" i="5"/>
  <c r="O26" i="5" s="1"/>
  <c r="J26" i="5"/>
  <c r="L26" i="5" s="1"/>
  <c r="I26" i="5"/>
  <c r="G26" i="5"/>
  <c r="C26" i="5"/>
  <c r="E26" i="5" s="1"/>
  <c r="H26" i="5" s="1"/>
  <c r="M25" i="5"/>
  <c r="I25" i="5"/>
  <c r="G25" i="5"/>
  <c r="C25" i="5"/>
  <c r="E25" i="5" s="1"/>
  <c r="H25" i="5" s="1"/>
  <c r="J25" i="5" s="1"/>
  <c r="L25" i="5" s="1"/>
  <c r="M24" i="5"/>
  <c r="O24" i="5" s="1"/>
  <c r="I24" i="5"/>
  <c r="G24" i="5"/>
  <c r="C24" i="5"/>
  <c r="E24" i="5" s="1"/>
  <c r="H24" i="5" s="1"/>
  <c r="J24" i="5" s="1"/>
  <c r="L24" i="5" s="1"/>
  <c r="O23" i="5"/>
  <c r="M23" i="5"/>
  <c r="I23" i="5"/>
  <c r="G23" i="5"/>
  <c r="C23" i="5"/>
  <c r="E23" i="5" s="1"/>
  <c r="H23" i="5" s="1"/>
  <c r="J23" i="5" s="1"/>
  <c r="L23" i="5" s="1"/>
  <c r="M22" i="5"/>
  <c r="I22" i="5"/>
  <c r="G22" i="5"/>
  <c r="E22" i="5"/>
  <c r="H22" i="5" s="1"/>
  <c r="J22" i="5" s="1"/>
  <c r="L22" i="5" s="1"/>
  <c r="C22" i="5"/>
  <c r="M21" i="5"/>
  <c r="O21" i="5" s="1"/>
  <c r="I21" i="5"/>
  <c r="G21" i="5"/>
  <c r="C21" i="5"/>
  <c r="E21" i="5" s="1"/>
  <c r="H21" i="5" s="1"/>
  <c r="J21" i="5" s="1"/>
  <c r="L21" i="5" s="1"/>
  <c r="M20" i="5"/>
  <c r="I20" i="5"/>
  <c r="G20" i="5"/>
  <c r="C20" i="5"/>
  <c r="E20" i="5" s="1"/>
  <c r="H20" i="5" s="1"/>
  <c r="M19" i="5"/>
  <c r="O19" i="5" s="1"/>
  <c r="I19" i="5"/>
  <c r="G19" i="5"/>
  <c r="E19" i="5"/>
  <c r="H19" i="5" s="1"/>
  <c r="C19" i="5"/>
  <c r="M18" i="5"/>
  <c r="O18" i="5" s="1"/>
  <c r="J18" i="5"/>
  <c r="L18" i="5" s="1"/>
  <c r="I18" i="5"/>
  <c r="G18" i="5"/>
  <c r="C18" i="5"/>
  <c r="E18" i="5" s="1"/>
  <c r="H18" i="5" s="1"/>
  <c r="M17" i="5"/>
  <c r="I17" i="5"/>
  <c r="G17" i="5"/>
  <c r="C17" i="5"/>
  <c r="M16" i="5"/>
  <c r="I16" i="5"/>
  <c r="J16" i="5" s="1"/>
  <c r="H16" i="5"/>
  <c r="G16" i="5"/>
  <c r="O1" i="5"/>
  <c r="J310" i="4"/>
  <c r="F310" i="4"/>
  <c r="L309" i="4"/>
  <c r="G309" i="4"/>
  <c r="M309" i="4" s="1"/>
  <c r="M308" i="4"/>
  <c r="L308" i="4"/>
  <c r="G308" i="4"/>
  <c r="K307" i="4"/>
  <c r="K310" i="4" s="1"/>
  <c r="J307" i="4"/>
  <c r="I307" i="4"/>
  <c r="I310" i="4" s="1"/>
  <c r="F307" i="4"/>
  <c r="E307" i="4"/>
  <c r="E310" i="4" s="1"/>
  <c r="L305" i="4"/>
  <c r="G305" i="4"/>
  <c r="M305" i="4" s="1"/>
  <c r="L304" i="4"/>
  <c r="M304" i="4" s="1"/>
  <c r="G304" i="4"/>
  <c r="L303" i="4"/>
  <c r="M303" i="4" s="1"/>
  <c r="G303" i="4"/>
  <c r="L302" i="4"/>
  <c r="G302" i="4"/>
  <c r="M302" i="4" s="1"/>
  <c r="L301" i="4"/>
  <c r="G301" i="4"/>
  <c r="M301" i="4" s="1"/>
  <c r="M300" i="4"/>
  <c r="L300" i="4"/>
  <c r="G300" i="4"/>
  <c r="L299" i="4"/>
  <c r="G299" i="4"/>
  <c r="M299" i="4" s="1"/>
  <c r="L298" i="4"/>
  <c r="G298" i="4"/>
  <c r="M298" i="4" s="1"/>
  <c r="L297" i="4"/>
  <c r="G297" i="4"/>
  <c r="M297" i="4" s="1"/>
  <c r="M296" i="4"/>
  <c r="L296" i="4"/>
  <c r="G296" i="4"/>
  <c r="L295" i="4"/>
  <c r="M295" i="4" s="1"/>
  <c r="G295" i="4"/>
  <c r="L294" i="4"/>
  <c r="G294" i="4"/>
  <c r="M294" i="4" s="1"/>
  <c r="M293" i="4"/>
  <c r="L293" i="4"/>
  <c r="G293" i="4"/>
  <c r="L292" i="4"/>
  <c r="E292" i="4"/>
  <c r="D292" i="4"/>
  <c r="G292" i="4" s="1"/>
  <c r="M292" i="4" s="1"/>
  <c r="M291" i="4"/>
  <c r="L291" i="4"/>
  <c r="G291" i="4"/>
  <c r="E291" i="4"/>
  <c r="D291" i="4"/>
  <c r="L290" i="4"/>
  <c r="G290" i="4"/>
  <c r="M290" i="4" s="1"/>
  <c r="L289" i="4"/>
  <c r="G289" i="4"/>
  <c r="G307" i="4" s="1"/>
  <c r="G310" i="4" s="1"/>
  <c r="M288" i="4"/>
  <c r="L288" i="4"/>
  <c r="G288" i="4"/>
  <c r="J271" i="4"/>
  <c r="J278" i="4" s="1"/>
  <c r="I271" i="4"/>
  <c r="F271" i="4"/>
  <c r="D271" i="4"/>
  <c r="L270" i="4"/>
  <c r="G270" i="4"/>
  <c r="M270" i="4" s="1"/>
  <c r="M269" i="4"/>
  <c r="L269" i="4"/>
  <c r="G269" i="4"/>
  <c r="K268" i="4"/>
  <c r="K271" i="4" s="1"/>
  <c r="J268" i="4"/>
  <c r="I268" i="4"/>
  <c r="F268" i="4"/>
  <c r="E268" i="4"/>
  <c r="E271" i="4" s="1"/>
  <c r="D268" i="4"/>
  <c r="M266" i="4"/>
  <c r="L266" i="4"/>
  <c r="G266" i="4"/>
  <c r="L265" i="4"/>
  <c r="M265" i="4" s="1"/>
  <c r="G265" i="4"/>
  <c r="L264" i="4"/>
  <c r="G264" i="4"/>
  <c r="M264" i="4" s="1"/>
  <c r="M263" i="4"/>
  <c r="L263" i="4"/>
  <c r="G263" i="4"/>
  <c r="M262" i="4"/>
  <c r="L262" i="4"/>
  <c r="G262" i="4"/>
  <c r="L261" i="4"/>
  <c r="G261" i="4"/>
  <c r="M261" i="4" s="1"/>
  <c r="L260" i="4"/>
  <c r="G260" i="4"/>
  <c r="L259" i="4"/>
  <c r="G259" i="4"/>
  <c r="M259" i="4" s="1"/>
  <c r="L258" i="4"/>
  <c r="M258" i="4" s="1"/>
  <c r="G258" i="4"/>
  <c r="L257" i="4"/>
  <c r="M257" i="4" s="1"/>
  <c r="G257" i="4"/>
  <c r="L256" i="4"/>
  <c r="G256" i="4"/>
  <c r="M256" i="4" s="1"/>
  <c r="L255" i="4"/>
  <c r="G255" i="4"/>
  <c r="M255" i="4" s="1"/>
  <c r="M254" i="4"/>
  <c r="L254" i="4"/>
  <c r="G254" i="4"/>
  <c r="L253" i="4"/>
  <c r="G253" i="4"/>
  <c r="M253" i="4" s="1"/>
  <c r="L252" i="4"/>
  <c r="G252" i="4"/>
  <c r="M252" i="4" s="1"/>
  <c r="L251" i="4"/>
  <c r="G251" i="4"/>
  <c r="M251" i="4" s="1"/>
  <c r="M250" i="4"/>
  <c r="L250" i="4"/>
  <c r="G250" i="4"/>
  <c r="L249" i="4"/>
  <c r="M249" i="4" s="1"/>
  <c r="G249" i="4"/>
  <c r="I232" i="4"/>
  <c r="L231" i="4"/>
  <c r="M231" i="4" s="1"/>
  <c r="G231" i="4"/>
  <c r="L230" i="4"/>
  <c r="M230" i="4" s="1"/>
  <c r="G230" i="4"/>
  <c r="K229" i="4"/>
  <c r="K232" i="4" s="1"/>
  <c r="J229" i="4"/>
  <c r="J232" i="4" s="1"/>
  <c r="J239" i="4" s="1"/>
  <c r="I229" i="4"/>
  <c r="F229" i="4"/>
  <c r="F232" i="4" s="1"/>
  <c r="D229" i="4"/>
  <c r="D232" i="4" s="1"/>
  <c r="L227" i="4"/>
  <c r="G227" i="4"/>
  <c r="M227" i="4" s="1"/>
  <c r="L226" i="4"/>
  <c r="G226" i="4"/>
  <c r="L225" i="4"/>
  <c r="G225" i="4"/>
  <c r="M225" i="4" s="1"/>
  <c r="L224" i="4"/>
  <c r="M224" i="4" s="1"/>
  <c r="G224" i="4"/>
  <c r="L223" i="4"/>
  <c r="M223" i="4" s="1"/>
  <c r="G223" i="4"/>
  <c r="L222" i="4"/>
  <c r="G222" i="4"/>
  <c r="M222" i="4" s="1"/>
  <c r="L221" i="4"/>
  <c r="G221" i="4"/>
  <c r="M221" i="4" s="1"/>
  <c r="M220" i="4"/>
  <c r="L220" i="4"/>
  <c r="G220" i="4"/>
  <c r="L219" i="4"/>
  <c r="G219" i="4"/>
  <c r="M219" i="4" s="1"/>
  <c r="L218" i="4"/>
  <c r="G218" i="4"/>
  <c r="M218" i="4" s="1"/>
  <c r="L217" i="4"/>
  <c r="G217" i="4"/>
  <c r="M217" i="4" s="1"/>
  <c r="L216" i="4"/>
  <c r="J216" i="4"/>
  <c r="E216" i="4"/>
  <c r="E229" i="4" s="1"/>
  <c r="E232" i="4" s="1"/>
  <c r="L215" i="4"/>
  <c r="G215" i="4"/>
  <c r="M215" i="4" s="1"/>
  <c r="L214" i="4"/>
  <c r="M214" i="4" s="1"/>
  <c r="G214" i="4"/>
  <c r="L213" i="4"/>
  <c r="M213" i="4" s="1"/>
  <c r="G213" i="4"/>
  <c r="L212" i="4"/>
  <c r="G212" i="4"/>
  <c r="M212" i="4" s="1"/>
  <c r="M211" i="4"/>
  <c r="L211" i="4"/>
  <c r="G211" i="4"/>
  <c r="M210" i="4"/>
  <c r="L210" i="4"/>
  <c r="G210" i="4"/>
  <c r="L209" i="4"/>
  <c r="G209" i="4"/>
  <c r="M209" i="4" s="1"/>
  <c r="M191" i="4"/>
  <c r="L191" i="4"/>
  <c r="G191" i="4"/>
  <c r="L190" i="4"/>
  <c r="G190" i="4"/>
  <c r="M190" i="4" s="1"/>
  <c r="K189" i="4"/>
  <c r="K192" i="4" s="1"/>
  <c r="I189" i="4"/>
  <c r="I192" i="4" s="1"/>
  <c r="F189" i="4"/>
  <c r="F192" i="4" s="1"/>
  <c r="L187" i="4"/>
  <c r="M187" i="4" s="1"/>
  <c r="G187" i="4"/>
  <c r="L186" i="4"/>
  <c r="G186" i="4"/>
  <c r="M186" i="4" s="1"/>
  <c r="L185" i="4"/>
  <c r="G185" i="4"/>
  <c r="M185" i="4" s="1"/>
  <c r="M184" i="4"/>
  <c r="L184" i="4"/>
  <c r="G184" i="4"/>
  <c r="L183" i="4"/>
  <c r="G183" i="4"/>
  <c r="L182" i="4"/>
  <c r="G182" i="4"/>
  <c r="M182" i="4" s="1"/>
  <c r="L181" i="4"/>
  <c r="G181" i="4"/>
  <c r="M181" i="4" s="1"/>
  <c r="L180" i="4"/>
  <c r="M180" i="4" s="1"/>
  <c r="G180" i="4"/>
  <c r="L179" i="4"/>
  <c r="M179" i="4" s="1"/>
  <c r="G179" i="4"/>
  <c r="L178" i="4"/>
  <c r="G178" i="4"/>
  <c r="M178" i="4" s="1"/>
  <c r="M177" i="4"/>
  <c r="L177" i="4"/>
  <c r="G177" i="4"/>
  <c r="J176" i="4"/>
  <c r="J189" i="4" s="1"/>
  <c r="J192" i="4" s="1"/>
  <c r="J199" i="4" s="1"/>
  <c r="I176" i="4"/>
  <c r="L176" i="4" s="1"/>
  <c r="E176" i="4"/>
  <c r="E189" i="4" s="1"/>
  <c r="E192" i="4" s="1"/>
  <c r="D176" i="4"/>
  <c r="D189" i="4" s="1"/>
  <c r="D192" i="4" s="1"/>
  <c r="M175" i="4"/>
  <c r="L175" i="4"/>
  <c r="G175" i="4"/>
  <c r="L174" i="4"/>
  <c r="G174" i="4"/>
  <c r="M174" i="4" s="1"/>
  <c r="L173" i="4"/>
  <c r="G173" i="4"/>
  <c r="M173" i="4" s="1"/>
  <c r="M172" i="4"/>
  <c r="L172" i="4"/>
  <c r="G172" i="4"/>
  <c r="L171" i="4"/>
  <c r="G171" i="4"/>
  <c r="M171" i="4" s="1"/>
  <c r="L170" i="4"/>
  <c r="L189" i="4" s="1"/>
  <c r="L192" i="4" s="1"/>
  <c r="G170" i="4"/>
  <c r="M170" i="4" s="1"/>
  <c r="L169" i="4"/>
  <c r="G169" i="4"/>
  <c r="M169" i="4" s="1"/>
  <c r="M168" i="4"/>
  <c r="L168" i="4"/>
  <c r="G168" i="4"/>
  <c r="J158" i="4"/>
  <c r="K151" i="4"/>
  <c r="I151" i="4"/>
  <c r="E151" i="4"/>
  <c r="L150" i="4"/>
  <c r="G150" i="4"/>
  <c r="M150" i="4" s="1"/>
  <c r="L149" i="4"/>
  <c r="M149" i="4" s="1"/>
  <c r="G149" i="4"/>
  <c r="K148" i="4"/>
  <c r="J148" i="4"/>
  <c r="J151" i="4" s="1"/>
  <c r="I148" i="4"/>
  <c r="F148" i="4"/>
  <c r="F151" i="4" s="1"/>
  <c r="E148" i="4"/>
  <c r="D148" i="4"/>
  <c r="D151" i="4" s="1"/>
  <c r="M146" i="4"/>
  <c r="L146" i="4"/>
  <c r="G146" i="4"/>
  <c r="L145" i="4"/>
  <c r="I63" i="4" s="1"/>
  <c r="L63" i="4" s="1"/>
  <c r="G145" i="4"/>
  <c r="M145" i="4" s="1"/>
  <c r="L144" i="4"/>
  <c r="G144" i="4"/>
  <c r="D62" i="4" s="1"/>
  <c r="G62" i="4" s="1"/>
  <c r="M62" i="4" s="1"/>
  <c r="L143" i="4"/>
  <c r="G143" i="4"/>
  <c r="M143" i="4" s="1"/>
  <c r="L142" i="4"/>
  <c r="I60" i="4" s="1"/>
  <c r="L60" i="4" s="1"/>
  <c r="G142" i="4"/>
  <c r="M142" i="4" s="1"/>
  <c r="L141" i="4"/>
  <c r="I59" i="4" s="1"/>
  <c r="L59" i="4" s="1"/>
  <c r="M59" i="4" s="1"/>
  <c r="G141" i="4"/>
  <c r="L140" i="4"/>
  <c r="G140" i="4"/>
  <c r="M140" i="4" s="1"/>
  <c r="L139" i="4"/>
  <c r="I57" i="4" s="1"/>
  <c r="L57" i="4" s="1"/>
  <c r="G139" i="4"/>
  <c r="M139" i="4" s="1"/>
  <c r="M138" i="4"/>
  <c r="L138" i="4"/>
  <c r="G138" i="4"/>
  <c r="L137" i="4"/>
  <c r="G137" i="4"/>
  <c r="L136" i="4"/>
  <c r="G136" i="4"/>
  <c r="D54" i="4" s="1"/>
  <c r="G54" i="4" s="1"/>
  <c r="M54" i="4" s="1"/>
  <c r="L135" i="4"/>
  <c r="G135" i="4"/>
  <c r="M135" i="4" s="1"/>
  <c r="M134" i="4"/>
  <c r="L134" i="4"/>
  <c r="I52" i="4" s="1"/>
  <c r="L52" i="4" s="1"/>
  <c r="G134" i="4"/>
  <c r="L133" i="4"/>
  <c r="M133" i="4" s="1"/>
  <c r="G133" i="4"/>
  <c r="L132" i="4"/>
  <c r="G132" i="4"/>
  <c r="M132" i="4" s="1"/>
  <c r="M131" i="4"/>
  <c r="L131" i="4"/>
  <c r="I49" i="4" s="1"/>
  <c r="G131" i="4"/>
  <c r="M130" i="4"/>
  <c r="L130" i="4"/>
  <c r="G130" i="4"/>
  <c r="L129" i="4"/>
  <c r="G129" i="4"/>
  <c r="M129" i="4" s="1"/>
  <c r="M128" i="4"/>
  <c r="L128" i="4"/>
  <c r="G128" i="4"/>
  <c r="D46" i="4" s="1"/>
  <c r="G46" i="4" s="1"/>
  <c r="L127" i="4"/>
  <c r="G127" i="4"/>
  <c r="M127" i="4" s="1"/>
  <c r="L126" i="4"/>
  <c r="I44" i="4" s="1"/>
  <c r="L44" i="4" s="1"/>
  <c r="G126" i="4"/>
  <c r="M126" i="4" s="1"/>
  <c r="M125" i="4"/>
  <c r="L125" i="4"/>
  <c r="G125" i="4"/>
  <c r="L124" i="4"/>
  <c r="G124" i="4"/>
  <c r="M124" i="4" s="1"/>
  <c r="L123" i="4"/>
  <c r="I41" i="4" s="1"/>
  <c r="G123" i="4"/>
  <c r="D41" i="4" s="1"/>
  <c r="G41" i="4" s="1"/>
  <c r="M41" i="4" s="1"/>
  <c r="M122" i="4"/>
  <c r="L122" i="4"/>
  <c r="G122" i="4"/>
  <c r="L121" i="4"/>
  <c r="G121" i="4"/>
  <c r="M121" i="4" s="1"/>
  <c r="L120" i="4"/>
  <c r="I38" i="4" s="1"/>
  <c r="L38" i="4" s="1"/>
  <c r="G120" i="4"/>
  <c r="D38" i="4" s="1"/>
  <c r="G38" i="4" s="1"/>
  <c r="M38" i="4" s="1"/>
  <c r="L119" i="4"/>
  <c r="G119" i="4"/>
  <c r="M119" i="4" s="1"/>
  <c r="L118" i="4"/>
  <c r="I36" i="4" s="1"/>
  <c r="L36" i="4" s="1"/>
  <c r="G118" i="4"/>
  <c r="M118" i="4" s="1"/>
  <c r="L117" i="4"/>
  <c r="M117" i="4" s="1"/>
  <c r="G117" i="4"/>
  <c r="L116" i="4"/>
  <c r="G116" i="4"/>
  <c r="M116" i="4" s="1"/>
  <c r="L115" i="4"/>
  <c r="I33" i="4" s="1"/>
  <c r="G115" i="4"/>
  <c r="M115" i="4" s="1"/>
  <c r="M114" i="4"/>
  <c r="L114" i="4"/>
  <c r="G114" i="4"/>
  <c r="L113" i="4"/>
  <c r="I31" i="4" s="1"/>
  <c r="L31" i="4" s="1"/>
  <c r="G113" i="4"/>
  <c r="L112" i="4"/>
  <c r="G112" i="4"/>
  <c r="D30" i="4" s="1"/>
  <c r="G30" i="4" s="1"/>
  <c r="L111" i="4"/>
  <c r="G111" i="4"/>
  <c r="M111" i="4" s="1"/>
  <c r="L110" i="4"/>
  <c r="I28" i="4" s="1"/>
  <c r="L28" i="4" s="1"/>
  <c r="G110" i="4"/>
  <c r="D28" i="4" s="1"/>
  <c r="G28" i="4" s="1"/>
  <c r="L109" i="4"/>
  <c r="M109" i="4" s="1"/>
  <c r="G109" i="4"/>
  <c r="L108" i="4"/>
  <c r="G108" i="4"/>
  <c r="M108" i="4" s="1"/>
  <c r="L107" i="4"/>
  <c r="I25" i="4" s="1"/>
  <c r="G107" i="4"/>
  <c r="D25" i="4" s="1"/>
  <c r="G25" i="4" s="1"/>
  <c r="M25" i="4" s="1"/>
  <c r="M106" i="4"/>
  <c r="L106" i="4"/>
  <c r="G106" i="4"/>
  <c r="L105" i="4"/>
  <c r="G105" i="4"/>
  <c r="M105" i="4" s="1"/>
  <c r="L104" i="4"/>
  <c r="M104" i="4" s="1"/>
  <c r="G104" i="4"/>
  <c r="L103" i="4"/>
  <c r="G103" i="4"/>
  <c r="M103" i="4" s="1"/>
  <c r="L102" i="4"/>
  <c r="G102" i="4"/>
  <c r="M102" i="4" s="1"/>
  <c r="L101" i="4"/>
  <c r="I19" i="4" s="1"/>
  <c r="L19" i="4" s="1"/>
  <c r="M19" i="4" s="1"/>
  <c r="G101" i="4"/>
  <c r="L100" i="4"/>
  <c r="G100" i="4"/>
  <c r="M100" i="4" s="1"/>
  <c r="L99" i="4"/>
  <c r="I17" i="4" s="1"/>
  <c r="L17" i="4" s="1"/>
  <c r="G99" i="4"/>
  <c r="M99" i="4" s="1"/>
  <c r="M98" i="4"/>
  <c r="L98" i="4"/>
  <c r="G98" i="4"/>
  <c r="J69" i="4"/>
  <c r="J76" i="4" s="1"/>
  <c r="F69" i="4"/>
  <c r="E69" i="4"/>
  <c r="L68" i="4"/>
  <c r="G68" i="4"/>
  <c r="M68" i="4" s="1"/>
  <c r="M67" i="4"/>
  <c r="L67" i="4"/>
  <c r="G67" i="4"/>
  <c r="K66" i="4"/>
  <c r="K69" i="4" s="1"/>
  <c r="J66" i="4"/>
  <c r="F66" i="4"/>
  <c r="E66" i="4"/>
  <c r="L64" i="4"/>
  <c r="I64" i="4"/>
  <c r="D64" i="4"/>
  <c r="G64" i="4" s="1"/>
  <c r="M64" i="4" s="1"/>
  <c r="D63" i="4"/>
  <c r="G63" i="4" s="1"/>
  <c r="M63" i="4" s="1"/>
  <c r="I62" i="4"/>
  <c r="L62" i="4" s="1"/>
  <c r="L61" i="4"/>
  <c r="I61" i="4"/>
  <c r="D61" i="4"/>
  <c r="G61" i="4" s="1"/>
  <c r="M61" i="4" s="1"/>
  <c r="D60" i="4"/>
  <c r="G60" i="4" s="1"/>
  <c r="M60" i="4" s="1"/>
  <c r="G59" i="4"/>
  <c r="D59" i="4"/>
  <c r="I58" i="4"/>
  <c r="L58" i="4" s="1"/>
  <c r="D58" i="4"/>
  <c r="G58" i="4" s="1"/>
  <c r="M58" i="4" s="1"/>
  <c r="I56" i="4"/>
  <c r="L56" i="4" s="1"/>
  <c r="D56" i="4"/>
  <c r="G56" i="4" s="1"/>
  <c r="M56" i="4" s="1"/>
  <c r="I55" i="4"/>
  <c r="L55" i="4" s="1"/>
  <c r="D55" i="4"/>
  <c r="G55" i="4" s="1"/>
  <c r="M55" i="4" s="1"/>
  <c r="I54" i="4"/>
  <c r="L54" i="4" s="1"/>
  <c r="L53" i="4"/>
  <c r="I53" i="4"/>
  <c r="D53" i="4"/>
  <c r="G53" i="4" s="1"/>
  <c r="M53" i="4" s="1"/>
  <c r="D52" i="4"/>
  <c r="G52" i="4" s="1"/>
  <c r="M52" i="4" s="1"/>
  <c r="L51" i="4"/>
  <c r="M51" i="4" s="1"/>
  <c r="I51" i="4"/>
  <c r="G51" i="4"/>
  <c r="D51" i="4"/>
  <c r="I50" i="4"/>
  <c r="L50" i="4" s="1"/>
  <c r="D50" i="4"/>
  <c r="G50" i="4" s="1"/>
  <c r="M50" i="4" s="1"/>
  <c r="M49" i="4"/>
  <c r="L49" i="4"/>
  <c r="D49" i="4"/>
  <c r="G49" i="4" s="1"/>
  <c r="I48" i="4"/>
  <c r="L48" i="4" s="1"/>
  <c r="D48" i="4"/>
  <c r="G48" i="4" s="1"/>
  <c r="M48" i="4" s="1"/>
  <c r="I47" i="4"/>
  <c r="L47" i="4" s="1"/>
  <c r="I46" i="4"/>
  <c r="L46" i="4" s="1"/>
  <c r="M46" i="4" s="1"/>
  <c r="I45" i="4"/>
  <c r="L45" i="4" s="1"/>
  <c r="M45" i="4" s="1"/>
  <c r="G45" i="4"/>
  <c r="D45" i="4"/>
  <c r="I43" i="4"/>
  <c r="L43" i="4" s="1"/>
  <c r="M43" i="4" s="1"/>
  <c r="G43" i="4"/>
  <c r="D43" i="4"/>
  <c r="I42" i="4"/>
  <c r="L42" i="4" s="1"/>
  <c r="D42" i="4"/>
  <c r="G42" i="4" s="1"/>
  <c r="M42" i="4" s="1"/>
  <c r="L41" i="4"/>
  <c r="I40" i="4"/>
  <c r="L40" i="4" s="1"/>
  <c r="D40" i="4"/>
  <c r="G40" i="4" s="1"/>
  <c r="M40" i="4" s="1"/>
  <c r="I39" i="4"/>
  <c r="L39" i="4" s="1"/>
  <c r="G39" i="4"/>
  <c r="M39" i="4" s="1"/>
  <c r="D39" i="4"/>
  <c r="I37" i="4"/>
  <c r="L37" i="4" s="1"/>
  <c r="G37" i="4"/>
  <c r="M37" i="4" s="1"/>
  <c r="D37" i="4"/>
  <c r="D36" i="4"/>
  <c r="G36" i="4" s="1"/>
  <c r="M36" i="4" s="1"/>
  <c r="I35" i="4"/>
  <c r="L35" i="4" s="1"/>
  <c r="G35" i="4"/>
  <c r="M35" i="4" s="1"/>
  <c r="D35" i="4"/>
  <c r="I34" i="4"/>
  <c r="L34" i="4" s="1"/>
  <c r="D34" i="4"/>
  <c r="G34" i="4" s="1"/>
  <c r="L33" i="4"/>
  <c r="D33" i="4"/>
  <c r="G33" i="4" s="1"/>
  <c r="M33" i="4" s="1"/>
  <c r="I32" i="4"/>
  <c r="L32" i="4" s="1"/>
  <c r="D32" i="4"/>
  <c r="G32" i="4" s="1"/>
  <c r="M32" i="4" s="1"/>
  <c r="D31" i="4"/>
  <c r="G31" i="4" s="1"/>
  <c r="M31" i="4" s="1"/>
  <c r="I30" i="4"/>
  <c r="L30" i="4" s="1"/>
  <c r="M30" i="4" s="1"/>
  <c r="I29" i="4"/>
  <c r="L29" i="4" s="1"/>
  <c r="D29" i="4"/>
  <c r="G29" i="4" s="1"/>
  <c r="I27" i="4"/>
  <c r="L27" i="4" s="1"/>
  <c r="G27" i="4"/>
  <c r="M27" i="4" s="1"/>
  <c r="D27" i="4"/>
  <c r="I26" i="4"/>
  <c r="L26" i="4" s="1"/>
  <c r="D26" i="4"/>
  <c r="G26" i="4" s="1"/>
  <c r="M26" i="4" s="1"/>
  <c r="L25" i="4"/>
  <c r="I24" i="4"/>
  <c r="L24" i="4" s="1"/>
  <c r="D24" i="4"/>
  <c r="G24" i="4" s="1"/>
  <c r="L23" i="4"/>
  <c r="I23" i="4"/>
  <c r="D22" i="4"/>
  <c r="G22" i="4" s="1"/>
  <c r="L21" i="4"/>
  <c r="I21" i="4"/>
  <c r="D21" i="4"/>
  <c r="G21" i="4" s="1"/>
  <c r="M21" i="4" s="1"/>
  <c r="I20" i="4"/>
  <c r="L20" i="4" s="1"/>
  <c r="D20" i="4"/>
  <c r="G20" i="4" s="1"/>
  <c r="M20" i="4" s="1"/>
  <c r="G19" i="4"/>
  <c r="D19" i="4"/>
  <c r="I18" i="4"/>
  <c r="L18" i="4" s="1"/>
  <c r="M18" i="4" s="1"/>
  <c r="G18" i="4"/>
  <c r="D18" i="4"/>
  <c r="D17" i="4"/>
  <c r="G17" i="4" s="1"/>
  <c r="M17" i="4" s="1"/>
  <c r="L16" i="4"/>
  <c r="I16" i="4"/>
  <c r="D16" i="4"/>
  <c r="F64" i="6" l="1"/>
  <c r="F65" i="6" s="1"/>
  <c r="N336" i="11"/>
  <c r="O336" i="11" s="1"/>
  <c r="L338" i="11"/>
  <c r="O495" i="11"/>
  <c r="H503" i="11"/>
  <c r="N94" i="11"/>
  <c r="L102" i="11"/>
  <c r="H393" i="11"/>
  <c r="O385" i="11"/>
  <c r="N163" i="11"/>
  <c r="L171" i="11"/>
  <c r="O49" i="11"/>
  <c r="L282" i="11"/>
  <c r="N274" i="11"/>
  <c r="O163" i="11"/>
  <c r="H171" i="11"/>
  <c r="N347" i="11"/>
  <c r="O347" i="11" s="1"/>
  <c r="N218" i="11"/>
  <c r="L226" i="11"/>
  <c r="O622" i="11"/>
  <c r="O274" i="11"/>
  <c r="H282" i="11"/>
  <c r="H102" i="11"/>
  <c r="O94" i="11"/>
  <c r="L448" i="11"/>
  <c r="N440" i="11"/>
  <c r="N175" i="11"/>
  <c r="O511" i="11"/>
  <c r="L558" i="11"/>
  <c r="N550" i="11"/>
  <c r="O550" i="11" s="1"/>
  <c r="O440" i="11"/>
  <c r="H448" i="11"/>
  <c r="O173" i="11"/>
  <c r="N562" i="11"/>
  <c r="O562" i="11" s="1"/>
  <c r="H558" i="11"/>
  <c r="N287" i="11"/>
  <c r="O287" i="11" s="1"/>
  <c r="N511" i="11"/>
  <c r="O605" i="11"/>
  <c r="H613" i="11"/>
  <c r="N230" i="11"/>
  <c r="O230" i="11" s="1"/>
  <c r="N290" i="11"/>
  <c r="O228" i="11"/>
  <c r="N49" i="11"/>
  <c r="L47" i="11"/>
  <c r="N39" i="11"/>
  <c r="O39" i="11" s="1"/>
  <c r="O175" i="11"/>
  <c r="H50" i="11"/>
  <c r="L503" i="11"/>
  <c r="N495" i="11"/>
  <c r="N106" i="11"/>
  <c r="O106" i="11" s="1"/>
  <c r="H226" i="11"/>
  <c r="O218" i="11"/>
  <c r="O284" i="11"/>
  <c r="N284" i="11"/>
  <c r="O386" i="11"/>
  <c r="N605" i="11"/>
  <c r="L613" i="11"/>
  <c r="N292" i="11"/>
  <c r="O292" i="11" s="1"/>
  <c r="O567" i="11"/>
  <c r="O621" i="11"/>
  <c r="N621" i="11"/>
  <c r="H338" i="11"/>
  <c r="O330" i="11"/>
  <c r="N567" i="11"/>
  <c r="O391" i="11"/>
  <c r="O452" i="11"/>
  <c r="O234" i="11"/>
  <c r="O290" i="11"/>
  <c r="N385" i="11"/>
  <c r="L393" i="11"/>
  <c r="O104" i="11"/>
  <c r="O176" i="11"/>
  <c r="I30" i="8"/>
  <c r="F24" i="7"/>
  <c r="D25" i="7"/>
  <c r="D33" i="7"/>
  <c r="E32" i="7"/>
  <c r="E31" i="7"/>
  <c r="B27" i="7"/>
  <c r="F23" i="7"/>
  <c r="H17" i="6"/>
  <c r="H64" i="6" s="1"/>
  <c r="J20" i="5"/>
  <c r="L20" i="5" s="1"/>
  <c r="O20" i="5"/>
  <c r="O47" i="5"/>
  <c r="J47" i="5"/>
  <c r="L47" i="5" s="1"/>
  <c r="L16" i="5"/>
  <c r="O16" i="5"/>
  <c r="M65" i="5"/>
  <c r="J28" i="5"/>
  <c r="L28" i="5" s="1"/>
  <c r="O28" i="5"/>
  <c r="J63" i="5"/>
  <c r="L63" i="5" s="1"/>
  <c r="O63" i="5"/>
  <c r="J55" i="5"/>
  <c r="L55" i="5" s="1"/>
  <c r="O55" i="5"/>
  <c r="O25" i="5"/>
  <c r="O35" i="5"/>
  <c r="O40" i="5"/>
  <c r="O45" i="5"/>
  <c r="O50" i="5"/>
  <c r="J54" i="5"/>
  <c r="L54" i="5" s="1"/>
  <c r="O60" i="5"/>
  <c r="J19" i="5"/>
  <c r="L19" i="5" s="1"/>
  <c r="O52" i="5"/>
  <c r="C65" i="5"/>
  <c r="O22" i="5"/>
  <c r="O27" i="5"/>
  <c r="O32" i="5"/>
  <c r="J36" i="5"/>
  <c r="L36" i="5" s="1"/>
  <c r="J39" i="5"/>
  <c r="L39" i="5" s="1"/>
  <c r="O39" i="5"/>
  <c r="O42" i="5"/>
  <c r="J46" i="5"/>
  <c r="L46" i="5" s="1"/>
  <c r="O56" i="5"/>
  <c r="J56" i="5"/>
  <c r="L56" i="5" s="1"/>
  <c r="O57" i="5"/>
  <c r="O62" i="5"/>
  <c r="I65" i="5"/>
  <c r="O34" i="5"/>
  <c r="O44" i="5"/>
  <c r="E17" i="5"/>
  <c r="H17" i="5" s="1"/>
  <c r="M22" i="4"/>
  <c r="M268" i="4"/>
  <c r="M271" i="4" s="1"/>
  <c r="M307" i="4"/>
  <c r="M310" i="4" s="1"/>
  <c r="M24" i="4"/>
  <c r="M29" i="4"/>
  <c r="M34" i="4"/>
  <c r="M28" i="4"/>
  <c r="L66" i="4"/>
  <c r="L69" i="4" s="1"/>
  <c r="M110" i="4"/>
  <c r="I22" i="4"/>
  <c r="L22" i="4" s="1"/>
  <c r="M141" i="4"/>
  <c r="M289" i="4"/>
  <c r="G268" i="4"/>
  <c r="G271" i="4" s="1"/>
  <c r="L268" i="4"/>
  <c r="L271" i="4" s="1"/>
  <c r="M101" i="4"/>
  <c r="M148" i="4" s="1"/>
  <c r="M151" i="4" s="1"/>
  <c r="D44" i="4"/>
  <c r="G44" i="4" s="1"/>
  <c r="M44" i="4" s="1"/>
  <c r="M120" i="4"/>
  <c r="G148" i="4"/>
  <c r="G151" i="4" s="1"/>
  <c r="L229" i="4"/>
  <c r="L232" i="4" s="1"/>
  <c r="D57" i="4"/>
  <c r="G57" i="4" s="1"/>
  <c r="M57" i="4" s="1"/>
  <c r="M136" i="4"/>
  <c r="G189" i="4"/>
  <c r="G192" i="4" s="1"/>
  <c r="G216" i="4"/>
  <c r="M216" i="4" s="1"/>
  <c r="M229" i="4" s="1"/>
  <c r="M232" i="4" s="1"/>
  <c r="G229" i="4"/>
  <c r="G232" i="4" s="1"/>
  <c r="M107" i="4"/>
  <c r="M144" i="4"/>
  <c r="M123" i="4"/>
  <c r="G176" i="4"/>
  <c r="M176" i="4" s="1"/>
  <c r="D23" i="4"/>
  <c r="G23" i="4" s="1"/>
  <c r="M23" i="4" s="1"/>
  <c r="G16" i="4"/>
  <c r="D47" i="4"/>
  <c r="G47" i="4" s="1"/>
  <c r="M47" i="4" s="1"/>
  <c r="M112" i="4"/>
  <c r="M137" i="4"/>
  <c r="M183" i="4"/>
  <c r="L307" i="4"/>
  <c r="L310" i="4" s="1"/>
  <c r="M113" i="4"/>
  <c r="L148" i="4"/>
  <c r="L151" i="4" s="1"/>
  <c r="M189" i="4"/>
  <c r="M192" i="4" s="1"/>
  <c r="M226" i="4"/>
  <c r="M260" i="4"/>
  <c r="D307" i="4"/>
  <c r="D310" i="4" s="1"/>
  <c r="H59" i="11" l="1"/>
  <c r="H105" i="11"/>
  <c r="H174" i="11"/>
  <c r="O393" i="11"/>
  <c r="H396" i="11"/>
  <c r="N558" i="11"/>
  <c r="O558" i="11" s="1"/>
  <c r="L561" i="11"/>
  <c r="O282" i="11"/>
  <c r="H285" i="11"/>
  <c r="L105" i="11"/>
  <c r="N102" i="11"/>
  <c r="O102" i="11" s="1"/>
  <c r="O226" i="11"/>
  <c r="H229" i="11"/>
  <c r="O613" i="11"/>
  <c r="H616" i="11"/>
  <c r="L616" i="11"/>
  <c r="N613" i="11"/>
  <c r="L285" i="11"/>
  <c r="N282" i="11"/>
  <c r="O503" i="11"/>
  <c r="H506" i="11"/>
  <c r="N47" i="11"/>
  <c r="O47" i="11" s="1"/>
  <c r="L50" i="11"/>
  <c r="L229" i="11"/>
  <c r="N226" i="11"/>
  <c r="N393" i="11"/>
  <c r="L396" i="11"/>
  <c r="N171" i="11"/>
  <c r="O171" i="11" s="1"/>
  <c r="L174" i="11"/>
  <c r="H341" i="11"/>
  <c r="L506" i="11"/>
  <c r="N503" i="11"/>
  <c r="H561" i="11"/>
  <c r="H451" i="11"/>
  <c r="L451" i="11"/>
  <c r="N448" i="11"/>
  <c r="O448" i="11" s="1"/>
  <c r="N338" i="11"/>
  <c r="O338" i="11" s="1"/>
  <c r="L341" i="11"/>
  <c r="F32" i="7"/>
  <c r="E26" i="7"/>
  <c r="F26" i="7" s="1"/>
  <c r="E71" i="7"/>
  <c r="E73" i="7" s="1"/>
  <c r="E76" i="7" s="1"/>
  <c r="E25" i="7"/>
  <c r="E27" i="7" s="1"/>
  <c r="E33" i="7"/>
  <c r="D71" i="7"/>
  <c r="F25" i="7"/>
  <c r="D27" i="7"/>
  <c r="F27" i="7" s="1"/>
  <c r="F31" i="7"/>
  <c r="F35" i="7" s="1"/>
  <c r="J17" i="5"/>
  <c r="H65" i="5"/>
  <c r="O17" i="5"/>
  <c r="O65" i="5" s="1"/>
  <c r="M16" i="4"/>
  <c r="M66" i="4" s="1"/>
  <c r="M69" i="4" s="1"/>
  <c r="G66" i="4"/>
  <c r="G69" i="4" s="1"/>
  <c r="D66" i="4"/>
  <c r="D69" i="4" s="1"/>
  <c r="I66" i="4"/>
  <c r="I69" i="4" s="1"/>
  <c r="N506" i="11" l="1"/>
  <c r="L514" i="11"/>
  <c r="N229" i="11"/>
  <c r="O229" i="11" s="1"/>
  <c r="L238" i="11"/>
  <c r="N616" i="11"/>
  <c r="L624" i="11"/>
  <c r="H114" i="11"/>
  <c r="N50" i="11"/>
  <c r="O50" i="11" s="1"/>
  <c r="L59" i="11"/>
  <c r="O616" i="11"/>
  <c r="H624" i="11"/>
  <c r="N561" i="11"/>
  <c r="O561" i="11" s="1"/>
  <c r="L569" i="11"/>
  <c r="H60" i="11"/>
  <c r="H61" i="11"/>
  <c r="N451" i="11"/>
  <c r="O451" i="11" s="1"/>
  <c r="L459" i="11"/>
  <c r="H349" i="11"/>
  <c r="H459" i="11"/>
  <c r="N174" i="11"/>
  <c r="L183" i="11"/>
  <c r="O506" i="11"/>
  <c r="H514" i="11"/>
  <c r="H238" i="11"/>
  <c r="H404" i="11"/>
  <c r="N396" i="11"/>
  <c r="O396" i="11" s="1"/>
  <c r="L404" i="11"/>
  <c r="O174" i="11"/>
  <c r="H183" i="11"/>
  <c r="H569" i="11"/>
  <c r="N285" i="11"/>
  <c r="O285" i="11" s="1"/>
  <c r="L294" i="11"/>
  <c r="N105" i="11"/>
  <c r="O105" i="11" s="1"/>
  <c r="L114" i="11"/>
  <c r="N341" i="11"/>
  <c r="O341" i="11" s="1"/>
  <c r="L349" i="11"/>
  <c r="H294" i="11"/>
  <c r="D73" i="7"/>
  <c r="F71" i="7"/>
  <c r="L17" i="5"/>
  <c r="L65" i="5" s="1"/>
  <c r="J65" i="5"/>
  <c r="N349" i="11" l="1"/>
  <c r="O349" i="11" s="1"/>
  <c r="L350" i="11"/>
  <c r="H184" i="11"/>
  <c r="H515" i="11"/>
  <c r="L460" i="11"/>
  <c r="N460" i="11" s="1"/>
  <c r="N459" i="11"/>
  <c r="L60" i="11"/>
  <c r="N60" i="11" s="1"/>
  <c r="N59" i="11"/>
  <c r="O59" i="11" s="1"/>
  <c r="L61" i="11"/>
  <c r="L515" i="11"/>
  <c r="N515" i="11" s="1"/>
  <c r="L516" i="11"/>
  <c r="N514" i="11"/>
  <c r="O514" i="11" s="1"/>
  <c r="L116" i="11"/>
  <c r="N114" i="11"/>
  <c r="L115" i="11"/>
  <c r="L405" i="11"/>
  <c r="N405" i="11" s="1"/>
  <c r="N404" i="11"/>
  <c r="O404" i="11" s="1"/>
  <c r="N183" i="11"/>
  <c r="O183" i="11" s="1"/>
  <c r="L184" i="11"/>
  <c r="N184" i="11" s="1"/>
  <c r="H62" i="11"/>
  <c r="H63" i="11"/>
  <c r="H115" i="11"/>
  <c r="O114" i="11"/>
  <c r="H116" i="11"/>
  <c r="L295" i="11"/>
  <c r="N294" i="11"/>
  <c r="H405" i="11"/>
  <c r="H406" i="11"/>
  <c r="O459" i="11"/>
  <c r="H460" i="11"/>
  <c r="O60" i="11"/>
  <c r="N569" i="11"/>
  <c r="L570" i="11"/>
  <c r="N570" i="11" s="1"/>
  <c r="L625" i="11"/>
  <c r="N625" i="11" s="1"/>
  <c r="N624" i="11"/>
  <c r="O624" i="11" s="1"/>
  <c r="H295" i="11"/>
  <c r="O294" i="11"/>
  <c r="H570" i="11"/>
  <c r="O569" i="11"/>
  <c r="H571" i="11"/>
  <c r="H239" i="11"/>
  <c r="H350" i="11"/>
  <c r="H625" i="11"/>
  <c r="L239" i="11"/>
  <c r="N239" i="11" s="1"/>
  <c r="N238" i="11"/>
  <c r="O238" i="11" s="1"/>
  <c r="D76" i="7"/>
  <c r="F76" i="7" s="1"/>
  <c r="F73" i="7"/>
  <c r="P19" i="3"/>
  <c r="M19" i="3"/>
  <c r="J19" i="3"/>
  <c r="G19" i="3"/>
  <c r="D19" i="3"/>
  <c r="V18" i="3"/>
  <c r="U18" i="3"/>
  <c r="T18" i="3"/>
  <c r="S18" i="3"/>
  <c r="R18" i="3"/>
  <c r="Q18" i="3"/>
  <c r="O18" i="3"/>
  <c r="P18" i="3" s="1"/>
  <c r="N18" i="3"/>
  <c r="L18" i="3"/>
  <c r="M18" i="3" s="1"/>
  <c r="K18" i="3"/>
  <c r="I18" i="3"/>
  <c r="J18" i="3" s="1"/>
  <c r="H18" i="3"/>
  <c r="F18" i="3"/>
  <c r="G18" i="3" s="1"/>
  <c r="E18" i="3"/>
  <c r="D18" i="3"/>
  <c r="C18" i="3"/>
  <c r="B18" i="3"/>
  <c r="P17" i="3"/>
  <c r="L17" i="3"/>
  <c r="M17" i="3" s="1"/>
  <c r="J17" i="3"/>
  <c r="G17" i="3"/>
  <c r="D17" i="3"/>
  <c r="P16" i="3"/>
  <c r="M16" i="3"/>
  <c r="J16" i="3"/>
  <c r="G16" i="3"/>
  <c r="D16" i="3"/>
  <c r="P15" i="3"/>
  <c r="M15" i="3"/>
  <c r="J15" i="3"/>
  <c r="G15" i="3"/>
  <c r="D15" i="3"/>
  <c r="P14" i="3"/>
  <c r="L14" i="3"/>
  <c r="M14" i="3" s="1"/>
  <c r="J14" i="3"/>
  <c r="G14" i="3"/>
  <c r="D14" i="3"/>
  <c r="B9" i="3"/>
  <c r="R11" i="3" s="1"/>
  <c r="O350" i="11" l="1"/>
  <c r="N295" i="11"/>
  <c r="O295" i="11" s="1"/>
  <c r="N116" i="11"/>
  <c r="L117" i="11"/>
  <c r="N350" i="11"/>
  <c r="H296" i="11"/>
  <c r="O460" i="11"/>
  <c r="L296" i="11"/>
  <c r="L185" i="11"/>
  <c r="L461" i="11"/>
  <c r="L351" i="11"/>
  <c r="L240" i="11"/>
  <c r="O239" i="11"/>
  <c r="H461" i="11"/>
  <c r="H117" i="11"/>
  <c r="O116" i="11"/>
  <c r="H118" i="11"/>
  <c r="L517" i="11"/>
  <c r="L518" i="11"/>
  <c r="H240" i="11"/>
  <c r="O515" i="11"/>
  <c r="O625" i="11"/>
  <c r="H573" i="11"/>
  <c r="L626" i="11"/>
  <c r="H408" i="11"/>
  <c r="L62" i="11"/>
  <c r="N62" i="11" s="1"/>
  <c r="O62" i="11" s="1"/>
  <c r="N61" i="11"/>
  <c r="O61" i="11" s="1"/>
  <c r="L63" i="11"/>
  <c r="N63" i="11" s="1"/>
  <c r="H516" i="11"/>
  <c r="H626" i="11"/>
  <c r="L406" i="11"/>
  <c r="H351" i="11"/>
  <c r="O570" i="11"/>
  <c r="L571" i="11"/>
  <c r="O405" i="11"/>
  <c r="O63" i="11"/>
  <c r="N115" i="11"/>
  <c r="O115" i="11" s="1"/>
  <c r="O184" i="11"/>
  <c r="H185" i="11"/>
  <c r="N11" i="3"/>
  <c r="K11" i="3" s="1"/>
  <c r="H11" i="3" s="1"/>
  <c r="E11" i="3" s="1"/>
  <c r="B11" i="3" s="1"/>
  <c r="S11" i="3"/>
  <c r="T11" i="3" s="1"/>
  <c r="U11" i="3" s="1"/>
  <c r="V11" i="3" s="1"/>
  <c r="E30" i="1"/>
  <c r="E29" i="1"/>
  <c r="E28" i="1"/>
  <c r="E31" i="1" s="1"/>
  <c r="E24" i="1"/>
  <c r="E23" i="1"/>
  <c r="E22" i="1"/>
  <c r="E25" i="1" s="1"/>
  <c r="B17" i="1"/>
  <c r="H517" i="11" l="1"/>
  <c r="O516" i="11"/>
  <c r="N185" i="11"/>
  <c r="L186" i="11"/>
  <c r="L297" i="11"/>
  <c r="N296" i="11"/>
  <c r="O296" i="11" s="1"/>
  <c r="N571" i="11"/>
  <c r="O571" i="11" s="1"/>
  <c r="L573" i="11"/>
  <c r="N573" i="11" s="1"/>
  <c r="O573" i="11" s="1"/>
  <c r="O461" i="11"/>
  <c r="H462" i="11"/>
  <c r="H297" i="11"/>
  <c r="H241" i="11"/>
  <c r="H186" i="11"/>
  <c r="O185" i="11"/>
  <c r="O351" i="11"/>
  <c r="H353" i="11"/>
  <c r="N516" i="11"/>
  <c r="L241" i="11"/>
  <c r="N241" i="11" s="1"/>
  <c r="N240" i="11"/>
  <c r="O240" i="11" s="1"/>
  <c r="N117" i="11"/>
  <c r="O117" i="11" s="1"/>
  <c r="L408" i="11"/>
  <c r="N408" i="11" s="1"/>
  <c r="O408" i="11" s="1"/>
  <c r="N406" i="11"/>
  <c r="O406" i="11" s="1"/>
  <c r="N351" i="11"/>
  <c r="L353" i="11"/>
  <c r="N353" i="11" s="1"/>
  <c r="H628" i="11"/>
  <c r="L628" i="11"/>
  <c r="N628" i="11" s="1"/>
  <c r="N626" i="11"/>
  <c r="O626" i="11" s="1"/>
  <c r="N461" i="11"/>
  <c r="L462" i="11"/>
  <c r="L118" i="11"/>
  <c r="N118" i="11" s="1"/>
  <c r="O118" i="11" s="1"/>
  <c r="E33" i="1"/>
  <c r="F38" i="1" s="1"/>
  <c r="H298" i="11" l="1"/>
  <c r="N297" i="11"/>
  <c r="O297" i="11" s="1"/>
  <c r="O517" i="11"/>
  <c r="O186" i="11"/>
  <c r="O462" i="11"/>
  <c r="L298" i="11"/>
  <c r="N298" i="11" s="1"/>
  <c r="H518" i="11"/>
  <c r="O628" i="11"/>
  <c r="H187" i="11"/>
  <c r="H463" i="11"/>
  <c r="N186" i="11"/>
  <c r="N462" i="11"/>
  <c r="L187" i="11"/>
  <c r="N187" i="11" s="1"/>
  <c r="L242" i="11"/>
  <c r="N242" i="11" s="1"/>
  <c r="O241" i="11"/>
  <c r="L463" i="11"/>
  <c r="H242" i="11"/>
  <c r="N517" i="11"/>
  <c r="O353" i="11"/>
  <c r="F37" i="1"/>
  <c r="F39" i="1" s="1"/>
  <c r="N518" i="11" l="1"/>
  <c r="O518" i="11" s="1"/>
  <c r="O242" i="11"/>
  <c r="O298" i="11"/>
  <c r="O187" i="11"/>
  <c r="N463" i="11"/>
  <c r="O463" i="11" s="1"/>
</calcChain>
</file>

<file path=xl/sharedStrings.xml><?xml version="1.0" encoding="utf-8"?>
<sst xmlns="http://schemas.openxmlformats.org/spreadsheetml/2006/main" count="2228" uniqueCount="696">
  <si>
    <t>Account 1576 - Accounting Changes under CGAAP</t>
  </si>
  <si>
    <t>2013 Changes in Accounting Policies under CGAAP</t>
  </si>
  <si>
    <t>Assumes the applicant made capitalization and depreciation expense accounting policy changes under CGAAP effective January 1, 2013</t>
  </si>
  <si>
    <t>2014 Rebasing Year</t>
  </si>
  <si>
    <t>Reporting Basis</t>
  </si>
  <si>
    <t>CGAAP</t>
  </si>
  <si>
    <t>IRM</t>
  </si>
  <si>
    <t>CGAAP - ASPE</t>
  </si>
  <si>
    <t>Forecast vs. Actual Used in Rebasing Year</t>
  </si>
  <si>
    <t>Forecast</t>
  </si>
  <si>
    <t>Actual</t>
  </si>
  <si>
    <t>$</t>
  </si>
  <si>
    <t>PP&amp;E Values under former CGAAP</t>
  </si>
  <si>
    <t xml:space="preserve">            Opening net PP&amp;E - Note 1</t>
  </si>
  <si>
    <t xml:space="preserve">            Net Additions - Note 4</t>
  </si>
  <si>
    <t xml:space="preserve">            Net Depreciation (amounts should be negative) - Note 4</t>
  </si>
  <si>
    <t xml:space="preserve">            Closing net PP&amp;E (1)</t>
  </si>
  <si>
    <t>PP&amp;E Values under revised CGAAP (Starts from 2013)</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</si>
  <si>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</si>
  <si>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</si>
  <si>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</si>
  <si>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</si>
  <si>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</si>
  <si>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</si>
  <si>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</si>
  <si>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</si>
  <si>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</si>
  <si>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Notes:</t>
  </si>
  <si>
    <t xml:space="preserve">1  For an applicant that made the capitalization and depreciation expense accounting policy changes on January 1, 2013, the PP&amp;E values as of January 1, 2013 under both former CGAAP and revised CGAAP should be the same. </t>
  </si>
  <si>
    <t>2 Return on rate base associated with Account 1576 balance is calculated as:</t>
  </si>
  <si>
    <t xml:space="preserve">     the variance account opening balance as of 2014 rebasing year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</si>
  <si>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</si>
  <si>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</si>
  <si>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</si>
  <si>
    <t>Appendix 2-AA - Updated with Interrogatory Responses</t>
  </si>
  <si>
    <t>Capital Projects Table</t>
  </si>
  <si>
    <t>Projects</t>
  </si>
  <si>
    <t>2013 Actual</t>
  </si>
  <si>
    <t>2014 Test Year Interrogatory Responses</t>
  </si>
  <si>
    <t>System Access</t>
  </si>
  <si>
    <t>Renewable Energy Cost Cap Investments</t>
  </si>
  <si>
    <t>Dunnville TS Breaker Position</t>
  </si>
  <si>
    <t>Dunnville TS Make Ready Work</t>
  </si>
  <si>
    <t>York Bridge Duct Installation - Engineering Design</t>
  </si>
  <si>
    <t>Overhead / Underground Services</t>
  </si>
  <si>
    <t>Betterments</t>
  </si>
  <si>
    <t>Line Extensions</t>
  </si>
  <si>
    <t>Meters</t>
  </si>
  <si>
    <t>Meters - Smart Meter Disposition (EB-2012-0272)</t>
  </si>
  <si>
    <t>Contributed Capital - Regular</t>
  </si>
  <si>
    <t>Contributed Capital - Developer Rebates</t>
  </si>
  <si>
    <t>Sub-Total</t>
  </si>
  <si>
    <t>System Renewal</t>
  </si>
  <si>
    <t>Pole Replacement Program</t>
  </si>
  <si>
    <t>Eliminate Nanticoke Distribution Station (2008 Carryover)</t>
  </si>
  <si>
    <t>Eliminate Selkirk North 8kV Distribution Station</t>
  </si>
  <si>
    <t>Elimate Feeds from Lythmore Distribution Station (Ph.1-East)</t>
  </si>
  <si>
    <t>System Service</t>
  </si>
  <si>
    <t>Conversion of Central Lane Phase II</t>
  </si>
  <si>
    <t>Moulton-Sherbrooke Townline-Rattlesnake Road Conversion, Dunnville</t>
  </si>
  <si>
    <t>Lakeshore Road Re-Build (Melville Lane Area)</t>
  </si>
  <si>
    <t>Construction of Line from Hagersville to Jarvis</t>
  </si>
  <si>
    <t>Purchase Hydro One F2 Feeder out of Argyle Distribution Station</t>
  </si>
  <si>
    <t>Install One Load Break Switch</t>
  </si>
  <si>
    <t>Conversion to Supply Innophos and Sherbrooke Area to 
31M1 Feeder</t>
  </si>
  <si>
    <t>Alder Street, Dunnville - Conversion- Underground Rebuild</t>
  </si>
  <si>
    <t>Maple Street, Dunnville - Line Conversion to 27.6 kV</t>
  </si>
  <si>
    <t>Highway #3, Jarvis - Line Conversion from 8 kV to 27.6 kV</t>
  </si>
  <si>
    <t>27.6 kV Conversion into Cayuga</t>
  </si>
  <si>
    <t>Rebuild of Argyle Street, Caledonia (Sutherland St. to railway)</t>
  </si>
  <si>
    <t>27M5 Feeder Extension Caledonia (3-phase project)</t>
  </si>
  <si>
    <t>Main &amp; Queen Streets, Dunnville - Road Re-construction</t>
  </si>
  <si>
    <t>Townsend Back-up Feeder</t>
  </si>
  <si>
    <t>Lakeshore Road Conversion - Haldimand Road 50 to Bookers Rd.</t>
  </si>
  <si>
    <t>Contributed Capital - Lakeshore Rd.Conversion (Grand Renewable Energy Park project)</t>
  </si>
  <si>
    <t>Conversion of Lakeshore Road (West of Kohler to 27.6 kV)</t>
  </si>
  <si>
    <t>Conversion of Highway #54 to 27.6 kV</t>
  </si>
  <si>
    <t>Conversion to 27.6 kV, Stromness (Overloaded Step-down Trx.)</t>
  </si>
  <si>
    <t>Conversion to 27.6 kV Orkney, Inverness, Sutherland Streets, 
Caledonia</t>
  </si>
  <si>
    <t>Conversion to 27.6 kV - Kohler Road</t>
  </si>
  <si>
    <t>Partial Conversion of Step-down (SD-37) Transformer, Oneida</t>
  </si>
  <si>
    <t>Caithness Street, Caledonia - Road Reconstruction</t>
  </si>
  <si>
    <t>Conversion of York Village to 27.6 kV</t>
  </si>
  <si>
    <t>Talbot Street, Cayuga - Road Reconstruction</t>
  </si>
  <si>
    <t>Conversion of Step-down Transformer on Fisherville Road</t>
  </si>
  <si>
    <t>Spare Capital</t>
  </si>
  <si>
    <t>Transformers</t>
  </si>
  <si>
    <t>General Plant</t>
  </si>
  <si>
    <t>Transportation Equipment - Bucket Truck</t>
  </si>
  <si>
    <t>Transportation Equipment - Pickup / Van</t>
  </si>
  <si>
    <t>Transportation Equipment - Trailer</t>
  </si>
  <si>
    <t>Building and Fixtures - Heat Trace Cabling, Storage/Pallet Racking, Floor Trenches, Overhead Garage Doors, Office Renovations, Lockers</t>
  </si>
  <si>
    <t>Computer Hardware - Workstations, Servers, Laptops, Ipads, etc.</t>
  </si>
  <si>
    <t>Computer Hardware - Smart Meter Disposition (EB-2012-0272)</t>
  </si>
  <si>
    <t>Computer Software - ESRI Mapping System</t>
  </si>
  <si>
    <t>Computer Software - CIS Conversion</t>
  </si>
  <si>
    <t>Computer Software - Financial, Billing, Network, Outage Management, Website Design, Telepone System, and General</t>
  </si>
  <si>
    <t>Computer Software - Smart Meter Disposition (EB-2012-0272)</t>
  </si>
  <si>
    <t>Office Equipment &amp; Furniture - Chairs, Safe, Wall Shelves, furniture, meeting table, storage cabinets, etc.</t>
  </si>
  <si>
    <t>Tools, Shop, &amp; Garage Equipment - Loggers, Testers, Locators, Generator, Dry Max Unit, Line Trackers, Pole Dolly, InfraRed Camera, Remote Control Flagmen, Tensioner machine, tools, etc.</t>
  </si>
  <si>
    <t>Communications Equipment - Cellular Remote Terminal Unit (O/H fault circuit indicators), Radio System</t>
  </si>
  <si>
    <t>Miscellaneous</t>
  </si>
  <si>
    <t>Total</t>
  </si>
  <si>
    <t>Less Renewable Generation Facility Assets and Other Non Rate-Regulated Utility Assets (input as negative)</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</si>
  <si>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</si>
  <si>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OM&amp;A budget in the miscellaneous category.</t>
  </si>
  <si>
    <t>File Number:</t>
  </si>
  <si>
    <t>Exhibit:</t>
  </si>
  <si>
    <t>Tab:</t>
  </si>
  <si>
    <t>Schedule:</t>
  </si>
  <si>
    <t>Page:</t>
  </si>
  <si>
    <t>3 to 6</t>
  </si>
  <si>
    <t>Date:</t>
  </si>
  <si>
    <t>EB-2013-0134</t>
  </si>
  <si>
    <t>Appendix 2-AB - Updated with Interrogatory Responses</t>
  </si>
  <si>
    <t>Table 2 - Capital Expenditure Summary from Chapter 5 Consolidated
Distribution System Plan Filing Requirements</t>
  </si>
  <si>
    <t>First year of Forecast Period:</t>
  </si>
  <si>
    <t>CATEGORY</t>
  </si>
  <si>
    <t>Historical Period (previous plan1 &amp; actual)</t>
  </si>
  <si>
    <t>Forecast Period (planned)</t>
  </si>
  <si>
    <t>2013 Carryover to 2014</t>
  </si>
  <si>
    <t>Plan</t>
  </si>
  <si>
    <t>Var</t>
  </si>
  <si>
    <t>Actual2</t>
  </si>
  <si>
    <t>$ '000</t>
  </si>
  <si>
    <t>%</t>
  </si>
  <si>
    <t>TOTAL EXPENDITURE</t>
  </si>
  <si>
    <t>System O&amp;M</t>
  </si>
  <si>
    <t>Notes to the Table:</t>
  </si>
  <si>
    <t>1.  Historical “previous plan” data is not required unless a plan has previously been filed</t>
  </si>
  <si>
    <t>2.  Indicate the number of months of 'actual' data included in the last year of the Historical Period (normally a 'bridge' year):</t>
  </si>
  <si>
    <t>Explanatory Notes on Variances (complete only if applicable)</t>
  </si>
  <si>
    <t>Notes on shifts in forecast vs. histrical budgets by category</t>
  </si>
  <si>
    <t xml:space="preserve">Investments in single pole replacements (System Renewal) as a result of the annual capital project Pole Replacement Program have decreased by approximately 50 - 60 % ($500,000) starting in 2012 as compared to prior years.  This is on account of the majority of poles that required immediate replacement have now been completed.  Pole inspection cycles are now in their second inspection cycle and the number of very poor poles inspected is less than in prior years. </t>
  </si>
  <si>
    <t xml:space="preserve">1)  Investments in single pole replacements (System Renewal) as a result of the pole replacement program has decreased about 50 - 60 % ($500,000) starting in 2012 from previous years as the majority of poles that required ASAP replacement have been completed.  Pole inspection cycles are now in their second inspection cycle and the number of very poor poles inspected is less than previous years. </t>
  </si>
  <si>
    <t>Notes on year over year Plan vs. Actual variances for Total Expenditures</t>
  </si>
  <si>
    <t>Not required as a Distribution System Plan has not previously been filed as this is the initial Chapter 5 filing.</t>
  </si>
  <si>
    <t>Not required as this is an initial Chapter 5 filing and there was no previous plan filed.</t>
  </si>
  <si>
    <t>Notes on Plan vs. Actual variance trends for individual expenditure categories</t>
  </si>
  <si>
    <t>Appendix 2-BA</t>
  </si>
  <si>
    <t>Fixed Asset Continuity Schedule - CGAAP/ASPE/USGAAP</t>
  </si>
  <si>
    <t xml:space="preserve">Year </t>
  </si>
  <si>
    <t>Cost</t>
  </si>
  <si>
    <t>Accumulated Depreciation</t>
  </si>
  <si>
    <t>CCA Class</t>
  </si>
  <si>
    <t>OEB</t>
  </si>
  <si>
    <t>Description</t>
  </si>
  <si>
    <t>Opening Balance</t>
  </si>
  <si>
    <t>Additions</t>
  </si>
  <si>
    <t>Disposals</t>
  </si>
  <si>
    <t>Closing Balance</t>
  </si>
  <si>
    <t>Net Book Value</t>
  </si>
  <si>
    <t>CEC</t>
  </si>
  <si>
    <t>Distribution Station Equipment &lt;50 kV - Capital Contribution Paid</t>
  </si>
  <si>
    <t>Distribution Station Equipment &lt;50 kV</t>
  </si>
  <si>
    <t>Poles, Towers &amp; Fixtures - Wood Poles</t>
  </si>
  <si>
    <t>Poles, Towers &amp; Fixtures - Metal/Concrete Poles</t>
  </si>
  <si>
    <t>Overhead Conductors &amp; Devices - Conductor</t>
  </si>
  <si>
    <t>Overhead Conductors &amp; Devices - Switches</t>
  </si>
  <si>
    <t>Overhead Conductors &amp; Devices - Reclosures</t>
  </si>
  <si>
    <t>Underground Conduit - Duct</t>
  </si>
  <si>
    <t>Underground Conductors &amp; Devices - Cable (Non-Duct)</t>
  </si>
  <si>
    <t>Underground Conductors &amp; Devices - Cable (In Duct)</t>
  </si>
  <si>
    <t>Underground Conductors &amp; Devices - Switchgear</t>
  </si>
  <si>
    <t>Line Transformers - Pole Top</t>
  </si>
  <si>
    <t>Line Transformers - Padmount</t>
  </si>
  <si>
    <t>Line Transformers - Step-Down (Rabbits)</t>
  </si>
  <si>
    <t>Line Transformers - Spare Capital</t>
  </si>
  <si>
    <t>Services - Overhead</t>
  </si>
  <si>
    <t>Services - Underground</t>
  </si>
  <si>
    <t>Meters - Primary Metering Units</t>
  </si>
  <si>
    <t>Meters - Interval Meters &amp; Other Metering Equipment</t>
  </si>
  <si>
    <t>Meters - Smart Meters</t>
  </si>
  <si>
    <t>Meters - Stranded Conventional Meters</t>
  </si>
  <si>
    <t>Meters - Spare Capital</t>
  </si>
  <si>
    <t>N/A</t>
  </si>
  <si>
    <t>Land</t>
  </si>
  <si>
    <t>Land Rights (Formally known as Account 1906)</t>
  </si>
  <si>
    <t>1 b</t>
  </si>
  <si>
    <t>Buildings &amp; Fixtures</t>
  </si>
  <si>
    <t>Office Furniture &amp; Equipment (10 years)</t>
  </si>
  <si>
    <t>Computer Equipment - Hardware</t>
  </si>
  <si>
    <t>Computer Software (Formally known as Account 1925)</t>
  </si>
  <si>
    <t>Transportation Equipment - Bucket Trucks</t>
  </si>
  <si>
    <t>Transportation Equipment - Pickups and Vans</t>
  </si>
  <si>
    <t>Transportation Equipment - Trailers</t>
  </si>
  <si>
    <t>Tools, Shop &amp; Garage Equipment</t>
  </si>
  <si>
    <t>Communications Equipment</t>
  </si>
  <si>
    <t>Contributions &amp; Grants - Wood Poles</t>
  </si>
  <si>
    <t>Contributions &amp; Grants - Metal / Concrete Poles</t>
  </si>
  <si>
    <t>Contributions &amp; Grants - O/H Conductor</t>
  </si>
  <si>
    <t>Contributions &amp; Grants - O/H Line Switches</t>
  </si>
  <si>
    <t>Contributions &amp; Grants - O/H Reclosures</t>
  </si>
  <si>
    <t>Contributions &amp; Grants - U/G Conduit</t>
  </si>
  <si>
    <t>Contributions &amp; Grants - U/G Conductor (Non-Duct)</t>
  </si>
  <si>
    <t>Contributions &amp; Grants - U/G Conductor (In Duct)</t>
  </si>
  <si>
    <t>Contributions &amp; Grants - Pole Top Transformers</t>
  </si>
  <si>
    <t>Contributions &amp; Grants - Padmount Transformers</t>
  </si>
  <si>
    <t>Contributions &amp; Grants - Step-Down Transformers</t>
  </si>
  <si>
    <t>Contributions &amp; Grants - O/H Services</t>
  </si>
  <si>
    <t>Contributions &amp; Grants - U/G Services</t>
  </si>
  <si>
    <t>Contributions &amp; Grants - Primary Metering Units</t>
  </si>
  <si>
    <t>Contributions &amp; Grants - Intervals &amp; Other Metering Equipment</t>
  </si>
  <si>
    <t>Contributions &amp; Grants - Smart Meters</t>
  </si>
  <si>
    <t>etc.</t>
  </si>
  <si>
    <t>Less Socialized Renewable Energy Generation Investments (input as negative)</t>
  </si>
  <si>
    <t>Less Other Non Rate-Regulated Utility Assets (input as negative)</t>
  </si>
  <si>
    <t>Total PP&amp;E</t>
  </si>
  <si>
    <t>Less: CDM-OPA Allocated Costs - Depreciation Expense</t>
  </si>
  <si>
    <t>Building</t>
  </si>
  <si>
    <t>Office Equipment</t>
  </si>
  <si>
    <t>Computer Hardware</t>
  </si>
  <si>
    <t>Computer Software</t>
  </si>
  <si>
    <t>Net Depreciation Expense</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</si>
  <si>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</si>
  <si>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</si>
  <si>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</si>
  <si>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additions column (F) must not include construction work in progress (CWIP).</t>
  </si>
  <si>
    <t>CGAAP Including Accounting Change to Useful Lives</t>
  </si>
  <si>
    <t>Former CGAAP - Without Accounting Change to Useful Lives</t>
  </si>
  <si>
    <t>Poles, Towers &amp; Fixtures</t>
  </si>
  <si>
    <t>Overhead Conductors &amp; Devices</t>
  </si>
  <si>
    <t>Underground Conduit</t>
  </si>
  <si>
    <t>Underground Conductors &amp; Devices</t>
  </si>
  <si>
    <t>Line Transformers</t>
  </si>
  <si>
    <t>Services (Overhead &amp; Underground)</t>
  </si>
  <si>
    <t>Smart Meters</t>
  </si>
  <si>
    <t>Transportation Equipment</t>
  </si>
  <si>
    <t>Contributions &amp; Grants</t>
  </si>
  <si>
    <t>Appendix 2-CT - Updated with Interrogatory Responses</t>
  </si>
  <si>
    <t>Depreciation and Amortization Expense</t>
  </si>
  <si>
    <t>Year</t>
  </si>
  <si>
    <t>Revised CGAAP or ASPE - CGAAP or ASPE with the changes to the policies</t>
  </si>
  <si>
    <t>Account</t>
  </si>
  <si>
    <t>Opening NBV as at Jan 1, 2013 5</t>
  </si>
  <si>
    <t>Average Remaining Life of Opening NBV 4</t>
  </si>
  <si>
    <t>Years (new additions only) 3</t>
  </si>
  <si>
    <t>Depreciation Rate on New Additions</t>
  </si>
  <si>
    <t>Depreciation Expense on Opening NBV</t>
  </si>
  <si>
    <t>Depreciation Expense on Additions 1</t>
  </si>
  <si>
    <t>2013 Depreciation Expense</t>
  </si>
  <si>
    <t>2013 Depreciation Expense per Appendix 2-B Fixed Assets, Column K
 (l)</t>
  </si>
  <si>
    <t>Variance 2</t>
  </si>
  <si>
    <t>Depreciation Expense on 2013 Full Year Additions</t>
  </si>
  <si>
    <t>Less Depreciation Expense on Assets Fully Depreciated during the year
(o)</t>
  </si>
  <si>
    <t>2013 Full Year Depreciation 6</t>
  </si>
  <si>
    <t>(a)</t>
  </si>
  <si>
    <t>(d)</t>
  </si>
  <si>
    <t>(i)</t>
  </si>
  <si>
    <t>(f)</t>
  </si>
  <si>
    <t>(g) = 1 / (f)</t>
  </si>
  <si>
    <t>(j) = (a) / (i)</t>
  </si>
  <si>
    <t xml:space="preserve">(h)=((d)*0.5)/(f) </t>
  </si>
  <si>
    <t>(k) = (j) + (h)</t>
  </si>
  <si>
    <t>(m) = (k) - (l)</t>
  </si>
  <si>
    <t xml:space="preserve">(n)=((d))/(f) </t>
  </si>
  <si>
    <t>(p) = (j) + (n) - (o)</t>
  </si>
  <si>
    <t>Distribution Station Equipment &lt;50 kV - Capital Contributions Paid</t>
  </si>
  <si>
    <t>Overhead Conductors &amp; Devices - Line Switches</t>
  </si>
  <si>
    <t>Overhead Conductors &amp; Devices - Reclosers</t>
  </si>
  <si>
    <t>Underground Conductors &amp; Devices - Non-Duct</t>
  </si>
  <si>
    <t>Underground Conductors &amp; Devices - In Duct</t>
  </si>
  <si>
    <t>Line Transformers - Pole-Top</t>
  </si>
  <si>
    <t>Meters - Primary Metering Untis</t>
  </si>
  <si>
    <t>Meters - Stranded Meters</t>
  </si>
  <si>
    <t>Transportation Equipment - Pickups / Vans</t>
  </si>
  <si>
    <t>Contributions &amp; Grants - U/G Conduit - Duct</t>
  </si>
  <si>
    <t>Contributions &amp; Grants - U/G Conductor - Non-Duct</t>
  </si>
  <si>
    <t>Contributions &amp; Grants - U/G Conductor - In Duct</t>
  </si>
  <si>
    <t>Contributions &amp; Grants - Pole TopTransformers</t>
  </si>
  <si>
    <t>Contributions &amp; Grants - Interval &amp; Other Metering Equip</t>
  </si>
  <si>
    <t>Board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</si>
  <si>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</si>
  <si>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The applicant should ensure that the years for new additions of assets are the asset useful lives determined by management in accordance with the Board's regulatory accounting policies.   The capitalization and depreciation expense accounting changes should be implemented consistent with the Board’s regulatory accounting policies as set out for modified IFRS as contained in the Report of the Board, Transition to International Financial Reporting Standards, EB-2008-0408, the Kinectrics Report, and the Revised 2012 Accounting Procedures Handbook for Electricity Distributors (“APH”).</t>
  </si>
  <si>
    <t>A recalculation should be performed to determine the average remaining life of opening balance of assets (i.e. excluding 2013 additions) under the change in policies under CGAAP.  For example, Asset A had a useful life of 20 years under CGAAP without the change in policies.  On January 1, 2013, the effective date of the changes in poliices, Asset A was 3 years depreciated. As a result, Asset A would have a remaining service life of 17 years (20 years less 3 years) as of January 1, 2013.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of January 1, 2013.</t>
  </si>
  <si>
    <t>NBV must exclude assets still on the books but which have been fully amortized or depreciated.</t>
  </si>
  <si>
    <t>This column refers to the calculated full year depreciation but excludes the depreciation expense on assets fully depreciated during the year.  This column is used for the purpose of calculating depreciation expense in the following year on the next worksheet.</t>
  </si>
  <si>
    <t>General:</t>
  </si>
  <si>
    <t>Applicants must provide a breakdown of depreciation and amortization expense in the above format for all relevant accounts.  Asset Retirement Obligations (AROs), depreciation and accretion expense should be disclosed separately consistent with the Notes of historical Audited Financial Statements.</t>
  </si>
  <si>
    <t xml:space="preserve">                       Year   2014  Revised CGAAP or ASPE - CGAAP or ASPE with the changes to the policies</t>
  </si>
  <si>
    <t>Years (new additions only)</t>
  </si>
  <si>
    <t>2014 Depreciation Expense 1</t>
  </si>
  <si>
    <t>2014 Depreciation Expense per Appendix 2-B Fixed Assets, Column K
 (l)</t>
  </si>
  <si>
    <t xml:space="preserve">(h)=2013 Full Year Depreciation + ((d)*0.5)/(f) </t>
  </si>
  <si>
    <t>(m) = (h) - (l)</t>
  </si>
  <si>
    <t>Total Depreciation expense to be included in the test year revenue requirement</t>
  </si>
  <si>
    <t>Appendix 2-BA - Updated with Interrogatory Responses</t>
  </si>
  <si>
    <t>6 to 11</t>
  </si>
  <si>
    <t>Appendix 2-EE - Updated with Interrogatory Responses</t>
  </si>
  <si>
    <t>21 to 25</t>
  </si>
  <si>
    <t>Appendix 2-I - Updated with Interrogatory Responses</t>
  </si>
  <si>
    <t>Load Forecast CDM Adjustment Work Form (2014)</t>
  </si>
  <si>
    <t>Input the 2011-2014 CDM target in Cell B21.</t>
  </si>
  <si>
    <t>Input the measured results for 2011 CDM programs for each of the years 2011 and persistence into 2012, 2013 and 2014 into cells B29 to E29.  These results are taken from the final 2011 CDM Report issued by the OPA for that distributor in the fall of 2012.</t>
  </si>
  <si>
    <t>Measured results for 2012 CDM programs for each of the years 2012 and persistence into 2013 and 2014 are input into cells C30 to E30.  These results are taken from the final 2012 CDM Report issued by the OPA for that distributor in the fall of 2013.  Until that report is issued, the distributor should use the results from the preliminary 2012 CDM Report issued in the spring of 2013.</t>
  </si>
  <si>
    <t xml:space="preserve">	Based on these inputs, the residual kWh to achieve the 4 year CDM target is allocated so that there is an equal incremental increase in each of the years 2012, 2013 and 2014._x000D_
</t>
  </si>
  <si>
    <t>4 Year (2011-2014) kWh Target:</t>
  </si>
  <si>
    <t>2011 CDM Programs</t>
  </si>
  <si>
    <t>2012 CDM Programs</t>
  </si>
  <si>
    <t>2013 CDM Programs</t>
  </si>
  <si>
    <t>2014 CDM Programs</t>
  </si>
  <si>
    <t>Total in Year</t>
  </si>
  <si>
    <t>kWh</t>
  </si>
  <si>
    <t>Check</t>
  </si>
  <si>
    <t>From each of the 2006-2010 CDM Final Report, 2011 CDM Final Report, and the 2012 CDM Final Report,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</si>
  <si>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The Board has determined that the "net" number should be used in its Decision and Order with respect to Centre Wellington Hydro Ltd.'s 2013 Cost of Service rates (EB-2012-0113).  This approach has also been used in Settlement Agreements accepted by the Board in other 2013 applications.  The distributor should select whether the adjustment is done on a "net" or "gross" basis, but must support a proposal for the adjustment being done on a "gross" basis.</t>
  </si>
  <si>
    <t>Net-to-Gross Conversion</t>
  </si>
  <si>
    <t>Is CDM adjustment being done on a "net" or "gross" basis?</t>
  </si>
  <si>
    <t>net</t>
  </si>
  <si>
    <t>"Gross"</t>
  </si>
  <si>
    <t>"Net"</t>
  </si>
  <si>
    <t>Difference</t>
  </si>
  <si>
    <t>"Net-to-Gross" Conversion Factor</t>
  </si>
  <si>
    <t>Persistence of Historical CDM programs to 2014</t>
  </si>
  <si>
    <t>('g')</t>
  </si>
  <si>
    <t>2006-2010 CDM programs</t>
  </si>
  <si>
    <t>2011 CDM program</t>
  </si>
  <si>
    <t>Not Available</t>
  </si>
  <si>
    <t>2012 CDM program</t>
  </si>
  <si>
    <t>2006 to 2011 OPA CDM programs:  Persistence to 2014</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</si>
  <si>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</si>
  <si>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</si>
  <si>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</si>
  <si>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</si>
  <si>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Utility can select "0", "0.5", or "1" from drop-down list</t>
  </si>
  <si>
    <t xml:space="preserve">Default Value selection rationale.  </t>
  </si>
  <si>
    <t>Persistence of 2011 CDM programs for the full year of 2012 means that all of 2011 CDM impact is assumed to be in the base forecast before the CDM Adjustment</t>
  </si>
  <si>
    <t>50% of persistence of 2012 CDM programs on adjustment for 2014 load forecast.</t>
  </si>
  <si>
    <t>Full year impact of 2013 CDM programs on adjustment for 2014 load forecast</t>
  </si>
  <si>
    <t>Only 50% of 2014 CDM impact is used based on a half year rule</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</si>
  <si>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</si>
  <si>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</si>
  <si>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2014 Load Forecast is the amount manually subtracted from the load forecast derived from the base forecast from historical data, and is intended to reflect the further CDM savings that the distributor needs to achieve assuming that they meet 100% of the 2011-2014 CDM target that is a condition of their target.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</si>
  <si>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</si>
  <si>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for both the LRAMVA and for the load forecast adjustment.</t>
  </si>
  <si>
    <t>Total for 2014</t>
  </si>
  <si>
    <t>Amount used for CDM threshold for LRAMVA (2014)</t>
  </si>
  <si>
    <t>Manual Adjustment for 2014 Load Forecast (billed basis)</t>
  </si>
  <si>
    <t>Proposed Loss Factor (TLF)</t>
  </si>
  <si>
    <t xml:space="preserve"> Format: X.XX%</t>
  </si>
  <si>
    <t>Manual Adjustment for 2014 Load Forecast (system purchased basis)</t>
  </si>
  <si>
    <t>Manual adjustment uses "gross" versus "net" (i.e. numbers multiplied by (1 + g).  The Weight factor is also used calculate the impact of each year's program on the CDM adjustment to the 2014 load forecast.</t>
  </si>
  <si>
    <t xml:space="preserve">Appendix 2-M - Updated with </t>
  </si>
  <si>
    <t>Regulatory Cost Schedule</t>
  </si>
  <si>
    <t>On-Going</t>
  </si>
  <si>
    <t>One-Time</t>
  </si>
  <si>
    <t>Regulatory Cost Category</t>
  </si>
  <si>
    <t>USoA Account</t>
  </si>
  <si>
    <t>USoA Account Balance</t>
  </si>
  <si>
    <t>Ongoing or One-time Cost? 2</t>
  </si>
  <si>
    <t>Annual % Change</t>
  </si>
  <si>
    <t>(A)</t>
  </si>
  <si>
    <t>(B)</t>
  </si>
  <si>
    <t>(C )</t>
  </si>
  <si>
    <t>(D)</t>
  </si>
  <si>
    <t>(E)</t>
  </si>
  <si>
    <t>(F)</t>
  </si>
  <si>
    <t>(G)</t>
  </si>
  <si>
    <t>(H) = [(G)-(F)]/(F)</t>
  </si>
  <si>
    <t>(I)</t>
  </si>
  <si>
    <t>(J) = [(I)-(G)]/(G)</t>
  </si>
  <si>
    <t>OEB Annual Assessment</t>
  </si>
  <si>
    <t>OEB Annual Registration Fee</t>
  </si>
  <si>
    <t>OEB Section 30 Costs (Applicant-originated)</t>
  </si>
  <si>
    <t>OEB Section 30 Costs (OEB-initiated)</t>
  </si>
  <si>
    <t>Expert Witness costs for regulatory matters</t>
  </si>
  <si>
    <t>Legal costs for regulatory matters</t>
  </si>
  <si>
    <t>Consultants' costs for regulatory matters</t>
  </si>
  <si>
    <t>Operating expenses associated with staff resources allocated to regulatory matters</t>
  </si>
  <si>
    <t>Operating expenses associated with other resources allocated to regulatory matters 1</t>
  </si>
  <si>
    <t>Other regulatory agency fees or assessments</t>
  </si>
  <si>
    <t>11
-1</t>
  </si>
  <si>
    <t>Any other costs for regulatory matters ("Notice of Application" publication costs)</t>
  </si>
  <si>
    <t>11
-2</t>
  </si>
  <si>
    <t>Any other costs for regulatory matters (EB-2007-0002 - Cost Allocation Review - Refund from the Hydro One Load Data Research Group)</t>
  </si>
  <si>
    <t>Intervenor costs</t>
  </si>
  <si>
    <t>Sub-total - Ongoing Costs 3</t>
  </si>
  <si>
    <t>Sub-total - One-time Costs 4</t>
  </si>
  <si>
    <t>Please fill out the following table for all one-time costs related to this cost of service application to be amortized over the test year plus the IRM period.</t>
  </si>
  <si>
    <t>Historical Year(s)</t>
  </si>
  <si>
    <t>Expert Witness costs</t>
  </si>
  <si>
    <t>Legal costs</t>
  </si>
  <si>
    <t>Consultants' costs</t>
  </si>
  <si>
    <t>Incremental operating expenses associated with staff resources allocated to this application.</t>
  </si>
  <si>
    <t>Incremental operating expenses associated with other resources allocated to this application. 1</t>
  </si>
  <si>
    <t>1 to 4</t>
  </si>
  <si>
    <t>Appendix 2-P - Updated with Interrogatory Responses</t>
  </si>
  <si>
    <t>Cost Allocation</t>
  </si>
  <si>
    <t>Please complete the following four tables.</t>
  </si>
  <si>
    <t>A)  Allocated Costs</t>
  </si>
  <si>
    <t>Classes</t>
  </si>
  <si>
    <t>Costs Allocated from Previous Study</t>
  </si>
  <si>
    <t>Costs Allocated in Test Year Study-Interrogary Responses                    (Column 7A)</t>
  </si>
  <si>
    <t>Residential</t>
  </si>
  <si>
    <t>General Service Less Than 50 kW</t>
  </si>
  <si>
    <t>General Service  50 to 4,999 kW</t>
  </si>
  <si>
    <t>Street Lighting</t>
  </si>
  <si>
    <t>Sentinel Lighting</t>
  </si>
  <si>
    <t>Unmetered Scattered Load (USL)</t>
  </si>
  <si>
    <t>Embedded Distributor - Hydro One Networks Inc.</t>
  </si>
  <si>
    <t>Notes</t>
  </si>
  <si>
    <t>1     Customer Classification - If proposed rate classes differ from those in place in the previous Cost Allocation study, modify the rate classes to match the current application as closely as possible.</t>
  </si>
  <si>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</si>
  <si>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</si>
  <si>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</si>
  <si>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</si>
  <si>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</si>
  <si>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</si>
  <si>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</si>
  <si>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</si>
  <si>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</si>
  <si>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rates</t>
  </si>
  <si>
    <t>L.F. X current approved rates X (1 + d)</t>
  </si>
  <si>
    <t>LF X proposed rates</t>
  </si>
  <si>
    <t>Miscellaneous Revenue</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</si>
  <si>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</si>
  <si>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</si>
  <si>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</si>
  <si>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</si>
  <si>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</si>
  <si>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</si>
  <si>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</si>
  <si>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</si>
  <si>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</si>
  <si>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</si>
  <si>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</si>
  <si>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</si>
  <si>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</si>
  <si>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</si>
  <si>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</si>
  <si>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70 - 120</t>
  </si>
  <si>
    <t>1     Previously Approved Revenue-to-Cost Ratios - For most applicants, Most Recent Year would be the third year of the IRM 3 period,  e.g. if the applicant rebased in 2009 with further adjustments over 2 years, the Most recent year is 2011.  For applicants whose most recent rebasing year is 2006,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</si>
  <si>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</si>
  <si>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</si>
  <si>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</si>
  <si>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Note</t>
  </si>
  <si>
    <t xml:space="preserve">1     The applicant should complete Table D if it is applying for approval of a revenue to cost ratio in 2013 that is outside the Board’s policy range for any customer class. Table (d) will show the information that the distributor would likely enter in the IRM model) in 2013.  In 2014 Table (d), enter the planned ratios for the classes that will be ‘Change’ and ‘No Change’ in 2014 (in the current Revenue Cost Ratio Adjustment Workform, Worksheet C1.1 ‘Decision – Cost Revenue Adjustment’, column d), and enter TBD for class(es) that will be entered as ‘Rebalance’. </t>
  </si>
  <si>
    <t>Appendix 2-R - Updated with Interrogatory Responses</t>
  </si>
  <si>
    <t>Loss Factors</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</si>
  <si>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</si>
  <si>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</si>
  <si>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</si>
  <si>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</si>
  <si>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</si>
  <si>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</si>
  <si>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</si>
  <si>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</si>
  <si>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</si>
  <si>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</si>
  <si>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t>Net "Wholesale" kWh delivered to distributor  = A(2) - B</t>
  </si>
  <si>
    <t>D</t>
  </si>
  <si>
    <t>"Retail" kWh delivered by distributor</t>
  </si>
  <si>
    <t>E</t>
  </si>
  <si>
    <t>Portion of "Retail" kWh delivered by distributor to its Large Use Customer(s)</t>
  </si>
  <si>
    <t>F</t>
  </si>
  <si>
    <t>Net "Retail" kWh delivered by distributor = D - E</t>
  </si>
  <si>
    <t>G</t>
  </si>
  <si>
    <t>Loss Factor in Distributor's system = C / F</t>
  </si>
  <si>
    <t>Losses Upstream of Distributor's System</t>
  </si>
  <si>
    <t>H</t>
  </si>
  <si>
    <t>Supply Facilities Loss Factor</t>
  </si>
  <si>
    <t>Total Losses</t>
  </si>
  <si>
    <t>I</t>
  </si>
  <si>
    <t>Total Loss Factor = G x H</t>
  </si>
  <si>
    <t>If directly connected to the IESO-controlled grid, kWh pertains to the virtual meter on the primary or high voltage side of the transformer at the interface with the transmission grid.  This corresponds to the "With Losses" kWh value provided by the IESO's MV-WEB.  It is the higher of the two values provided by MV-WEB.</t>
  </si>
  <si>
    <t>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higher of the two kWh values provided in Hydro One Networks' invoice.</t>
  </si>
  <si>
    <t>If partially embedded, kWh pertains to the sum of the above.</t>
  </si>
  <si>
    <t>If directly connected to the IESO-controlled grid, kWh pertains to a metering installation on the secondary or low voltage side of the transformer at the interface with the transmission grid.  This corresponds to the "Without Losses" kWh value provided by the IESO's MV-WEB.  It is the lower of the two kWh values provided by MV-WEB.</t>
  </si>
  <si>
    <t>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lower of the two kWh values provided in Hydro One Networks' invoice.</t>
  </si>
  <si>
    <t>Additionally, kWh pertaining to distributed generation directly connected to the distributor's own distribution network should be included in A(2).</t>
  </si>
  <si>
    <t>If a Large Use Customer is metered on the secondary or low voltage side of the transformer, the default loss is 1%                         (i.e., B = 1.01 X E).</t>
  </si>
  <si>
    <t>kWh corresponding to D should equal metered or estimated kWh at the customer’s delivery point.</t>
  </si>
  <si>
    <t>G and I</t>
  </si>
  <si>
    <t>These loss factors pertain to secondary-metered customers with demand less than 5,000 kW.</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</si>
  <si>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</si>
  <si>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</si>
  <si>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t>Distributors that wish to propose a different SFLF should provide appropriate justification for any such proposal including supporting</t>
  </si>
  <si>
    <t>calculations and any other relevant material.</t>
  </si>
  <si>
    <t>Appendix 2-W - Updated with Interrogatory Responses</t>
  </si>
  <si>
    <t>Bill Impacts</t>
  </si>
  <si>
    <t>Customer Class:</t>
  </si>
  <si>
    <t>RESIDENTIAL  (250 kWh)</t>
  </si>
  <si>
    <t>TOU / non-TOU:</t>
  </si>
  <si>
    <t>TOU</t>
  </si>
  <si>
    <t>Consumption</t>
  </si>
  <si>
    <t xml:space="preserve"> kWh</t>
  </si>
  <si>
    <t>Current Board-Approved</t>
  </si>
  <si>
    <t>Proposed</t>
  </si>
  <si>
    <t>Impact</t>
  </si>
  <si>
    <t>Charge Unit</t>
  </si>
  <si>
    <t>Rate</t>
  </si>
  <si>
    <t>Volume</t>
  </si>
  <si>
    <t>Charge</t>
  </si>
  <si>
    <t>$ Change</t>
  </si>
  <si>
    <t>% Change</t>
  </si>
  <si>
    <t>($)</t>
  </si>
  <si>
    <t>Monthly Service Charge</t>
  </si>
  <si>
    <t>Monthly</t>
  </si>
  <si>
    <t>Smart Meter Rate Adder</t>
  </si>
  <si>
    <t>Distribution Volumetric Rate</t>
  </si>
  <si>
    <t>per kWh</t>
  </si>
  <si>
    <t>Smart Meter Disposition Rider</t>
  </si>
  <si>
    <t>LRAM &amp; SSM Rate Rider</t>
  </si>
  <si>
    <t>Shared Tax Savings Rate Rider</t>
  </si>
  <si>
    <t>PILs a/c 1562 Disposition Rate Rider</t>
  </si>
  <si>
    <t>Stranded Meter Rate Rider</t>
  </si>
  <si>
    <t>PPE Adjustment a/c 1576 Rate Rider</t>
  </si>
  <si>
    <t>REG Investment Rate Funding Adder</t>
  </si>
  <si>
    <t>Sub-Total A (excluding pass through)</t>
  </si>
  <si>
    <t>Deferral/Variance Account Disposition Rate Rider</t>
  </si>
  <si>
    <t>Low Voltage Service Charge</t>
  </si>
  <si>
    <t>Line Losses on Cost of Power</t>
  </si>
  <si>
    <t>Smart Meter Entity Charge</t>
  </si>
  <si>
    <t>Sub-Total B - Distribution (includes Sub-Total A)</t>
  </si>
  <si>
    <t>RTSR - Network</t>
  </si>
  <si>
    <t>RTSR - Line and Transformation Connection</t>
  </si>
  <si>
    <t>Sub-Total C - Delivery (including Sub-Total B)</t>
  </si>
  <si>
    <t>Wholesale Market Service Charge (WMSC)</t>
  </si>
  <si>
    <t>Rural and Remote Rate Protection (RRRP)</t>
  </si>
  <si>
    <t>Standard Supply Service Charge</t>
  </si>
  <si>
    <t>Debt Retirement Charge (DRC)</t>
  </si>
  <si>
    <t>TOU - Off Peak</t>
  </si>
  <si>
    <t>TOU - Mid Peak</t>
  </si>
  <si>
    <t>TOU - On Peak</t>
  </si>
  <si>
    <t>Total Bill on TOU (before Taxes)</t>
  </si>
  <si>
    <t>HST</t>
  </si>
  <si>
    <t>Total Bill (including HST)</t>
  </si>
  <si>
    <t>Ontario Clean Energy Benefit 1</t>
  </si>
  <si>
    <t>Total Bill on TOU (including OCEB)</t>
  </si>
  <si>
    <t>Loss Factor (%)</t>
  </si>
  <si>
    <t>RESIDENTIAL  (800 kWh)</t>
  </si>
  <si>
    <t>1 Applicable to eligible customers only.  Refer to the Ontario Clean Energy Benefit Act, 2010.</t>
  </si>
  <si>
    <t xml:space="preserve">Note that the "Charge $" columns provide breakdowns of the amounts that each bill component contributes to the total monthly bill at the referenced </t>
  </si>
  <si>
    <t>consumption level at existing and proposed rates.</t>
  </si>
  <si>
    <t>Applicants must provide bill impacts for residential at 800 kWh and GS&lt;50kW at 2000 kWh. In addition, their filing must cover the range that is relevant</t>
  </si>
  <si>
    <t>to their service territory, class by class. A general guideline of consumption levels follows:</t>
  </si>
  <si>
    <t>Residential (kWh) - 100, 250, 500, 800, 1000, 1500, 2000</t>
  </si>
  <si>
    <t>GS&lt;50kW (kWh) - 1000, 2000, 5000, 10000, 15000</t>
  </si>
  <si>
    <t>GS&gt;50kW (kW) - 60, 100, 500, 1000</t>
  </si>
  <si>
    <t>Large User - range appropriate for utility</t>
  </si>
  <si>
    <t>Lighting Classes and USL - 150 kWh and 1 kW, range appropriate for utility.</t>
  </si>
  <si>
    <t>Note that cells with the highlighted color shown to the left indicate quantities that are loss adjusted.</t>
  </si>
  <si>
    <t>RESIDENTIAL  (1500 kWh)</t>
  </si>
  <si>
    <t>GENERAL SERVICE LESS THAN 50 KW  (2,000 kWh)</t>
  </si>
  <si>
    <t>GENERAL SERVICE LESS THAN 50 KW  (5,000 kWh)</t>
  </si>
  <si>
    <t>GENERAL SERVICE 50 TO 4,999 KW  (50,000 kWh; 75 kW)</t>
  </si>
  <si>
    <t>non-TOU</t>
  </si>
  <si>
    <t xml:space="preserve"> kW</t>
  </si>
  <si>
    <t>per kW</t>
  </si>
  <si>
    <t>Energy - RPP - Tier 1</t>
  </si>
  <si>
    <t>Energy - RPP - Tier 2</t>
  </si>
  <si>
    <t>Total Bill on RPP (before Taxes)</t>
  </si>
  <si>
    <t>Total Bill on RPP (including OCEB)</t>
  </si>
  <si>
    <t>GENERAL SERVICE 50 TO 4,999 KW - "Former" INTERVAL METERED  (500,000 kWh; 1,000 kW)</t>
  </si>
  <si>
    <t>UNMETERED SCATTERED LOAD  (500 kWh)</t>
  </si>
  <si>
    <t>SENTINEL LIGHTING  (77 kWh; 0.21 kW)</t>
  </si>
  <si>
    <t>STREET LIGHTING  (170,000 kWh; 550 kW)</t>
  </si>
  <si>
    <t>EMBEDDED DISTRIBUTOR - HYDRO ONE NETWORKS INC.</t>
  </si>
  <si>
    <t>Appendix 2-Z - Updated with Interrogatory Responses 
Proposed Tariff of Rates and Charges</t>
  </si>
  <si>
    <t>For each class, Applicants are required to copy and paste the class descriptions (located directly under the class name) and the description of the applicability of those rates (description is found under the class name and directly under the word "APPLICATION").  By using the drop-down lists located under the column labeled "Rate Description", please select the descriptions of the rates and charges that BEST MATCHES the descriptions on your most recent Board-Approved Tariff of Rates and Charges.  If the description is not found in the drop-down list, please enter the description in the green shaded cells under the correct class exactly as it appears on the tariff.   Please do not enter more than one "Service Charge" for each class for which a base monthly fixed charge applies.  All rate rider descriptions should begin with "Rate Rider for...".</t>
  </si>
  <si>
    <t>Select the appropriate rate classes as they appear on your most recent Board-Approved Tariff of Rates and Charges, including the MicroFit Class.</t>
  </si>
  <si>
    <t>How many classes are listed on your most recent Board-Approved Tariff of Rates and Charges?</t>
  </si>
  <si>
    <t>Select Your Rate Classes from the Blue Cells below.  
Please ensure that a rate class is assigned to each shaded cell.</t>
  </si>
  <si>
    <t>Rate Class Classification</t>
  </si>
  <si>
    <t>RESIDENTIAL</t>
  </si>
  <si>
    <t>GENERAL SERVICE LESS THAN 50 KW</t>
  </si>
  <si>
    <t>GENERAL SERVICE 50 TO 4,999 KW</t>
  </si>
  <si>
    <t>SENTINEL LIGHTING</t>
  </si>
  <si>
    <t>STREET LIGHTING</t>
  </si>
  <si>
    <t>UNMETERED SCATTERED LOAD</t>
  </si>
  <si>
    <t>EMBEDDED DISTRIBUTOR - Hydro One Networks Inc.</t>
  </si>
  <si>
    <t>microFIT</t>
  </si>
  <si>
    <t>Once all blue shaded cells above are filled out, press the following button to create your tariff template</t>
  </si>
  <si>
    <t>TARIFF OF RATES AND CHARGES</t>
  </si>
  <si>
    <t>This schedule supersedes and replaces all previously</t>
  </si>
  <si>
    <t>approved schedules of Rates, Charges and Loss Factors</t>
  </si>
  <si>
    <t>RESIDENTIAL SERVICE CLASSIFICATION</t>
  </si>
  <si>
    <t>This classification applies to a customer’s main place of abode and may include additional buildings served through the same meter, provided they are not rental income units.  Residential includes Urban, Suburban and Farm customer’s premises which can be occupied on a year-round and seasonal basis.  Farm applies to properties actively engaged in agricultural production as defined by Statistics Canada.  These premises must be supplied from a single phase primary line.  The farm definition does not include tree, sod, or pet farms.  Services to year-round pumping stations or other ancillary services remote from the main farm shall be classed as farm.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</si>
  <si>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</si>
  <si>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</si>
  <si>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</si>
  <si>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</si>
  <si>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</si>
  <si>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</si>
  <si>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</si>
  <si>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Rate Rider for Smart Metering Entity Charge - effective until October 31, 2018</t>
  </si>
  <si>
    <t>$/kWh</t>
  </si>
  <si>
    <t>Low Voltage Service Rate</t>
  </si>
  <si>
    <t>Retail Transmission Rate - Network Service Rate</t>
  </si>
  <si>
    <t>Retail Transmission Rate - Line and Transformation Connection Service Rate</t>
  </si>
  <si>
    <t>Rate Rider for Disposition of Deferral/Variance Account (2014) - effective until April 30, 2015</t>
  </si>
  <si>
    <t>Rate Rider for Disposition of Global Adjustment Sub-Account (2014) - effective until April 30, 2015
  - Applicable only to Non-RPP Customers</t>
  </si>
  <si>
    <t>Rate Rider for Disposition of Stranded Meter Costs - effective until April 30, 2015</t>
  </si>
  <si>
    <t>Rate Rider for Disposition of Deferral/Variance Account 1576 for Accounting Changes under CGAAP
 - effective until April 30, 2019</t>
  </si>
  <si>
    <t>Renewable Energy Generation Funding Adder - effective until April 30, 2019</t>
  </si>
  <si>
    <t>MONTHLY RATES AND CHARGES - Regulatory Component</t>
  </si>
  <si>
    <t>Wholesale Market Service Rate</t>
  </si>
  <si>
    <t>Rural Rate Protection Charge</t>
  </si>
  <si>
    <t>Standard Supply Service - Administrative Charge (if applicable)</t>
  </si>
  <si>
    <t>GENERAL SERVICE LESS THAN 50 KW SERVICE CLASSIFICATION</t>
  </si>
  <si>
    <t>General Service does include farms supplied from polyphase primary lines.  General Service includes commercial, industrial, educational, administrative, auxiliary and government services.  It also includes combination services where a variety of uses are made of the service by the owner of one property.  This classification applies to a non-residential account whose average monthly maximum demand is less than, or is forecast to be less than, 50 kW.  Further servicing details are available in the distributor’s Conditions of Service.</t>
  </si>
  <si>
    <t>GENERAL SERVICE 50 TO 4,999 KW SERVICE CLASSIFICATION</t>
  </si>
  <si>
    <t>General Service does include farms supplied from polyphase primary lines.  General Service includes commercial, industrial, educational, administrative, auxiliary and government services.  It also includes combination services where a variety of uses are made of the service by the owner of one property.  This classification applies to a non-residential account whose average monthly maximum demand used for billing purposes is equal to or greater than, or is forecast to be equal to or greater than, 50 kW but less than 5,000 kW.  Further servicing details are available in the distributor’s Conditions of Service.</t>
  </si>
  <si>
    <t>$/kW</t>
  </si>
  <si>
    <t>SENTINEL LIGHTING SERVICE CLASSIFICATION</t>
  </si>
  <si>
    <t>This classification refers to an account that is an unmetered lighting load supplied to a sentinel light.  (Metered sentinel lighting is captured under the consumption of the principal service.)  The consumption for these customers is assumed to have the same hourly consumption load profile as for Street Lighting.  Further servicing details are available in the distributor’s Conditions of Service.</t>
  </si>
  <si>
    <t>Service Charge (per connection)</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</si>
  <si>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</si>
  <si>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</si>
  <si>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</si>
  <si>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 documentation with regard to electrical consumption of the unmetered load or periodic monitoring of actual consumption.  Further servicing details are available in the distributor’s Conditions of Service.</t>
  </si>
  <si>
    <t>EMBEDDED DISTRIBUTOR - Hydro One Networks Inc. SERVICE CLASSIFICATION</t>
  </si>
  <si>
    <t>This classification applies to Hydro One Networks Inc., an electricity distributor licensed by the Board, and provided electricity by means of Haldimand County Hydro Inc.’s distribution facilities.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</si>
  <si>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</si>
  <si>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</si>
  <si>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</si>
  <si>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</si>
  <si>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</si>
  <si>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</si>
  <si>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</si>
  <si>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</si>
  <si>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</si>
  <si>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</si>
  <si>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Legal letter charge</t>
  </si>
  <si>
    <t>Credit Reference/credit check (plus credit agency costs)</t>
  </si>
  <si>
    <t>Returned cheque charge (plus bank charges)</t>
  </si>
  <si>
    <t>Account set up charge/change of occupancy charge (plus credit agency costs if applicable)</t>
  </si>
  <si>
    <t>Meter dispute charge plus Measurement Canada fees (if meter found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</si>
  <si>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</si>
  <si>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</si>
  <si>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</si>
  <si>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</si>
  <si>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</si>
  <si>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</si>
  <si>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</si>
  <si>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</si>
  <si>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</si>
  <si>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</si>
  <si>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Temporary Service – Install &amp; remove – overhead – no transformer</t>
  </si>
  <si>
    <t>Specific Charge for Access to the Power Poles - $/pole/year</t>
  </si>
  <si>
    <t>Bell Canada Pole Rentals</t>
  </si>
  <si>
    <t>Norfolk Pole Rentals – Billed</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</si>
  <si>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</si>
  <si>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</si>
  <si>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</si>
  <si>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</si>
  <si>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</si>
  <si>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</si>
  <si>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</si>
  <si>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</si>
  <si>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</si>
  <si>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</si>
  <si>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</si>
  <si>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</si>
  <si>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</si>
  <si>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</si>
  <si>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</si>
  <si>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</si>
  <si>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</si>
  <si>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</si>
  <si>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</si>
  <si>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</si>
  <si>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</si>
  <si>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</si>
  <si>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</si>
  <si>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</si>
  <si>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Total Loss Factor – Embedded Distributor – Hydro One Networks Inc.</t>
  </si>
  <si>
    <t>Appendix 2-YB - Updated with Interrogatory Responses</t>
  </si>
  <si>
    <t>Summary of Impacts to Revenue Requirement</t>
  </si>
  <si>
    <t>from Accounting Changes under CGAAP or ASPE</t>
  </si>
  <si>
    <t>Revenue Requirement Component</t>
  </si>
  <si>
    <t xml:space="preserve">Reasons why the revenue requirement </t>
  </si>
  <si>
    <t>CGAAP or ASPE</t>
  </si>
  <si>
    <t>component is different under</t>
  </si>
  <si>
    <t>with the</t>
  </si>
  <si>
    <t>without the</t>
  </si>
  <si>
    <t>CGAAP or ASPE with the changes to the policies</t>
  </si>
  <si>
    <t>changes to</t>
  </si>
  <si>
    <t>versus CGAAP without the changes to the policies</t>
  </si>
  <si>
    <t>the policies</t>
  </si>
  <si>
    <t>Closing NBV 2013</t>
  </si>
  <si>
    <t>PPE Adjustment booked to a/c 1576 - change in 
useful lives</t>
  </si>
  <si>
    <t>Closing NBV 2014</t>
  </si>
  <si>
    <t>Change in useful lives completed January 1, 2013</t>
  </si>
  <si>
    <t>Average NBV</t>
  </si>
  <si>
    <t>Working Capital</t>
  </si>
  <si>
    <t>Rate Base</t>
  </si>
  <si>
    <t>Return on Rate Base</t>
  </si>
  <si>
    <t>Change in useful lives</t>
  </si>
  <si>
    <t>OM&amp;A</t>
  </si>
  <si>
    <t>Depreciation</t>
  </si>
  <si>
    <t>PILs or Income Taxes</t>
  </si>
  <si>
    <t>Tax affect on above</t>
  </si>
  <si>
    <t>Less: Revenue Offsets</t>
  </si>
  <si>
    <t>Total Base Revenue Requirement</t>
  </si>
  <si>
    <t xml:space="preserve">For  CGAAP or ASPE applications, the applicants must provide a summary of the dollar impacts of CGAAP or ASPE to each component of the revenue requirement (e.g. rate base, operating costs, etc.), including the overall impact on the proposed revenue requirement.  Accordingly, the applicants must identify financial differences and resulting revenue requirement impacts arising from making capitalization and depreciation expense policy changes under CGAAP or ASPE.  </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</si>
</sst>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 #,##0_-;_-* &quot;-&quot;??_-;_-@_-"/>
    <numFmt numFmtId="165" formatCode="_-* #,##0_-;\ * \(#,##0\)_-;_-* &quot;-&quot;??_-;_-@_-"/>
    <numFmt numFmtId="166" formatCode="0.0%"/>
    <numFmt numFmtId="167" formatCode="_-&quot;$&quot;* #,##0_-;\ &quot;$&quot;* \(#,##0\)_-;_-&quot;$&quot;* &quot;-&quot;??_-;_-@_-"/>
    <numFmt numFmtId="168" formatCode="#,##0;\(#,##0\)"/>
    <numFmt numFmtId="169" formatCode="_-&quot;$&quot;* #,##0_-;\-&quot;$&quot;* #,##0_-;_-&quot;$&quot;* &quot;-&quot;??_-;_-@_-"/>
    <numFmt numFmtId="170" formatCode="_$* \(#,##0\)_-;&quot;$&quot;* \(#,##0\)_-;_-&quot;$&quot;* &quot;-&quot;??_-;_-@_-"/>
    <numFmt numFmtId="171" formatCode="_(* #,##0.0_);_(* \(#,##0.0\);_(* &quot;-&quot;??_);_(@_)"/>
    <numFmt numFmtId="172" formatCode="#,##0.0"/>
    <numFmt numFmtId="173" formatCode="mm/dd/yyyy"/>
    <numFmt numFmtId="174" formatCode="0\-0"/>
    <numFmt numFmtId="175" formatCode="_(* #,##0.00_);_(* \(#,##0.00\);_(* &quot;-&quot;??_);_(@_)"/>
    <numFmt numFmtId="176" formatCode="ddd\-mmm\-d\ hAM/PM"/>
    <numFmt numFmtId="177" formatCode="#,##0.0_ ;[Red]\-#,##0.0\ "/>
    <numFmt numFmtId="178" formatCode="_(&quot;$&quot;* #,##0.00_);_(&quot;$&quot;* \(#,##0.00\);_(&quot;$&quot;* &quot;-&quot;??_);_(@_)"/>
    <numFmt numFmtId="179" formatCode="&quot;$&quot;#,##0_);\(&quot;$&quot;#,##0\)"/>
    <numFmt numFmtId="180" formatCode="##\-#"/>
    <numFmt numFmtId="181" formatCode="_(* #,##0_);_(* \(#,##0\);_(* &quot;-&quot;??_);_(@_)"/>
    <numFmt numFmtId="182" formatCode="&quot;£ &quot;#,##0.00;[Red]\-&quot;£ &quot;#,##0.00"/>
    <numFmt numFmtId="183" formatCode="_-* #,##0.00_-;\ * \(#,##0.00\)_-;_-* &quot;-&quot;??_-;_-@_-"/>
    <numFmt numFmtId="184" formatCode="[$-1009]mmmm\ d\,\ yyyy;@"/>
    <numFmt numFmtId="185" formatCode="0_ ;\-0\ "/>
    <numFmt numFmtId="186" formatCode="#,##0_ ;\-#,##0\ "/>
    <numFmt numFmtId="187" formatCode="0.0000%"/>
    <numFmt numFmtId="188" formatCode="0.0000"/>
    <numFmt numFmtId="189" formatCode="_-&quot;$&quot;* #,##0.0000_-;\-&quot;$&quot;* #,##0.0000_-;_-&quot;$&quot;* &quot;-&quot;??_-;_-@_-"/>
    <numFmt numFmtId="190" formatCode="#,##0.00;[Red]\(#,##0.00\)"/>
    <numFmt numFmtId="191" formatCode="#,##0.0000;[Red]\(#,##0.0000\)"/>
    <numFmt numFmtId="192" formatCode="[$-409]mmmm\ d\,\ yyyy;@"/>
  </numFmts>
  <fonts count="80" x14ac:knownFonts="1">
    <font>
      <sz val="12"/>
      <color theme="1"/>
      <name val="Arial"/>
      <family val="2"/>
    </font>
    <font>
      <sz val="12"/>
      <color theme="1"/>
      <name val="Arial"/>
      <family val="2"/>
    </font>
    <font>
      <b/>
      <sz val="15"/>
      <color theme="3"/>
      <name val="Arial"/>
      <family val="2"/>
    </font>
    <font>
      <b/>
      <sz val="13"/>
      <color theme="3"/>
      <name val="Arial"/>
      <family val="2"/>
    </font>
    <font>
      <b/>
      <sz val="11"/>
      <color theme="3"/>
      <name val="Arial"/>
      <family val="2"/>
    </font>
    <font>
      <b/>
      <sz val="12"/>
      <color theme="1"/>
      <name val="Arial"/>
      <family val="2"/>
    </font>
    <font>
      <sz val="10"/>
      <name val="Arial"/>
      <family val="2"/>
    </font>
    <font>
      <b/>
      <sz val="14"/>
      <name val="Arial"/>
      <family val="2"/>
    </font>
    <font>
      <sz val="11"/>
      <color indexed="8"/>
      <name val="Calibri"/>
      <family val="2"/>
    </font>
    <font>
      <b/>
      <sz val="10"/>
      <name val="Arial"/>
      <family val="2"/>
    </font>
    <font>
      <sz val="10"/>
      <color indexed="8"/>
      <name val="Arial"/>
      <family val="2"/>
    </font>
    <font>
      <sz val="10"/>
      <color indexed="8"/>
      <name val="Calibri"/>
      <family val="2"/>
    </font>
    <font>
      <b/>
      <sz val="10"/>
      <color indexed="8"/>
      <name val="Arial"/>
      <family val="2"/>
    </font>
    <font>
      <b/>
      <i/>
      <sz val="10"/>
      <name val="Arial"/>
      <family val="2"/>
    </font>
    <font>
      <sz val="8"/>
      <name val="Arial"/>
      <family val="2"/>
    </font>
    <font>
      <b/>
      <sz val="11"/>
      <name val="Arial"/>
      <family val="2"/>
    </font>
    <font>
      <b/>
      <sz val="12"/>
      <name val="Arial"/>
      <family val="2"/>
    </font>
    <font>
      <b/>
      <sz val="8"/>
      <name val="Arial"/>
      <family val="2"/>
    </font>
    <font>
      <b/>
      <sz val="9"/>
      <name val="Arial"/>
      <family val="2"/>
    </font>
    <font>
      <i/>
      <sz val="12"/>
      <color theme="1"/>
      <name val="Calibri"/>
      <family val="2"/>
      <scheme val="minor"/>
    </font>
    <font>
      <i/>
      <sz val="10"/>
      <name val="Arial"/>
      <family val="2"/>
    </font>
    <font>
      <b/>
      <sz val="11"/>
      <color theme="1"/>
      <name val="Calibri"/>
      <family val="2"/>
      <scheme val="minor"/>
    </font>
    <font>
      <b/>
      <sz val="14"/>
      <color theme="1"/>
      <name val="Calibri"/>
      <family val="2"/>
      <scheme val="minor"/>
    </font>
    <font>
      <sz val="10"/>
      <color theme="3" tint="0.39997558519241921"/>
      <name val="Arial"/>
      <family val="2"/>
    </font>
    <font>
      <b/>
      <u/>
      <sz val="11"/>
      <name val="Arial"/>
      <family val="2"/>
    </font>
    <font>
      <sz val="10"/>
      <color theme="1"/>
      <name val="Arial"/>
      <family val="2"/>
    </font>
    <font>
      <sz val="10"/>
      <color indexed="9"/>
      <name val="Arial"/>
      <family val="2"/>
    </font>
    <font>
      <sz val="10"/>
      <color theme="0"/>
      <name val="Arial"/>
      <family val="2"/>
    </font>
    <font>
      <sz val="10"/>
      <color indexed="20"/>
      <name val="Arial"/>
      <family val="2"/>
    </font>
    <font>
      <sz val="10"/>
      <color rgb="FF9C0006"/>
      <name val="Arial"/>
      <family val="2"/>
    </font>
    <font>
      <b/>
      <sz val="10"/>
      <color indexed="52"/>
      <name val="Arial"/>
      <family val="2"/>
    </font>
    <font>
      <b/>
      <sz val="10"/>
      <color rgb="FFFA7D00"/>
      <name val="Arial"/>
      <family val="2"/>
    </font>
    <font>
      <b/>
      <sz val="10"/>
      <color indexed="9"/>
      <name val="Arial"/>
      <family val="2"/>
    </font>
    <font>
      <b/>
      <sz val="10"/>
      <color theme="0"/>
      <name val="Arial"/>
      <family val="2"/>
    </font>
    <font>
      <sz val="11"/>
      <color theme="1"/>
      <name val="Calibri"/>
      <family val="2"/>
      <scheme val="minor"/>
    </font>
    <font>
      <sz val="10"/>
      <name val="Times New Roman"/>
      <family val="1"/>
    </font>
    <font>
      <sz val="8"/>
      <color theme="1"/>
      <name val="Arial"/>
      <family val="2"/>
    </font>
    <font>
      <sz val="11"/>
      <color theme="1"/>
      <name val="Arial"/>
      <family val="2"/>
    </font>
    <font>
      <i/>
      <sz val="10"/>
      <color indexed="23"/>
      <name val="Arial"/>
      <family val="2"/>
    </font>
    <font>
      <i/>
      <sz val="10"/>
      <color rgb="FF7F7F7F"/>
      <name val="Arial"/>
      <family val="2"/>
    </font>
    <font>
      <sz val="10"/>
      <color indexed="17"/>
      <name val="Arial"/>
      <family val="2"/>
    </font>
    <font>
      <sz val="10"/>
      <color rgb="FF006100"/>
      <name val="Arial"/>
      <family val="2"/>
    </font>
    <font>
      <b/>
      <sz val="18"/>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0"/>
      <color indexed="62"/>
      <name val="Arial"/>
      <family val="2"/>
    </font>
    <font>
      <sz val="10"/>
      <color rgb="FF3F3F76"/>
      <name val="Arial"/>
      <family val="2"/>
    </font>
    <font>
      <sz val="10"/>
      <color indexed="52"/>
      <name val="Arial"/>
      <family val="2"/>
    </font>
    <font>
      <sz val="10"/>
      <color rgb="FFFA7D00"/>
      <name val="Arial"/>
      <family val="2"/>
    </font>
    <font>
      <sz val="10"/>
      <color indexed="60"/>
      <name val="Arial"/>
      <family val="2"/>
    </font>
    <font>
      <sz val="10"/>
      <color rgb="FF9C6500"/>
      <name val="Arial"/>
      <family val="2"/>
    </font>
    <font>
      <sz val="10"/>
      <name val="Verdana"/>
      <family val="2"/>
    </font>
    <font>
      <sz val="12"/>
      <name val="Arial"/>
      <family val="2"/>
    </font>
    <font>
      <b/>
      <sz val="10"/>
      <color indexed="63"/>
      <name val="Arial"/>
      <family val="2"/>
    </font>
    <font>
      <b/>
      <sz val="10"/>
      <color rgb="FF3F3F3F"/>
      <name val="Arial"/>
      <family val="2"/>
    </font>
    <font>
      <b/>
      <sz val="18"/>
      <color indexed="56"/>
      <name val="Cambria"/>
      <family val="2"/>
    </font>
    <font>
      <b/>
      <sz val="10"/>
      <color theme="1"/>
      <name val="Arial"/>
      <family val="2"/>
    </font>
    <font>
      <sz val="10"/>
      <color indexed="10"/>
      <name val="Arial"/>
      <family val="2"/>
    </font>
    <font>
      <sz val="10"/>
      <color rgb="FFFF0000"/>
      <name val="Arial"/>
      <family val="2"/>
    </font>
    <font>
      <sz val="10"/>
      <name val="Calibri"/>
      <family val="2"/>
      <scheme val="minor"/>
    </font>
    <font>
      <sz val="11"/>
      <name val="Calibri"/>
      <family val="2"/>
      <scheme val="minor"/>
    </font>
    <font>
      <sz val="11"/>
      <color theme="0"/>
      <name val="Calibri"/>
      <family val="2"/>
      <scheme val="minor"/>
    </font>
    <font>
      <b/>
      <i/>
      <sz val="11"/>
      <color theme="1"/>
      <name val="Calibri"/>
      <family val="2"/>
      <scheme val="minor"/>
    </font>
    <font>
      <i/>
      <sz val="11"/>
      <color theme="1"/>
      <name val="Calibri"/>
      <family val="2"/>
      <scheme val="minor"/>
    </font>
    <font>
      <sz val="11"/>
      <color rgb="FFFF0000"/>
      <name val="Calibri"/>
      <family val="2"/>
      <scheme val="minor"/>
    </font>
    <font>
      <b/>
      <u/>
      <sz val="10"/>
      <name val="Arial"/>
      <family val="2"/>
    </font>
    <font>
      <sz val="16"/>
      <color indexed="12"/>
      <name val="Algerian"/>
      <family val="5"/>
    </font>
    <font>
      <sz val="14"/>
      <name val="Arial"/>
      <family val="2"/>
    </font>
    <font>
      <vertAlign val="superscript"/>
      <sz val="10"/>
      <name val="Arial"/>
      <family val="2"/>
    </font>
    <font>
      <b/>
      <sz val="10"/>
      <color theme="5"/>
      <name val="Arial"/>
      <family val="2"/>
    </font>
    <font>
      <b/>
      <sz val="18"/>
      <color theme="1"/>
      <name val="Arial"/>
      <family val="2"/>
    </font>
    <font>
      <b/>
      <sz val="14"/>
      <color theme="1"/>
      <name val="Arial"/>
      <family val="2"/>
    </font>
    <font>
      <b/>
      <sz val="11"/>
      <color theme="1"/>
      <name val="Arial"/>
      <family val="2"/>
    </font>
    <font>
      <b/>
      <sz val="8"/>
      <color theme="1"/>
      <name val="Arial"/>
      <family val="2"/>
    </font>
    <font>
      <sz val="9"/>
      <name val="Arial"/>
      <family val="2"/>
    </font>
    <font>
      <sz val="8"/>
      <color rgb="FF000000"/>
      <name val="Arial"/>
      <family val="2"/>
    </font>
    <font>
      <sz val="9"/>
      <color theme="1"/>
      <name val="Arial"/>
      <family val="2"/>
    </font>
    <font>
      <b/>
      <sz val="16"/>
      <name val="Arial"/>
      <family val="2"/>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Down">
        <bgColor indexed="55"/>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lightDown">
        <bgColor theme="0" tint="-0.249977111117893"/>
      </patternFill>
    </fill>
    <fill>
      <patternFill patternType="solid">
        <fgColor theme="0"/>
        <bgColor indexed="64"/>
      </patternFill>
    </fill>
    <fill>
      <patternFill patternType="lightDown">
        <bgColor theme="0" tint="-0.34998626667073579"/>
      </patternFill>
    </fill>
    <fill>
      <patternFill patternType="solid">
        <fgColor rgb="FFFFFF9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79995117038483843"/>
        <bgColor indexed="64"/>
      </patternFill>
    </fill>
    <fill>
      <patternFill patternType="solid">
        <fgColor theme="6" tint="0.79995117038483843"/>
        <bgColor indexed="64"/>
      </patternFill>
    </fill>
  </fills>
  <borders count="1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op>
      <bottom/>
      <diagonal/>
    </border>
    <border>
      <left/>
      <right style="double">
        <color indexed="64"/>
      </right>
      <top style="thin">
        <color theme="0"/>
      </top>
      <bottom/>
      <diagonal/>
    </border>
    <border>
      <left style="medium">
        <color indexed="64"/>
      </left>
      <right/>
      <top/>
      <bottom style="medium">
        <color indexed="64"/>
      </bottom>
      <diagonal/>
    </border>
    <border>
      <left/>
      <right style="double">
        <color indexed="64"/>
      </right>
      <top/>
      <bottom style="medium">
        <color indexed="64"/>
      </bottom>
      <diagonal/>
    </border>
    <border>
      <left/>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ck">
        <color theme="0"/>
      </bottom>
      <diagonal/>
    </border>
    <border>
      <left style="thick">
        <color theme="0"/>
      </left>
      <right/>
      <top/>
      <bottom style="thick">
        <color theme="0"/>
      </bottom>
      <diagonal/>
    </border>
    <border>
      <left/>
      <right/>
      <top style="thick">
        <color theme="0"/>
      </top>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ck">
        <color theme="0"/>
      </right>
      <top/>
      <bottom/>
      <diagonal/>
    </border>
    <border>
      <left style="thick">
        <color theme="0"/>
      </left>
      <right/>
      <top/>
      <bottom/>
      <diagonal/>
    </border>
    <border>
      <left style="thick">
        <color theme="0"/>
      </left>
      <right/>
      <top style="thick">
        <color theme="0"/>
      </top>
      <bottom/>
      <diagonal/>
    </border>
    <border>
      <left style="thick">
        <color theme="0"/>
      </left>
      <right/>
      <top style="thick">
        <color theme="0"/>
      </top>
      <bottom style="thick">
        <color theme="0"/>
      </bottom>
      <diagonal/>
    </border>
    <border>
      <left style="medium">
        <color indexed="9"/>
      </left>
      <right style="medium">
        <color indexed="9"/>
      </right>
      <top/>
      <bottom style="thin">
        <color indexed="9"/>
      </bottom>
      <diagonal/>
    </border>
    <border>
      <left/>
      <right/>
      <top/>
      <bottom style="thin">
        <color indexed="9"/>
      </bottom>
      <diagonal/>
    </border>
    <border>
      <left style="medium">
        <color indexed="9"/>
      </left>
      <right style="medium">
        <color indexed="9"/>
      </right>
      <top/>
      <bottom/>
      <diagonal/>
    </border>
    <border>
      <left style="thin">
        <color theme="0"/>
      </left>
      <right style="thin">
        <color theme="0"/>
      </right>
      <top/>
      <bottom style="thin">
        <color theme="0"/>
      </bottom>
      <diagonal/>
    </border>
    <border>
      <left/>
      <right/>
      <top style="thin">
        <color theme="0"/>
      </top>
      <bottom style="thick">
        <color theme="0"/>
      </bottom>
      <diagonal/>
    </border>
    <border>
      <left/>
      <right style="thin">
        <color theme="0"/>
      </right>
      <top style="thin">
        <color theme="0"/>
      </top>
      <bottom style="thick">
        <color theme="0"/>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43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0" fontId="8" fillId="0" borderId="0"/>
    <xf numFmtId="44" fontId="6" fillId="0" borderId="0" applyFont="0" applyFill="0" applyBorder="0" applyAlignment="0" applyProtection="0"/>
    <xf numFmtId="171" fontId="6" fillId="0" borderId="0"/>
    <xf numFmtId="172" fontId="6" fillId="0" borderId="0"/>
    <xf numFmtId="173" fontId="6" fillId="0" borderId="0"/>
    <xf numFmtId="174" fontId="6" fillId="0" borderId="0"/>
    <xf numFmtId="0" fontId="10" fillId="37"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10" fillId="38"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10" fillId="39"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10" fillId="4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10" fillId="41"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10" fillId="42"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10" fillId="43"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10" fillId="4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10" fillId="45"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10" fillId="40"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0" fillId="43"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10" fillId="46"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6" fillId="47"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6" fillId="4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6" fillId="45"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6" fillId="48"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6" fillId="49"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6" fillId="50"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6" fillId="51"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6" fillId="5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6" fillId="53"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6" fillId="48"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6" fillId="49"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6" fillId="54"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8" fillId="38"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30" fillId="55" borderId="56" applyNumberFormat="0" applyAlignment="0" applyProtection="0"/>
    <xf numFmtId="0" fontId="31" fillId="6" borderId="4" applyNumberFormat="0" applyAlignment="0" applyProtection="0"/>
    <xf numFmtId="0" fontId="31" fillId="6" borderId="4" applyNumberFormat="0" applyAlignment="0" applyProtection="0"/>
    <xf numFmtId="0" fontId="31" fillId="6" borderId="4" applyNumberFormat="0" applyAlignment="0" applyProtection="0"/>
    <xf numFmtId="0" fontId="31" fillId="6" borderId="4" applyNumberFormat="0" applyAlignment="0" applyProtection="0"/>
    <xf numFmtId="0" fontId="32" fillId="56" borderId="57" applyNumberFormat="0" applyAlignment="0" applyProtection="0"/>
    <xf numFmtId="0" fontId="33" fillId="7" borderId="7" applyNumberFormat="0" applyAlignment="0" applyProtection="0"/>
    <xf numFmtId="0" fontId="33" fillId="7" borderId="7" applyNumberFormat="0" applyAlignment="0" applyProtection="0"/>
    <xf numFmtId="0" fontId="33" fillId="7" borderId="7" applyNumberFormat="0" applyAlignment="0" applyProtection="0"/>
    <xf numFmtId="0" fontId="33" fillId="7" borderId="7" applyNumberFormat="0" applyAlignment="0" applyProtection="0"/>
    <xf numFmtId="43" fontId="6"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175" fontId="25" fillId="0" borderId="0" applyFont="0" applyFill="0" applyBorder="0" applyAlignment="0" applyProtection="0"/>
    <xf numFmtId="43" fontId="1"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175" fontId="35" fillId="0" borderId="0" applyFont="0" applyFill="0" applyBorder="0" applyAlignment="0" applyProtection="0"/>
    <xf numFmtId="175" fontId="6" fillId="0" borderId="0" applyFont="0" applyFill="0" applyBorder="0" applyAlignment="0" applyProtection="0"/>
    <xf numFmtId="175" fontId="35" fillId="0" borderId="0" applyFont="0" applyFill="0" applyBorder="0" applyAlignment="0" applyProtection="0"/>
    <xf numFmtId="175" fontId="10" fillId="0" borderId="0" applyFont="0" applyFill="0" applyBorder="0" applyAlignment="0" applyProtection="0"/>
    <xf numFmtId="43" fontId="36" fillId="0" borderId="0" applyFont="0" applyFill="0" applyBorder="0" applyAlignment="0" applyProtection="0"/>
    <xf numFmtId="43" fontId="6" fillId="0" borderId="0" applyFont="0" applyFill="0" applyBorder="0" applyAlignment="0" applyProtection="0"/>
    <xf numFmtId="175" fontId="14"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5" fontId="1" fillId="0" borderId="0" applyFont="0" applyFill="0" applyBorder="0" applyAlignment="0" applyProtection="0"/>
    <xf numFmtId="175" fontId="37" fillId="0" borderId="0" applyFont="0" applyFill="0" applyBorder="0" applyAlignment="0" applyProtection="0"/>
    <xf numFmtId="175" fontId="34"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78" fontId="25" fillId="0" borderId="0" applyFont="0" applyFill="0" applyBorder="0" applyAlignment="0" applyProtection="0"/>
    <xf numFmtId="178" fontId="6" fillId="0" borderId="0" applyFont="0" applyFill="0" applyBorder="0" applyAlignment="0" applyProtection="0"/>
    <xf numFmtId="44" fontId="34" fillId="0" borderId="0" applyFont="0" applyFill="0" applyBorder="0" applyAlignment="0" applyProtection="0"/>
    <xf numFmtId="178" fontId="35" fillId="0" borderId="0" applyFont="0" applyFill="0" applyBorder="0" applyAlignment="0" applyProtection="0"/>
    <xf numFmtId="178" fontId="35" fillId="0" borderId="0" applyFont="0" applyFill="0" applyBorder="0" applyAlignment="0" applyProtection="0"/>
    <xf numFmtId="178" fontId="10"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34"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178" fontId="1"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79" fontId="6" fillId="0" borderId="0" applyFont="0" applyFill="0" applyBorder="0" applyAlignment="0" applyProtection="0"/>
    <xf numFmtId="14" fontId="6" fillId="0" borderId="0" applyFont="0" applyFill="0" applyBorder="0" applyAlignment="0" applyProtection="0"/>
    <xf numFmtId="14" fontId="6" fillId="0" borderId="0" applyFont="0" applyFill="0" applyBorder="0" applyAlignment="0" applyProtection="0"/>
    <xf numFmtId="14" fontId="6" fillId="0" borderId="0" applyFont="0" applyFill="0" applyBorder="0" applyAlignment="0" applyProtection="0"/>
    <xf numFmtId="14" fontId="6" fillId="0" borderId="0" applyFont="0" applyFill="0" applyBorder="0" applyAlignment="0" applyProtection="0"/>
    <xf numFmtId="14" fontId="6" fillId="0" borderId="0" applyFont="0" applyFill="0" applyBorder="0" applyAlignment="0" applyProtection="0"/>
    <xf numFmtId="14" fontId="6" fillId="0" borderId="0" applyFont="0" applyFill="0" applyBorder="0" applyAlignment="0" applyProtection="0"/>
    <xf numFmtId="14" fontId="6" fillId="0" borderId="0" applyFont="0" applyFill="0" applyBorder="0" applyAlignment="0" applyProtection="0"/>
    <xf numFmtId="14" fontId="6" fillId="0" borderId="0" applyFont="0" applyFill="0" applyBorder="0" applyAlignment="0" applyProtection="0"/>
    <xf numFmtId="14" fontId="6"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0" fontId="40" fillId="39"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38" fontId="14" fillId="57" borderId="0" applyNumberFormat="0" applyBorder="0" applyAlignment="0" applyProtection="0"/>
    <xf numFmtId="0" fontId="42" fillId="0" borderId="0" applyNumberFormat="0" applyFont="0" applyFill="0" applyAlignment="0" applyProtection="0"/>
    <xf numFmtId="0" fontId="42" fillId="0" borderId="0" applyNumberFormat="0" applyFont="0" applyFill="0" applyAlignment="0" applyProtection="0"/>
    <xf numFmtId="0" fontId="42" fillId="0" borderId="0" applyNumberFormat="0" applyFont="0" applyFill="0" applyAlignment="0" applyProtection="0"/>
    <xf numFmtId="0" fontId="43" fillId="0" borderId="58" applyNumberFormat="0" applyFill="0" applyAlignment="0" applyProtection="0"/>
    <xf numFmtId="0" fontId="2" fillId="0" borderId="1" applyNumberFormat="0" applyFill="0" applyAlignment="0" applyProtection="0"/>
    <xf numFmtId="0" fontId="2" fillId="0" borderId="1" applyNumberFormat="0" applyFill="0" applyAlignment="0" applyProtection="0"/>
    <xf numFmtId="0" fontId="42" fillId="0" borderId="0" applyNumberFormat="0" applyFont="0" applyFill="0" applyAlignment="0" applyProtection="0"/>
    <xf numFmtId="0" fontId="42" fillId="0" borderId="0" applyNumberFormat="0" applyFont="0" applyFill="0" applyAlignment="0" applyProtection="0"/>
    <xf numFmtId="0" fontId="42" fillId="0" borderId="0" applyNumberFormat="0" applyFont="0" applyFill="0" applyAlignment="0" applyProtection="0"/>
    <xf numFmtId="0" fontId="42" fillId="0" borderId="0" applyNumberFormat="0" applyFont="0" applyFill="0" applyAlignment="0" applyProtection="0"/>
    <xf numFmtId="0" fontId="42" fillId="0" borderId="0" applyNumberFormat="0" applyFont="0" applyFill="0" applyAlignment="0" applyProtection="0"/>
    <xf numFmtId="0" fontId="42" fillId="0" borderId="0" applyNumberFormat="0" applyFont="0" applyFill="0" applyAlignment="0" applyProtection="0"/>
    <xf numFmtId="0" fontId="42"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44" fillId="0" borderId="59"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45" fillId="0" borderId="60"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applyNumberFormat="0" applyFill="0" applyBorder="0" applyAlignment="0" applyProtection="0">
      <alignment vertical="top"/>
      <protection locked="0"/>
    </xf>
    <xf numFmtId="10" fontId="14" fillId="58" borderId="9" applyNumberFormat="0" applyBorder="0" applyAlignment="0" applyProtection="0"/>
    <xf numFmtId="0" fontId="47" fillId="42" borderId="56" applyNumberFormat="0" applyAlignment="0" applyProtection="0"/>
    <xf numFmtId="0" fontId="48" fillId="5" borderId="4" applyNumberFormat="0" applyAlignment="0" applyProtection="0"/>
    <xf numFmtId="0" fontId="48" fillId="5" borderId="4" applyNumberFormat="0" applyAlignment="0" applyProtection="0"/>
    <xf numFmtId="0" fontId="48" fillId="5" borderId="4" applyNumberFormat="0" applyAlignment="0" applyProtection="0"/>
    <xf numFmtId="0" fontId="48" fillId="5" borderId="4" applyNumberFormat="0" applyAlignment="0" applyProtection="0"/>
    <xf numFmtId="0" fontId="49" fillId="0" borderId="61" applyNumberFormat="0" applyFill="0" applyAlignment="0" applyProtection="0"/>
    <xf numFmtId="0" fontId="50" fillId="0" borderId="6" applyNumberFormat="0" applyFill="0" applyAlignment="0" applyProtection="0"/>
    <xf numFmtId="0" fontId="50" fillId="0" borderId="6" applyNumberFormat="0" applyFill="0" applyAlignment="0" applyProtection="0"/>
    <xf numFmtId="0" fontId="50" fillId="0" borderId="6" applyNumberFormat="0" applyFill="0" applyAlignment="0" applyProtection="0"/>
    <xf numFmtId="0" fontId="50" fillId="0" borderId="6" applyNumberFormat="0" applyFill="0" applyAlignment="0" applyProtection="0"/>
    <xf numFmtId="180" fontId="6" fillId="0" borderId="0"/>
    <xf numFmtId="181" fontId="6" fillId="0" borderId="0"/>
    <xf numFmtId="0" fontId="51" fillId="5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82" fontId="6" fillId="0" borderId="0"/>
    <xf numFmtId="0" fontId="6" fillId="0" borderId="0"/>
    <xf numFmtId="0" fontId="10" fillId="0" borderId="0">
      <alignment vertical="top"/>
    </xf>
    <xf numFmtId="0" fontId="10" fillId="0" borderId="0">
      <alignment vertical="top"/>
    </xf>
    <xf numFmtId="0" fontId="10" fillId="0" borderId="0">
      <alignment vertical="top"/>
    </xf>
    <xf numFmtId="0" fontId="34" fillId="0" borderId="0"/>
    <xf numFmtId="0" fontId="10" fillId="0" borderId="0">
      <alignment vertical="top"/>
    </xf>
    <xf numFmtId="0" fontId="10" fillId="0" borderId="0">
      <alignment vertical="top"/>
    </xf>
    <xf numFmtId="0" fontId="10" fillId="0" borderId="0">
      <alignment vertical="top"/>
    </xf>
    <xf numFmtId="0" fontId="6" fillId="0" borderId="0"/>
    <xf numFmtId="0" fontId="10" fillId="0" borderId="0">
      <alignment vertical="top"/>
    </xf>
    <xf numFmtId="0" fontId="6" fillId="0" borderId="0"/>
    <xf numFmtId="0" fontId="6" fillId="0" borderId="0"/>
    <xf numFmtId="0" fontId="6" fillId="0" borderId="0"/>
    <xf numFmtId="0" fontId="6" fillId="0" borderId="0"/>
    <xf numFmtId="0" fontId="6" fillId="0" borderId="0"/>
    <xf numFmtId="0" fontId="10" fillId="0" borderId="0">
      <alignment vertical="top"/>
    </xf>
    <xf numFmtId="0" fontId="6" fillId="0" borderId="0"/>
    <xf numFmtId="0" fontId="1" fillId="0" borderId="0"/>
    <xf numFmtId="0" fontId="6" fillId="0" borderId="0"/>
    <xf numFmtId="0" fontId="6" fillId="0" borderId="0"/>
    <xf numFmtId="0" fontId="6" fillId="0" borderId="0"/>
    <xf numFmtId="0" fontId="1" fillId="0" borderId="0"/>
    <xf numFmtId="0" fontId="53" fillId="0" borderId="0"/>
    <xf numFmtId="0" fontId="6" fillId="0" borderId="0"/>
    <xf numFmtId="0" fontId="6" fillId="0" borderId="0"/>
    <xf numFmtId="0" fontId="6" fillId="0" borderId="0"/>
    <xf numFmtId="0" fontId="1" fillId="0" borderId="0"/>
    <xf numFmtId="0" fontId="36" fillId="0" borderId="0"/>
    <xf numFmtId="0" fontId="25" fillId="0" borderId="0"/>
    <xf numFmtId="0" fontId="10" fillId="0" borderId="0">
      <alignment vertical="top"/>
    </xf>
    <xf numFmtId="0" fontId="25" fillId="0" borderId="0"/>
    <xf numFmtId="0" fontId="25" fillId="0" borderId="0"/>
    <xf numFmtId="0" fontId="25" fillId="0" borderId="0"/>
    <xf numFmtId="0" fontId="25" fillId="0" borderId="0"/>
    <xf numFmtId="0" fontId="10" fillId="0" borderId="0">
      <alignment vertical="top"/>
    </xf>
    <xf numFmtId="0" fontId="25" fillId="0" borderId="0"/>
    <xf numFmtId="0" fontId="10" fillId="0" borderId="0">
      <alignment vertical="top"/>
    </xf>
    <xf numFmtId="0" fontId="10" fillId="0" borderId="0">
      <alignment vertical="top"/>
    </xf>
    <xf numFmtId="0" fontId="10" fillId="0" borderId="0">
      <alignment vertical="top"/>
    </xf>
    <xf numFmtId="0" fontId="25" fillId="0" borderId="0"/>
    <xf numFmtId="0" fontId="6" fillId="0" borderId="0"/>
    <xf numFmtId="0" fontId="25" fillId="0" borderId="0"/>
    <xf numFmtId="0" fontId="54" fillId="0" borderId="0"/>
    <xf numFmtId="0" fontId="6" fillId="0" borderId="0"/>
    <xf numFmtId="0" fontId="34" fillId="0" borderId="0"/>
    <xf numFmtId="0" fontId="14" fillId="0" borderId="0"/>
    <xf numFmtId="0" fontId="6" fillId="0" borderId="0"/>
    <xf numFmtId="0" fontId="6" fillId="0" borderId="0"/>
    <xf numFmtId="0" fontId="10" fillId="0" borderId="0">
      <alignment vertical="top"/>
    </xf>
    <xf numFmtId="0" fontId="6" fillId="36" borderId="0"/>
    <xf numFmtId="0" fontId="6" fillId="36" borderId="0"/>
    <xf numFmtId="0" fontId="6" fillId="0" borderId="0"/>
    <xf numFmtId="0" fontId="6" fillId="0" borderId="0"/>
    <xf numFmtId="0" fontId="6" fillId="36"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6" fillId="0" borderId="0"/>
    <xf numFmtId="0" fontId="6" fillId="0" borderId="0"/>
    <xf numFmtId="0" fontId="6" fillId="0" borderId="0"/>
    <xf numFmtId="0" fontId="6" fillId="0" borderId="0"/>
    <xf numFmtId="0" fontId="34"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34"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34" fillId="0" borderId="0"/>
    <xf numFmtId="0" fontId="6" fillId="0" borderId="0"/>
    <xf numFmtId="0" fontId="6" fillId="0" borderId="0"/>
    <xf numFmtId="0" fontId="6" fillId="0" borderId="0"/>
    <xf numFmtId="0" fontId="54" fillId="60" borderId="62" applyNumberFormat="0" applyFont="0" applyAlignment="0" applyProtection="0"/>
    <xf numFmtId="0" fontId="55" fillId="55" borderId="63" applyNumberFormat="0" applyAlignment="0" applyProtection="0"/>
    <xf numFmtId="0" fontId="56" fillId="6" borderId="5" applyNumberFormat="0" applyAlignment="0" applyProtection="0"/>
    <xf numFmtId="0" fontId="56" fillId="6" borderId="5" applyNumberFormat="0" applyAlignment="0" applyProtection="0"/>
    <xf numFmtId="0" fontId="56" fillId="6" borderId="5" applyNumberFormat="0" applyAlignment="0" applyProtection="0"/>
    <xf numFmtId="0" fontId="56" fillId="6" borderId="5" applyNumberFormat="0" applyAlignment="0" applyProtection="0"/>
    <xf numFmtId="10"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34" fillId="0" borderId="0" applyFont="0" applyFill="0" applyBorder="0" applyAlignment="0" applyProtection="0"/>
    <xf numFmtId="9" fontId="3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0" fontId="57" fillId="0" borderId="0" applyNumberFormat="0" applyFill="0" applyBorder="0" applyAlignment="0" applyProtection="0"/>
    <xf numFmtId="0" fontId="6" fillId="0" borderId="64" applyNumberFormat="0" applyFont="0" applyBorder="0" applyAlignment="0" applyProtection="0"/>
    <xf numFmtId="0" fontId="6" fillId="0" borderId="64" applyNumberFormat="0" applyFont="0" applyBorder="0" applyAlignment="0" applyProtection="0"/>
    <xf numFmtId="0" fontId="6" fillId="0" borderId="64" applyNumberFormat="0" applyFont="0" applyBorder="0" applyAlignment="0" applyProtection="0"/>
    <xf numFmtId="0" fontId="12" fillId="0" borderId="65" applyNumberFormat="0" applyFill="0" applyAlignment="0" applyProtection="0"/>
    <xf numFmtId="0" fontId="58" fillId="0" borderId="8" applyNumberFormat="0" applyFill="0" applyAlignment="0" applyProtection="0"/>
    <xf numFmtId="0" fontId="58" fillId="0" borderId="8" applyNumberFormat="0" applyFill="0" applyAlignment="0" applyProtection="0"/>
    <xf numFmtId="0" fontId="6" fillId="0" borderId="64" applyNumberFormat="0" applyFont="0" applyBorder="0" applyAlignment="0" applyProtection="0"/>
    <xf numFmtId="0" fontId="6" fillId="0" borderId="64" applyNumberFormat="0" applyFont="0" applyBorder="0" applyAlignment="0" applyProtection="0"/>
    <xf numFmtId="0" fontId="6" fillId="0" borderId="64" applyNumberFormat="0" applyFont="0" applyBorder="0" applyAlignment="0" applyProtection="0"/>
    <xf numFmtId="0" fontId="6" fillId="0" borderId="64" applyNumberFormat="0" applyFont="0" applyBorder="0" applyAlignment="0" applyProtection="0"/>
    <xf numFmtId="0" fontId="6" fillId="0" borderId="64" applyNumberFormat="0" applyFont="0" applyBorder="0" applyAlignment="0" applyProtection="0"/>
    <xf numFmtId="0" fontId="6" fillId="0" borderId="64" applyNumberFormat="0" applyFont="0" applyBorder="0" applyAlignment="0" applyProtection="0"/>
    <xf numFmtId="0" fontId="6" fillId="0" borderId="64" applyNumberFormat="0" applyFont="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 fillId="0" borderId="0"/>
    <xf numFmtId="0" fontId="6" fillId="0" borderId="0"/>
  </cellStyleXfs>
  <cellXfs count="1107">
    <xf numFmtId="0" fontId="0" fillId="0" borderId="0" xfId="0"/>
    <xf numFmtId="0" fontId="8" fillId="0" borderId="0" xfId="5"/>
    <xf numFmtId="0" fontId="6" fillId="0" borderId="0" xfId="4"/>
    <xf numFmtId="0" fontId="10" fillId="0" borderId="0" xfId="5" applyFont="1"/>
    <xf numFmtId="0" fontId="11" fillId="0" borderId="0" xfId="5" applyFont="1"/>
    <xf numFmtId="0" fontId="12" fillId="0" borderId="9" xfId="5" applyFont="1" applyBorder="1" applyAlignment="1">
      <alignment horizontal="center" wrapText="1"/>
    </xf>
    <xf numFmtId="0" fontId="12" fillId="0" borderId="0" xfId="5" applyFont="1"/>
    <xf numFmtId="0" fontId="12" fillId="0" borderId="9" xfId="5" applyFont="1" applyBorder="1" applyAlignment="1">
      <alignment horizontal="center" vertical="center"/>
    </xf>
    <xf numFmtId="0" fontId="12" fillId="0" borderId="9" xfId="5" applyFont="1" applyBorder="1" applyAlignment="1">
      <alignment horizontal="center" vertical="center" wrapText="1"/>
    </xf>
    <xf numFmtId="0" fontId="10" fillId="0" borderId="9" xfId="5" applyFont="1" applyBorder="1"/>
    <xf numFmtId="0" fontId="10" fillId="0" borderId="9" xfId="5" applyFont="1" applyBorder="1" applyAlignment="1">
      <alignment horizontal="center"/>
    </xf>
    <xf numFmtId="0" fontId="10" fillId="32" borderId="9" xfId="5" applyFont="1" applyFill="1" applyBorder="1"/>
    <xf numFmtId="3" fontId="10" fillId="32" borderId="9" xfId="5" applyNumberFormat="1" applyFont="1" applyFill="1" applyBorder="1" applyAlignment="1"/>
    <xf numFmtId="0" fontId="12" fillId="0" borderId="9" xfId="5" applyFont="1" applyBorder="1"/>
    <xf numFmtId="0" fontId="12" fillId="0" borderId="0" xfId="5" applyFont="1" applyAlignment="1">
      <alignment wrapText="1"/>
    </xf>
    <xf numFmtId="0" fontId="12" fillId="0" borderId="9" xfId="5" applyFont="1" applyBorder="1" applyAlignment="1">
      <alignment wrapText="1"/>
    </xf>
    <xf numFmtId="3" fontId="10" fillId="32" borderId="9" xfId="5" applyNumberFormat="1" applyFont="1" applyFill="1" applyBorder="1"/>
    <xf numFmtId="3" fontId="10" fillId="0" borderId="0" xfId="5" applyNumberFormat="1" applyFont="1"/>
    <xf numFmtId="0" fontId="10" fillId="0" borderId="17" xfId="5" applyFont="1" applyBorder="1" applyAlignment="1">
      <alignment horizontal="left" wrapText="1" indent="4"/>
    </xf>
    <xf numFmtId="0" fontId="10" fillId="0" borderId="17" xfId="5" applyFont="1" applyBorder="1"/>
    <xf numFmtId="0" fontId="12" fillId="0" borderId="0" xfId="5" applyFont="1" applyAlignment="1">
      <alignment horizontal="right"/>
    </xf>
    <xf numFmtId="10" fontId="10" fillId="33" borderId="0" xfId="3" applyNumberFormat="1" applyFont="1" applyFill="1" applyBorder="1" applyAlignment="1"/>
    <xf numFmtId="0" fontId="8" fillId="0" borderId="0" xfId="5" applyFont="1"/>
    <xf numFmtId="0" fontId="11" fillId="0" borderId="0" xfId="5" applyFont="1" applyAlignment="1">
      <alignment vertical="center"/>
    </xf>
    <xf numFmtId="0" fontId="12" fillId="0" borderId="11" xfId="5" applyFont="1" applyBorder="1"/>
    <xf numFmtId="0" fontId="10" fillId="0" borderId="11" xfId="5" applyFont="1" applyBorder="1"/>
    <xf numFmtId="0" fontId="10" fillId="0" borderId="0" xfId="5" applyFont="1" applyAlignment="1">
      <alignment horizontal="left" vertical="center" wrapText="1"/>
    </xf>
    <xf numFmtId="0" fontId="9" fillId="0" borderId="20" xfId="0" applyFont="1" applyFill="1" applyBorder="1"/>
    <xf numFmtId="0" fontId="9" fillId="0" borderId="21" xfId="0" applyFont="1" applyFill="1" applyBorder="1" applyAlignment="1">
      <alignment horizontal="center" vertical="center" wrapText="1"/>
    </xf>
    <xf numFmtId="0" fontId="9" fillId="0" borderId="18" xfId="0" applyFont="1" applyFill="1" applyBorder="1"/>
    <xf numFmtId="0" fontId="9" fillId="35" borderId="22" xfId="0" applyFont="1" applyFill="1" applyBorder="1" applyAlignment="1">
      <alignment horizontal="center"/>
    </xf>
    <xf numFmtId="0" fontId="9" fillId="33" borderId="12" xfId="0" applyFont="1" applyFill="1" applyBorder="1"/>
    <xf numFmtId="3" fontId="0" fillId="0" borderId="9" xfId="2" applyNumberFormat="1" applyFont="1" applyFill="1" applyBorder="1"/>
    <xf numFmtId="3" fontId="0" fillId="33" borderId="9" xfId="2" applyNumberFormat="1" applyFont="1" applyFill="1" applyBorder="1"/>
    <xf numFmtId="165" fontId="0" fillId="33" borderId="9" xfId="2" applyNumberFormat="1" applyFont="1" applyFill="1" applyBorder="1"/>
    <xf numFmtId="165" fontId="0" fillId="33" borderId="23" xfId="2" applyNumberFormat="1" applyFont="1" applyFill="1" applyBorder="1"/>
    <xf numFmtId="0" fontId="9" fillId="33" borderId="12" xfId="0" applyFont="1" applyFill="1" applyBorder="1" applyAlignment="1">
      <alignment wrapText="1"/>
    </xf>
    <xf numFmtId="0" fontId="9" fillId="0" borderId="12" xfId="0" applyFont="1" applyFill="1" applyBorder="1"/>
    <xf numFmtId="165" fontId="0" fillId="0" borderId="9" xfId="0" applyNumberFormat="1" applyFill="1" applyBorder="1"/>
    <xf numFmtId="165" fontId="0" fillId="0" borderId="9" xfId="2" applyNumberFormat="1" applyFont="1" applyFill="1" applyBorder="1"/>
    <xf numFmtId="165" fontId="0" fillId="33" borderId="25" xfId="2" applyNumberFormat="1" applyFont="1" applyFill="1" applyBorder="1"/>
    <xf numFmtId="0" fontId="9" fillId="33" borderId="12" xfId="0" applyFont="1" applyFill="1" applyBorder="1" applyAlignment="1">
      <alignment vertical="top" wrapText="1"/>
    </xf>
    <xf numFmtId="165" fontId="0" fillId="33" borderId="9" xfId="2" applyNumberFormat="1" applyFont="1" applyFill="1" applyBorder="1" applyAlignment="1">
      <alignment vertical="top"/>
    </xf>
    <xf numFmtId="165" fontId="0" fillId="33" borderId="23" xfId="2" applyNumberFormat="1" applyFont="1" applyFill="1" applyBorder="1" applyAlignment="1">
      <alignment vertical="top"/>
    </xf>
    <xf numFmtId="165" fontId="0" fillId="0" borderId="22" xfId="2" applyNumberFormat="1" applyFont="1" applyFill="1" applyBorder="1"/>
    <xf numFmtId="0" fontId="9" fillId="0" borderId="26" xfId="0" applyFont="1" applyFill="1" applyBorder="1"/>
    <xf numFmtId="3" fontId="9" fillId="0" borderId="27" xfId="0" applyNumberFormat="1" applyFont="1" applyFill="1" applyBorder="1"/>
    <xf numFmtId="0" fontId="9" fillId="0" borderId="9" xfId="0" applyFont="1" applyBorder="1" applyAlignment="1">
      <alignment vertical="top" wrapText="1"/>
    </xf>
    <xf numFmtId="0" fontId="9" fillId="0" borderId="27" xfId="0" applyFont="1" applyFill="1" applyBorder="1"/>
    <xf numFmtId="3" fontId="0" fillId="0" borderId="0" xfId="0" applyNumberFormat="1"/>
    <xf numFmtId="0" fontId="13" fillId="0" borderId="0" xfId="0" applyFont="1" applyAlignment="1">
      <alignment horizontal="left" vertical="top"/>
    </xf>
    <xf numFmtId="0" fontId="6" fillId="0" borderId="0" xfId="0" applyFont="1"/>
    <xf numFmtId="0" fontId="9" fillId="0" borderId="0" xfId="0" applyFont="1"/>
    <xf numFmtId="0" fontId="14" fillId="0" borderId="0" xfId="0" applyFont="1" applyAlignment="1">
      <alignment horizontal="right" vertical="top"/>
    </xf>
    <xf numFmtId="0" fontId="14" fillId="33" borderId="19" xfId="0" applyFont="1" applyFill="1" applyBorder="1" applyAlignment="1">
      <alignment horizontal="right" vertical="top"/>
    </xf>
    <xf numFmtId="0" fontId="14" fillId="33" borderId="0" xfId="0" applyFont="1" applyFill="1" applyAlignment="1">
      <alignment horizontal="right" vertical="top"/>
    </xf>
    <xf numFmtId="14" fontId="14" fillId="33" borderId="0" xfId="0" applyNumberFormat="1" applyFont="1" applyFill="1" applyAlignment="1">
      <alignment horizontal="right" vertical="top"/>
    </xf>
    <xf numFmtId="0" fontId="15" fillId="0" borderId="12" xfId="0" applyFont="1" applyFill="1" applyBorder="1"/>
    <xf numFmtId="0" fontId="15" fillId="0" borderId="12" xfId="0" applyFont="1" applyFill="1" applyBorder="1" applyAlignment="1">
      <alignment wrapText="1"/>
    </xf>
    <xf numFmtId="0" fontId="7" fillId="0" borderId="0" xfId="0" applyFont="1" applyAlignment="1"/>
    <xf numFmtId="0" fontId="9" fillId="0" borderId="0" xfId="0" applyFont="1" applyAlignment="1">
      <alignment horizontal="right" vertical="center"/>
    </xf>
    <xf numFmtId="0" fontId="19" fillId="0" borderId="0" xfId="0" applyFont="1" applyAlignment="1">
      <alignment horizontal="center" vertical="center"/>
    </xf>
    <xf numFmtId="0" fontId="9" fillId="0" borderId="31"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16" fillId="0" borderId="43" xfId="0" applyFont="1" applyFill="1" applyBorder="1" applyAlignment="1">
      <alignment horizontal="right" vertical="center" wrapText="1" indent="1"/>
    </xf>
    <xf numFmtId="41" fontId="6" fillId="33" borderId="40" xfId="0" applyNumberFormat="1" applyFont="1" applyFill="1" applyBorder="1" applyAlignment="1">
      <alignment horizontal="center" vertical="center" wrapText="1"/>
    </xf>
    <xf numFmtId="166" fontId="6" fillId="0" borderId="40" xfId="0" applyNumberFormat="1" applyFont="1" applyFill="1" applyBorder="1" applyAlignment="1">
      <alignment horizontal="center" vertical="center" wrapText="1"/>
    </xf>
    <xf numFmtId="41" fontId="6" fillId="33" borderId="41" xfId="0" applyNumberFormat="1" applyFont="1" applyFill="1" applyBorder="1" applyAlignment="1">
      <alignment horizontal="center" vertical="center" wrapText="1"/>
    </xf>
    <xf numFmtId="41" fontId="6" fillId="33" borderId="42" xfId="0" applyNumberFormat="1" applyFont="1" applyFill="1" applyBorder="1" applyAlignment="1">
      <alignment horizontal="center" vertical="center" wrapText="1"/>
    </xf>
    <xf numFmtId="0" fontId="16" fillId="0" borderId="45" xfId="0" applyFont="1" applyFill="1" applyBorder="1" applyAlignment="1">
      <alignment horizontal="right" vertical="center" wrapText="1" indent="1"/>
    </xf>
    <xf numFmtId="41" fontId="6" fillId="0" borderId="46" xfId="0" applyNumberFormat="1" applyFont="1" applyFill="1" applyBorder="1" applyAlignment="1">
      <alignment horizontal="center" vertical="center" wrapText="1"/>
    </xf>
    <xf numFmtId="166" fontId="6" fillId="0" borderId="47" xfId="0" applyNumberFormat="1" applyFont="1" applyFill="1" applyBorder="1" applyAlignment="1">
      <alignment horizontal="center" vertical="center" wrapText="1"/>
    </xf>
    <xf numFmtId="41" fontId="6" fillId="0" borderId="48" xfId="0" applyNumberFormat="1" applyFont="1" applyFill="1" applyBorder="1" applyAlignment="1">
      <alignment horizontal="center" vertical="center" wrapText="1"/>
    </xf>
    <xf numFmtId="41" fontId="6" fillId="0" borderId="49" xfId="0" applyNumberFormat="1" applyFont="1" applyFill="1" applyBorder="1" applyAlignment="1">
      <alignment horizontal="center" vertical="center" wrapText="1"/>
    </xf>
    <xf numFmtId="0" fontId="16" fillId="0" borderId="50" xfId="0" applyFont="1" applyFill="1" applyBorder="1" applyAlignment="1">
      <alignment horizontal="right" vertical="center" wrapText="1" indent="1"/>
    </xf>
    <xf numFmtId="42" fontId="6" fillId="0" borderId="51" xfId="0" applyNumberFormat="1" applyFont="1" applyFill="1" applyBorder="1" applyAlignment="1">
      <alignment horizontal="center" vertical="center" wrapText="1"/>
    </xf>
    <xf numFmtId="166" fontId="6" fillId="0" borderId="52" xfId="0" applyNumberFormat="1" applyFont="1" applyFill="1" applyBorder="1" applyAlignment="1">
      <alignment horizontal="center" vertical="center" wrapText="1"/>
    </xf>
    <xf numFmtId="42" fontId="6" fillId="0" borderId="53" xfId="0" applyNumberFormat="1" applyFont="1" applyFill="1" applyBorder="1" applyAlignment="1">
      <alignment horizontal="center" vertical="center" wrapText="1"/>
    </xf>
    <xf numFmtId="42" fontId="6" fillId="0" borderId="54" xfId="0" applyNumberFormat="1" applyFont="1" applyFill="1" applyBorder="1" applyAlignment="1">
      <alignment horizontal="center" vertical="center" wrapText="1"/>
    </xf>
    <xf numFmtId="0" fontId="21" fillId="0" borderId="0" xfId="0" applyFont="1"/>
    <xf numFmtId="0" fontId="0" fillId="33" borderId="41" xfId="0" applyFill="1" applyBorder="1"/>
    <xf numFmtId="0" fontId="22" fillId="0" borderId="13" xfId="0" applyFont="1" applyBorder="1"/>
    <xf numFmtId="0" fontId="0" fillId="0" borderId="14" xfId="0" applyBorder="1"/>
    <xf numFmtId="0" fontId="0" fillId="0" borderId="15" xfId="0" applyBorder="1"/>
    <xf numFmtId="0" fontId="21" fillId="0" borderId="13" xfId="0" applyFont="1" applyBorder="1"/>
    <xf numFmtId="0" fontId="6" fillId="0" borderId="0" xfId="0" applyFont="1" applyAlignment="1">
      <alignment wrapText="1"/>
    </xf>
    <xf numFmtId="0" fontId="21" fillId="0" borderId="55" xfId="0" applyFont="1" applyBorder="1"/>
    <xf numFmtId="0" fontId="0" fillId="0" borderId="0" xfId="0" applyBorder="1"/>
    <xf numFmtId="0" fontId="0" fillId="0" borderId="24" xfId="0" applyBorder="1"/>
    <xf numFmtId="0" fontId="6" fillId="0" borderId="0" xfId="4" applyAlignment="1">
      <alignment horizontal="center"/>
    </xf>
    <xf numFmtId="0" fontId="7" fillId="0" borderId="0" xfId="4" applyFont="1" applyFill="1"/>
    <xf numFmtId="0" fontId="6" fillId="0" borderId="0" xfId="4" applyFill="1"/>
    <xf numFmtId="0" fontId="6" fillId="0" borderId="0" xfId="4" applyFill="1" applyBorder="1"/>
    <xf numFmtId="0" fontId="6" fillId="0" borderId="0" xfId="4" applyFont="1"/>
    <xf numFmtId="0" fontId="9" fillId="0" borderId="0" xfId="4" applyFont="1" applyAlignment="1">
      <alignment horizontal="right"/>
    </xf>
    <xf numFmtId="0" fontId="15" fillId="33" borderId="0" xfId="4" applyFont="1" applyFill="1" applyAlignment="1"/>
    <xf numFmtId="0" fontId="24" fillId="0" borderId="0" xfId="4" applyFont="1" applyAlignment="1">
      <alignment horizontal="left"/>
    </xf>
    <xf numFmtId="0" fontId="6" fillId="0" borderId="0" xfId="4" applyBorder="1"/>
    <xf numFmtId="0" fontId="6" fillId="0" borderId="0" xfId="4" applyFont="1" applyBorder="1"/>
    <xf numFmtId="0" fontId="6" fillId="36" borderId="10" xfId="4" applyFont="1" applyFill="1" applyBorder="1"/>
    <xf numFmtId="0" fontId="6" fillId="36" borderId="11" xfId="4" applyFont="1" applyFill="1" applyBorder="1" applyAlignment="1"/>
    <xf numFmtId="0" fontId="6" fillId="36" borderId="12" xfId="4" applyFont="1" applyFill="1" applyBorder="1" applyAlignment="1"/>
    <xf numFmtId="0" fontId="9" fillId="36" borderId="9" xfId="4" applyFont="1" applyFill="1" applyBorder="1" applyAlignment="1">
      <alignment horizontal="center" wrapText="1"/>
    </xf>
    <xf numFmtId="0" fontId="9" fillId="36" borderId="9" xfId="4" applyFont="1" applyFill="1" applyBorder="1" applyAlignment="1">
      <alignment horizontal="center"/>
    </xf>
    <xf numFmtId="0" fontId="6" fillId="36" borderId="9" xfId="4" applyFont="1" applyFill="1" applyBorder="1"/>
    <xf numFmtId="0" fontId="6" fillId="36" borderId="9" xfId="4" applyFont="1" applyFill="1" applyBorder="1" applyAlignment="1">
      <alignment horizontal="center" wrapText="1"/>
    </xf>
    <xf numFmtId="0" fontId="6" fillId="36" borderId="9" xfId="4" applyFont="1" applyFill="1" applyBorder="1" applyAlignment="1">
      <alignment horizontal="center"/>
    </xf>
    <xf numFmtId="0" fontId="6" fillId="36" borderId="25" xfId="4" applyFont="1" applyFill="1" applyBorder="1"/>
    <xf numFmtId="0" fontId="6" fillId="36" borderId="18" xfId="4" applyFont="1" applyFill="1" applyBorder="1" applyAlignment="1">
      <alignment horizontal="center" wrapText="1"/>
    </xf>
    <xf numFmtId="0" fontId="6" fillId="36" borderId="22" xfId="4" applyFont="1" applyFill="1" applyBorder="1" applyAlignment="1">
      <alignment horizontal="center"/>
    </xf>
    <xf numFmtId="0" fontId="6" fillId="36" borderId="22" xfId="4" applyFont="1" applyFill="1" applyBorder="1" applyAlignment="1">
      <alignment horizontal="center" wrapText="1"/>
    </xf>
    <xf numFmtId="0" fontId="6" fillId="0" borderId="9" xfId="4" applyBorder="1" applyAlignment="1">
      <alignment horizontal="center" vertical="top"/>
    </xf>
    <xf numFmtId="0" fontId="6" fillId="0" borderId="9" xfId="4" applyFont="1" applyBorder="1" applyAlignment="1">
      <alignment vertical="top" wrapText="1"/>
    </xf>
    <xf numFmtId="167" fontId="6" fillId="33" borderId="9" xfId="6" applyNumberFormat="1" applyFont="1" applyFill="1" applyBorder="1" applyAlignment="1">
      <alignment vertical="top"/>
    </xf>
    <xf numFmtId="168" fontId="6" fillId="33" borderId="9" xfId="6" applyNumberFormat="1" applyFont="1" applyFill="1" applyBorder="1" applyAlignment="1">
      <alignment vertical="top"/>
    </xf>
    <xf numFmtId="169" fontId="6" fillId="33" borderId="9" xfId="6" applyNumberFormat="1" applyFont="1" applyFill="1" applyBorder="1" applyAlignment="1">
      <alignment vertical="top"/>
    </xf>
    <xf numFmtId="169" fontId="6" fillId="0" borderId="9" xfId="6" applyNumberFormat="1" applyFont="1" applyBorder="1" applyAlignment="1">
      <alignment vertical="top"/>
    </xf>
    <xf numFmtId="0" fontId="6" fillId="0" borderId="25" xfId="4" applyFont="1" applyBorder="1" applyAlignment="1">
      <alignment vertical="top"/>
    </xf>
    <xf numFmtId="167" fontId="6" fillId="0" borderId="9" xfId="6" applyNumberFormat="1" applyFont="1" applyFill="1" applyBorder="1" applyAlignment="1">
      <alignment vertical="top"/>
    </xf>
    <xf numFmtId="0" fontId="6" fillId="0" borderId="9" xfId="4" applyBorder="1" applyAlignment="1">
      <alignment horizontal="center" vertical="center"/>
    </xf>
    <xf numFmtId="0" fontId="6" fillId="0" borderId="9" xfId="4" applyFont="1" applyBorder="1" applyAlignment="1">
      <alignment vertical="center" wrapText="1"/>
    </xf>
    <xf numFmtId="168" fontId="6" fillId="33" borderId="9" xfId="6" applyNumberFormat="1" applyFont="1" applyFill="1" applyBorder="1"/>
    <xf numFmtId="169" fontId="6" fillId="33" borderId="9" xfId="6" applyNumberFormat="1" applyFont="1" applyFill="1" applyBorder="1"/>
    <xf numFmtId="169" fontId="6" fillId="0" borderId="9" xfId="6" applyNumberFormat="1" applyFont="1" applyBorder="1"/>
    <xf numFmtId="0" fontId="6" fillId="0" borderId="25" xfId="4" applyFont="1" applyBorder="1"/>
    <xf numFmtId="0" fontId="6" fillId="0" borderId="9" xfId="4" applyFill="1" applyBorder="1" applyAlignment="1">
      <alignment horizontal="center" vertical="center"/>
    </xf>
    <xf numFmtId="0" fontId="6" fillId="0" borderId="9" xfId="4" applyFont="1" applyFill="1" applyBorder="1" applyAlignment="1">
      <alignment vertical="center" wrapText="1"/>
    </xf>
    <xf numFmtId="0" fontId="6" fillId="0" borderId="9" xfId="4" applyBorder="1" applyAlignment="1">
      <alignment horizontal="center"/>
    </xf>
    <xf numFmtId="0" fontId="6" fillId="0" borderId="9" xfId="4" applyFont="1" applyBorder="1"/>
    <xf numFmtId="169" fontId="6" fillId="0" borderId="9" xfId="4" applyNumberFormat="1" applyFont="1" applyBorder="1"/>
    <xf numFmtId="170" fontId="6" fillId="0" borderId="9" xfId="4" applyNumberFormat="1" applyFont="1" applyBorder="1"/>
    <xf numFmtId="0" fontId="6" fillId="33" borderId="9" xfId="4" applyFont="1" applyFill="1" applyBorder="1"/>
    <xf numFmtId="0" fontId="20" fillId="0" borderId="9" xfId="4" applyFont="1" applyBorder="1" applyAlignment="1">
      <alignment vertical="top" wrapText="1"/>
    </xf>
    <xf numFmtId="0" fontId="6" fillId="0" borderId="0" xfId="4" applyFont="1" applyAlignment="1"/>
    <xf numFmtId="0" fontId="6" fillId="0" borderId="0" xfId="4" applyBorder="1" applyAlignment="1">
      <alignment horizontal="center"/>
    </xf>
    <xf numFmtId="0" fontId="6" fillId="0" borderId="0" xfId="4" applyFont="1" applyFill="1" applyBorder="1" applyAlignment="1"/>
    <xf numFmtId="15" fontId="6" fillId="0" borderId="0" xfId="4" applyNumberFormat="1"/>
    <xf numFmtId="0" fontId="13" fillId="0" borderId="0" xfId="4" applyFont="1" applyAlignment="1">
      <alignment horizontal="center"/>
    </xf>
    <xf numFmtId="0" fontId="6" fillId="0" borderId="0" xfId="4" applyFont="1" applyAlignment="1">
      <alignment horizontal="left"/>
    </xf>
    <xf numFmtId="0" fontId="6" fillId="0" borderId="0" xfId="4" applyFont="1" applyAlignment="1">
      <alignment horizontal="center"/>
    </xf>
    <xf numFmtId="0" fontId="6" fillId="0" borderId="9" xfId="4" applyFont="1" applyBorder="1" applyAlignment="1">
      <alignment horizontal="center" vertical="top"/>
    </xf>
    <xf numFmtId="0" fontId="6" fillId="0" borderId="9" xfId="4" applyFont="1" applyBorder="1" applyAlignment="1">
      <alignment horizontal="center" vertical="center"/>
    </xf>
    <xf numFmtId="0" fontId="6" fillId="0" borderId="9" xfId="4" applyFont="1" applyFill="1" applyBorder="1" applyAlignment="1">
      <alignment horizontal="center" vertical="center"/>
    </xf>
    <xf numFmtId="0" fontId="6" fillId="0" borderId="9" xfId="4" applyFont="1" applyBorder="1" applyAlignment="1">
      <alignment horizontal="center"/>
    </xf>
    <xf numFmtId="169" fontId="6" fillId="0" borderId="0" xfId="4" applyNumberFormat="1" applyFont="1"/>
    <xf numFmtId="0" fontId="6" fillId="0" borderId="0" xfId="4" applyFont="1" applyBorder="1" applyAlignment="1">
      <alignment horizontal="center"/>
    </xf>
    <xf numFmtId="0" fontId="24" fillId="0" borderId="0" xfId="4" applyFont="1" applyAlignment="1">
      <alignment horizontal="center"/>
    </xf>
    <xf numFmtId="0" fontId="6" fillId="36" borderId="10" xfId="4" applyFill="1" applyBorder="1"/>
    <xf numFmtId="0" fontId="9" fillId="36" borderId="11" xfId="4" applyFont="1" applyFill="1" applyBorder="1" applyAlignment="1"/>
    <xf numFmtId="0" fontId="9" fillId="36" borderId="12" xfId="4" applyFont="1" applyFill="1" applyBorder="1" applyAlignment="1"/>
    <xf numFmtId="0" fontId="9" fillId="36" borderId="9" xfId="4" applyFont="1" applyFill="1" applyBorder="1"/>
    <xf numFmtId="0" fontId="6" fillId="36" borderId="25" xfId="4" applyFill="1" applyBorder="1"/>
    <xf numFmtId="0" fontId="9" fillId="36" borderId="18" xfId="4" applyFont="1" applyFill="1" applyBorder="1" applyAlignment="1">
      <alignment horizontal="center" wrapText="1"/>
    </xf>
    <xf numFmtId="0" fontId="9" fillId="36" borderId="22" xfId="4" applyFont="1" applyFill="1" applyBorder="1" applyAlignment="1">
      <alignment horizontal="center"/>
    </xf>
    <xf numFmtId="0" fontId="9" fillId="36" borderId="22" xfId="4" applyFont="1" applyFill="1" applyBorder="1" applyAlignment="1">
      <alignment horizontal="center" wrapText="1"/>
    </xf>
    <xf numFmtId="167" fontId="0" fillId="33" borderId="9" xfId="6" applyNumberFormat="1" applyFont="1" applyFill="1" applyBorder="1" applyAlignment="1">
      <alignment vertical="top"/>
    </xf>
    <xf numFmtId="167" fontId="0" fillId="0" borderId="9" xfId="6" applyNumberFormat="1" applyFont="1" applyFill="1" applyBorder="1" applyAlignment="1">
      <alignment vertical="top"/>
    </xf>
    <xf numFmtId="0" fontId="6" fillId="0" borderId="25" xfId="4" applyBorder="1"/>
    <xf numFmtId="0" fontId="6" fillId="0" borderId="9" xfId="4" applyBorder="1" applyAlignment="1">
      <alignment vertical="center" wrapText="1"/>
    </xf>
    <xf numFmtId="168" fontId="0" fillId="33" borderId="9" xfId="6" applyNumberFormat="1" applyFont="1" applyFill="1" applyBorder="1"/>
    <xf numFmtId="169" fontId="0" fillId="33" borderId="9" xfId="6" applyNumberFormat="1" applyFont="1" applyFill="1" applyBorder="1"/>
    <xf numFmtId="0" fontId="6" fillId="0" borderId="9" xfId="4" applyFill="1" applyBorder="1" applyAlignment="1">
      <alignment vertical="center" wrapText="1"/>
    </xf>
    <xf numFmtId="168" fontId="0" fillId="33" borderId="9" xfId="6" applyNumberFormat="1" applyFont="1" applyFill="1" applyBorder="1" applyAlignment="1">
      <alignment vertical="top"/>
    </xf>
    <xf numFmtId="169" fontId="0" fillId="33" borderId="9" xfId="6" applyNumberFormat="1" applyFont="1" applyFill="1" applyBorder="1" applyAlignment="1">
      <alignment vertical="top"/>
    </xf>
    <xf numFmtId="0" fontId="6" fillId="0" borderId="25" xfId="4" applyBorder="1" applyAlignment="1">
      <alignment vertical="top"/>
    </xf>
    <xf numFmtId="0" fontId="6" fillId="0" borderId="9" xfId="4" applyBorder="1"/>
    <xf numFmtId="169" fontId="0" fillId="0" borderId="9" xfId="6" applyNumberFormat="1" applyFont="1" applyBorder="1"/>
    <xf numFmtId="169" fontId="6" fillId="0" borderId="9" xfId="4" applyNumberFormat="1" applyBorder="1"/>
    <xf numFmtId="0" fontId="9" fillId="0" borderId="9" xfId="4" applyFont="1" applyBorder="1"/>
    <xf numFmtId="169" fontId="9" fillId="0" borderId="9" xfId="4" applyNumberFormat="1" applyFont="1" applyBorder="1"/>
    <xf numFmtId="170" fontId="9" fillId="0" borderId="9" xfId="4" applyNumberFormat="1" applyFont="1" applyBorder="1"/>
    <xf numFmtId="0" fontId="9" fillId="0" borderId="9" xfId="4" applyFont="1" applyBorder="1" applyAlignment="1">
      <alignment vertical="center" wrapText="1"/>
    </xf>
    <xf numFmtId="0" fontId="6" fillId="33" borderId="9" xfId="4" applyFill="1" applyBorder="1"/>
    <xf numFmtId="0" fontId="13" fillId="0" borderId="9" xfId="4" applyFont="1" applyBorder="1" applyAlignment="1">
      <alignment vertical="top" wrapText="1"/>
    </xf>
    <xf numFmtId="0" fontId="6" fillId="0" borderId="0" xfId="4" applyAlignment="1"/>
    <xf numFmtId="0" fontId="9" fillId="0" borderId="0" xfId="4" applyFont="1" applyFill="1" applyBorder="1" applyAlignment="1"/>
    <xf numFmtId="0" fontId="9" fillId="0" borderId="0" xfId="4" applyFont="1"/>
    <xf numFmtId="0" fontId="14" fillId="0" borderId="0" xfId="4" applyFont="1" applyAlignment="1">
      <alignment horizontal="right" vertical="top"/>
    </xf>
    <xf numFmtId="0" fontId="14" fillId="33" borderId="19" xfId="4" applyFont="1" applyFill="1" applyBorder="1" applyAlignment="1">
      <alignment horizontal="right" vertical="top"/>
    </xf>
    <xf numFmtId="0" fontId="14" fillId="33" borderId="0" xfId="4" applyFont="1" applyFill="1" applyAlignment="1">
      <alignment horizontal="right" vertical="top"/>
    </xf>
    <xf numFmtId="14" fontId="14" fillId="33" borderId="0" xfId="4" applyNumberFormat="1" applyFont="1" applyFill="1" applyAlignment="1">
      <alignment horizontal="right" vertical="top"/>
    </xf>
    <xf numFmtId="0" fontId="7" fillId="0" borderId="0" xfId="4" applyFont="1" applyAlignment="1">
      <alignment horizontal="center"/>
    </xf>
    <xf numFmtId="0" fontId="16" fillId="0" borderId="0" xfId="4" applyFont="1" applyAlignment="1">
      <alignment horizontal="center"/>
    </xf>
    <xf numFmtId="0" fontId="16" fillId="0" borderId="0" xfId="4" applyFont="1" applyAlignment="1"/>
    <xf numFmtId="0" fontId="9" fillId="36" borderId="67" xfId="4" applyFont="1" applyFill="1" applyBorder="1" applyAlignment="1">
      <alignment horizontal="center" vertical="center" wrapText="1"/>
    </xf>
    <xf numFmtId="0" fontId="9" fillId="36" borderId="68" xfId="4" applyFont="1" applyFill="1" applyBorder="1" applyAlignment="1">
      <alignment horizontal="center" vertical="center" wrapText="1"/>
    </xf>
    <xf numFmtId="0" fontId="9" fillId="36" borderId="69" xfId="4" applyFont="1" applyFill="1" applyBorder="1" applyAlignment="1">
      <alignment horizontal="center" vertical="center" wrapText="1"/>
    </xf>
    <xf numFmtId="0" fontId="9" fillId="36" borderId="71" xfId="4" quotePrefix="1" applyFont="1" applyFill="1" applyBorder="1" applyAlignment="1">
      <alignment horizontal="center"/>
    </xf>
    <xf numFmtId="0" fontId="9" fillId="36" borderId="71" xfId="4" applyFont="1" applyFill="1" applyBorder="1" applyAlignment="1">
      <alignment horizontal="center" wrapText="1"/>
    </xf>
    <xf numFmtId="0" fontId="9" fillId="36" borderId="72" xfId="4" applyFont="1" applyFill="1" applyBorder="1" applyAlignment="1">
      <alignment horizontal="center"/>
    </xf>
    <xf numFmtId="0" fontId="9" fillId="36" borderId="73" xfId="4" quotePrefix="1" applyFont="1" applyFill="1" applyBorder="1" applyAlignment="1">
      <alignment horizontal="center"/>
    </xf>
    <xf numFmtId="0" fontId="9" fillId="36" borderId="73" xfId="4" applyFont="1" applyFill="1" applyBorder="1" applyAlignment="1">
      <alignment horizontal="center"/>
    </xf>
    <xf numFmtId="0" fontId="6" fillId="0" borderId="74" xfId="4" applyBorder="1" applyAlignment="1">
      <alignment horizontal="center" vertical="top"/>
    </xf>
    <xf numFmtId="0" fontId="6" fillId="0" borderId="9" xfId="4" applyBorder="1" applyAlignment="1">
      <alignment vertical="top" wrapText="1"/>
    </xf>
    <xf numFmtId="167" fontId="0" fillId="33" borderId="9" xfId="176" applyNumberFormat="1" applyFont="1" applyFill="1" applyBorder="1" applyAlignment="1">
      <alignment vertical="top"/>
    </xf>
    <xf numFmtId="183" fontId="6" fillId="33" borderId="9" xfId="146" applyNumberFormat="1" applyFill="1" applyBorder="1" applyAlignment="1">
      <alignment vertical="top"/>
    </xf>
    <xf numFmtId="10" fontId="6" fillId="0" borderId="9" xfId="395" applyNumberFormat="1" applyBorder="1" applyAlignment="1">
      <alignment vertical="top"/>
    </xf>
    <xf numFmtId="167" fontId="9" fillId="0" borderId="9" xfId="4" applyNumberFormat="1" applyFont="1" applyBorder="1" applyAlignment="1">
      <alignment vertical="top"/>
    </xf>
    <xf numFmtId="0" fontId="6" fillId="0" borderId="74" xfId="4" applyBorder="1" applyAlignment="1">
      <alignment horizontal="center" vertical="center"/>
    </xf>
    <xf numFmtId="167" fontId="0" fillId="33" borderId="9" xfId="176" applyNumberFormat="1" applyFont="1" applyFill="1" applyBorder="1"/>
    <xf numFmtId="183" fontId="6" fillId="33" borderId="9" xfId="146" applyNumberFormat="1" applyFill="1" applyBorder="1"/>
    <xf numFmtId="10" fontId="6" fillId="0" borderId="9" xfId="395" applyNumberFormat="1" applyBorder="1"/>
    <xf numFmtId="167" fontId="9" fillId="0" borderId="9" xfId="4" applyNumberFormat="1" applyFont="1" applyBorder="1"/>
    <xf numFmtId="0" fontId="6" fillId="0" borderId="74" xfId="4" applyFill="1" applyBorder="1" applyAlignment="1">
      <alignment horizontal="center" vertical="center"/>
    </xf>
    <xf numFmtId="169" fontId="0" fillId="33" borderId="9" xfId="176" applyNumberFormat="1" applyFont="1" applyFill="1" applyBorder="1"/>
    <xf numFmtId="0" fontId="6" fillId="0" borderId="75" xfId="4" applyBorder="1" applyAlignment="1">
      <alignment horizontal="center" vertical="center"/>
    </xf>
    <xf numFmtId="0" fontId="6" fillId="0" borderId="22" xfId="4" applyFont="1" applyBorder="1" applyAlignment="1">
      <alignment vertical="center" wrapText="1"/>
    </xf>
    <xf numFmtId="183" fontId="6" fillId="33" borderId="22" xfId="146" applyNumberFormat="1" applyFill="1" applyBorder="1"/>
    <xf numFmtId="10" fontId="6" fillId="0" borderId="22" xfId="395" applyNumberFormat="1" applyBorder="1"/>
    <xf numFmtId="169" fontId="0" fillId="33" borderId="9" xfId="176" applyNumberFormat="1" applyFont="1" applyFill="1" applyBorder="1" applyAlignment="1">
      <alignment vertical="top"/>
    </xf>
    <xf numFmtId="0" fontId="6" fillId="0" borderId="74" xfId="4" applyFont="1" applyBorder="1" applyAlignment="1">
      <alignment horizontal="center"/>
    </xf>
    <xf numFmtId="43" fontId="6" fillId="33" borderId="9" xfId="146" applyFill="1" applyBorder="1"/>
    <xf numFmtId="0" fontId="6" fillId="0" borderId="70" xfId="4" applyFont="1" applyBorder="1" applyAlignment="1">
      <alignment horizontal="center"/>
    </xf>
    <xf numFmtId="0" fontId="9" fillId="0" borderId="71" xfId="4" applyFont="1" applyBorder="1"/>
    <xf numFmtId="44" fontId="6" fillId="0" borderId="27" xfId="176" applyBorder="1"/>
    <xf numFmtId="43" fontId="6" fillId="0" borderId="27" xfId="146" applyBorder="1"/>
    <xf numFmtId="10" fontId="6" fillId="0" borderId="27" xfId="395" applyNumberFormat="1" applyBorder="1"/>
    <xf numFmtId="44" fontId="6" fillId="0" borderId="0" xfId="176"/>
    <xf numFmtId="0" fontId="6" fillId="0" borderId="0" xfId="4" applyAlignment="1">
      <alignment horizontal="center" vertical="center"/>
    </xf>
    <xf numFmtId="0" fontId="6" fillId="0" borderId="0" xfId="4" applyAlignment="1">
      <alignment horizontal="center" vertical="top"/>
    </xf>
    <xf numFmtId="184" fontId="6" fillId="0" borderId="0" xfId="4" applyNumberFormat="1" applyFill="1"/>
    <xf numFmtId="0" fontId="7" fillId="0" borderId="0" xfId="4" applyFont="1" applyAlignment="1">
      <alignment vertical="center" wrapText="1"/>
    </xf>
    <xf numFmtId="0" fontId="9" fillId="0" borderId="0" xfId="4" applyFont="1" applyAlignment="1">
      <alignment vertical="center"/>
    </xf>
    <xf numFmtId="0" fontId="16" fillId="0" borderId="0" xfId="4" applyFont="1"/>
    <xf numFmtId="185" fontId="16" fillId="0" borderId="0" xfId="176" applyNumberFormat="1" applyFont="1" applyFill="1" applyBorder="1" applyAlignment="1">
      <alignment horizontal="left" vertical="center"/>
    </xf>
    <xf numFmtId="0" fontId="9" fillId="36" borderId="73" xfId="4" quotePrefix="1" applyFont="1" applyFill="1" applyBorder="1" applyAlignment="1">
      <alignment horizontal="center" wrapText="1"/>
    </xf>
    <xf numFmtId="167" fontId="6" fillId="33" borderId="9" xfId="146" applyNumberFormat="1" applyFill="1" applyBorder="1"/>
    <xf numFmtId="0" fontId="6" fillId="0" borderId="74" xfId="4" applyFont="1" applyFill="1" applyBorder="1" applyAlignment="1">
      <alignment horizontal="center" vertical="center"/>
    </xf>
    <xf numFmtId="0" fontId="6" fillId="0" borderId="74" xfId="4" applyFont="1" applyBorder="1" applyAlignment="1">
      <alignment horizontal="center" vertical="center"/>
    </xf>
    <xf numFmtId="167" fontId="6" fillId="33" borderId="9" xfId="176" applyNumberFormat="1" applyFill="1" applyBorder="1"/>
    <xf numFmtId="167" fontId="6" fillId="0" borderId="71" xfId="176" applyNumberFormat="1" applyBorder="1"/>
    <xf numFmtId="44" fontId="6" fillId="0" borderId="71" xfId="176" applyBorder="1"/>
    <xf numFmtId="167" fontId="6" fillId="0" borderId="0" xfId="4" applyNumberFormat="1"/>
    <xf numFmtId="167" fontId="6" fillId="0" borderId="0" xfId="176" applyNumberFormat="1" applyBorder="1"/>
    <xf numFmtId="44" fontId="6" fillId="0" borderId="0" xfId="176" applyBorder="1"/>
    <xf numFmtId="44" fontId="6" fillId="0" borderId="0" xfId="4" applyNumberFormat="1" applyBorder="1"/>
    <xf numFmtId="0" fontId="6" fillId="0" borderId="0" xfId="4" applyFont="1" applyAlignment="1">
      <alignment horizontal="center" vertical="center"/>
    </xf>
    <xf numFmtId="0" fontId="9" fillId="0" borderId="0" xfId="4" applyFont="1" applyAlignment="1">
      <alignment vertical="top" wrapText="1"/>
    </xf>
    <xf numFmtId="0" fontId="7" fillId="0" borderId="0" xfId="4" applyFont="1" applyFill="1" applyAlignment="1">
      <alignment vertical="center"/>
    </xf>
    <xf numFmtId="0" fontId="0" fillId="0" borderId="0" xfId="0" applyFill="1"/>
    <xf numFmtId="15" fontId="14" fillId="33" borderId="0" xfId="4" applyNumberFormat="1" applyFont="1" applyFill="1" applyAlignment="1">
      <alignment horizontal="right" vertical="top"/>
    </xf>
    <xf numFmtId="15" fontId="14" fillId="0" borderId="0" xfId="4" applyNumberFormat="1" applyFont="1" applyFill="1" applyAlignment="1">
      <alignment horizontal="right" vertical="top"/>
    </xf>
    <xf numFmtId="181" fontId="10" fillId="33" borderId="9" xfId="5" applyNumberFormat="1" applyFont="1" applyFill="1" applyBorder="1" applyAlignment="1"/>
    <xf numFmtId="181" fontId="10" fillId="0" borderId="9" xfId="5" applyNumberFormat="1" applyFont="1" applyBorder="1" applyAlignment="1"/>
    <xf numFmtId="181" fontId="10" fillId="0" borderId="17" xfId="1" applyNumberFormat="1" applyFont="1" applyBorder="1"/>
    <xf numFmtId="181" fontId="10" fillId="0" borderId="11" xfId="1" applyNumberFormat="1" applyFont="1" applyBorder="1"/>
    <xf numFmtId="0" fontId="9" fillId="0" borderId="0" xfId="4" applyFont="1" applyAlignment="1">
      <alignment horizontal="center" vertical="center"/>
    </xf>
    <xf numFmtId="0" fontId="10" fillId="0" borderId="10" xfId="5" applyFont="1" applyBorder="1" applyAlignment="1">
      <alignment horizontal="center"/>
    </xf>
    <xf numFmtId="0" fontId="10" fillId="0" borderId="11" xfId="5" applyFont="1" applyBorder="1" applyAlignment="1">
      <alignment horizontal="center"/>
    </xf>
    <xf numFmtId="0" fontId="10" fillId="0" borderId="12" xfId="5" applyFont="1" applyBorder="1" applyAlignment="1">
      <alignment horizontal="center"/>
    </xf>
    <xf numFmtId="0" fontId="10" fillId="0" borderId="13" xfId="5" applyFont="1" applyBorder="1"/>
    <xf numFmtId="0" fontId="10" fillId="0" borderId="14" xfId="5" applyFont="1" applyBorder="1"/>
    <xf numFmtId="0" fontId="10" fillId="0" borderId="15" xfId="5" applyFont="1" applyBorder="1"/>
    <xf numFmtId="0" fontId="10" fillId="0" borderId="16" xfId="5" applyFont="1" applyBorder="1"/>
    <xf numFmtId="0" fontId="10" fillId="0" borderId="18" xfId="5" applyFont="1" applyBorder="1"/>
    <xf numFmtId="0" fontId="10" fillId="0" borderId="0" xfId="5" applyFont="1" applyAlignment="1">
      <alignment horizontal="left" wrapText="1"/>
    </xf>
    <xf numFmtId="0" fontId="9" fillId="0" borderId="0" xfId="0" applyFont="1" applyAlignment="1">
      <alignment horizontal="left"/>
    </xf>
    <xf numFmtId="0" fontId="6" fillId="36" borderId="0" xfId="337"/>
    <xf numFmtId="0" fontId="34" fillId="36" borderId="0" xfId="337" applyFont="1"/>
    <xf numFmtId="49" fontId="61" fillId="0" borderId="0" xfId="158" applyNumberFormat="1" applyFont="1" applyBorder="1" applyAlignment="1">
      <alignment vertical="top" wrapText="1"/>
    </xf>
    <xf numFmtId="49" fontId="34" fillId="36" borderId="0" xfId="337" applyNumberFormat="1" applyFont="1" applyAlignment="1">
      <alignment vertical="top" wrapText="1"/>
    </xf>
    <xf numFmtId="0" fontId="21" fillId="61" borderId="78" xfId="337" applyFont="1" applyFill="1" applyBorder="1" applyAlignment="1">
      <alignment horizontal="right"/>
    </xf>
    <xf numFmtId="0" fontId="21" fillId="61" borderId="0" xfId="337" applyFont="1" applyFill="1" applyBorder="1" applyAlignment="1">
      <alignment horizontal="right"/>
    </xf>
    <xf numFmtId="0" fontId="21" fillId="61" borderId="47" xfId="337" applyFont="1" applyFill="1" applyBorder="1" applyAlignment="1">
      <alignment horizontal="right"/>
    </xf>
    <xf numFmtId="0" fontId="34" fillId="36" borderId="78" xfId="337" applyFont="1" applyBorder="1"/>
    <xf numFmtId="10" fontId="62" fillId="0" borderId="0" xfId="402" applyNumberFormat="1" applyFont="1" applyBorder="1"/>
    <xf numFmtId="10" fontId="62" fillId="0" borderId="79" xfId="402" applyNumberFormat="1" applyFont="1" applyBorder="1"/>
    <xf numFmtId="10" fontId="62" fillId="0" borderId="47" xfId="402" applyNumberFormat="1" applyFont="1" applyBorder="1"/>
    <xf numFmtId="0" fontId="34" fillId="36" borderId="0" xfId="337" applyFont="1" applyBorder="1"/>
    <xf numFmtId="0" fontId="34" fillId="36" borderId="80" xfId="337" applyFont="1" applyBorder="1"/>
    <xf numFmtId="0" fontId="34" fillId="36" borderId="81" xfId="337" applyFont="1" applyBorder="1"/>
    <xf numFmtId="10" fontId="62" fillId="0" borderId="82" xfId="402" applyNumberFormat="1" applyFont="1" applyBorder="1"/>
    <xf numFmtId="10" fontId="62" fillId="0" borderId="46" xfId="402" applyNumberFormat="1" applyFont="1" applyBorder="1"/>
    <xf numFmtId="0" fontId="21" fillId="36" borderId="78" xfId="337" applyFont="1" applyBorder="1"/>
    <xf numFmtId="10" fontId="21" fillId="36" borderId="0" xfId="337" applyNumberFormat="1" applyFont="1" applyBorder="1"/>
    <xf numFmtId="10" fontId="21" fillId="36" borderId="79" xfId="337" applyNumberFormat="1" applyFont="1" applyBorder="1"/>
    <xf numFmtId="10" fontId="21" fillId="36" borderId="47" xfId="337" applyNumberFormat="1" applyFont="1" applyBorder="1"/>
    <xf numFmtId="0" fontId="21" fillId="36" borderId="87" xfId="337" applyFont="1" applyBorder="1"/>
    <xf numFmtId="0" fontId="21" fillId="36" borderId="0" xfId="337" applyFont="1" applyBorder="1"/>
    <xf numFmtId="0" fontId="63" fillId="36" borderId="0" xfId="337" applyFont="1"/>
    <xf numFmtId="164" fontId="63" fillId="36" borderId="0" xfId="337" applyNumberFormat="1" applyFont="1"/>
    <xf numFmtId="0" fontId="34" fillId="36" borderId="0" xfId="337" applyFont="1" applyBorder="1" applyAlignment="1">
      <alignment vertical="top" wrapText="1"/>
    </xf>
    <xf numFmtId="0" fontId="34" fillId="36" borderId="0" xfId="337" applyFont="1" applyAlignment="1">
      <alignment vertical="top" wrapText="1"/>
    </xf>
    <xf numFmtId="0" fontId="21" fillId="61" borderId="78" xfId="337" applyFont="1" applyFill="1" applyBorder="1" applyAlignment="1">
      <alignment horizontal="center"/>
    </xf>
    <xf numFmtId="0" fontId="21" fillId="61" borderId="0" xfId="337" applyFont="1" applyFill="1" applyBorder="1" applyAlignment="1">
      <alignment horizontal="center"/>
    </xf>
    <xf numFmtId="0" fontId="21" fillId="61" borderId="47" xfId="337" applyFont="1" applyFill="1" applyBorder="1" applyAlignment="1">
      <alignment horizontal="center"/>
    </xf>
    <xf numFmtId="0" fontId="21" fillId="35" borderId="47" xfId="337" applyFont="1" applyFill="1" applyBorder="1" applyAlignment="1">
      <alignment horizontal="center"/>
    </xf>
    <xf numFmtId="0" fontId="34" fillId="61" borderId="78" xfId="337" applyFont="1" applyFill="1" applyBorder="1" applyAlignment="1">
      <alignment vertical="top"/>
    </xf>
    <xf numFmtId="0" fontId="34" fillId="61" borderId="0" xfId="337" applyFont="1" applyFill="1" applyBorder="1" applyAlignment="1">
      <alignment vertical="top"/>
    </xf>
    <xf numFmtId="0" fontId="21" fillId="61" borderId="47" xfId="337" applyFont="1" applyFill="1" applyBorder="1" applyAlignment="1">
      <alignment horizontal="center" wrapText="1"/>
    </xf>
    <xf numFmtId="0" fontId="21" fillId="61" borderId="0" xfId="337" applyFont="1" applyFill="1" applyBorder="1" applyAlignment="1">
      <alignment horizontal="center" vertical="center"/>
    </xf>
    <xf numFmtId="0" fontId="21" fillId="61" borderId="47" xfId="337" applyFont="1" applyFill="1" applyBorder="1" applyAlignment="1">
      <alignment horizontal="center" vertical="center" wrapText="1"/>
    </xf>
    <xf numFmtId="0" fontId="34" fillId="0" borderId="78" xfId="337" applyFont="1" applyFill="1" applyBorder="1" applyAlignment="1">
      <alignment vertical="top"/>
    </xf>
    <xf numFmtId="0" fontId="34" fillId="0" borderId="0" xfId="337" applyFont="1" applyFill="1" applyBorder="1" applyAlignment="1">
      <alignment vertical="top"/>
    </xf>
    <xf numFmtId="0" fontId="21" fillId="33" borderId="0" xfId="337" applyFont="1" applyFill="1" applyBorder="1" applyAlignment="1">
      <alignment vertical="top"/>
    </xf>
    <xf numFmtId="0" fontId="21" fillId="0" borderId="0" xfId="337" applyFont="1" applyFill="1" applyBorder="1" applyAlignment="1">
      <alignment vertical="top"/>
    </xf>
    <xf numFmtId="0" fontId="21" fillId="0" borderId="47" xfId="337" applyFont="1" applyFill="1" applyBorder="1" applyAlignment="1">
      <alignment horizontal="center" vertical="top" wrapText="1"/>
    </xf>
    <xf numFmtId="0" fontId="21" fillId="33" borderId="89" xfId="337" applyFont="1" applyFill="1" applyBorder="1" applyAlignment="1">
      <alignment vertical="top"/>
    </xf>
    <xf numFmtId="0" fontId="34" fillId="0" borderId="80" xfId="337" applyFont="1" applyFill="1" applyBorder="1" applyAlignment="1">
      <alignment vertical="top"/>
    </xf>
    <xf numFmtId="0" fontId="34" fillId="0" borderId="81" xfId="337" applyFont="1" applyFill="1" applyBorder="1" applyAlignment="1">
      <alignment vertical="top"/>
    </xf>
    <xf numFmtId="0" fontId="21" fillId="33" borderId="81" xfId="337" applyFont="1" applyFill="1" applyBorder="1" applyAlignment="1">
      <alignment vertical="top"/>
    </xf>
    <xf numFmtId="0" fontId="34" fillId="0" borderId="28" xfId="337" applyFont="1" applyFill="1" applyBorder="1"/>
    <xf numFmtId="0" fontId="34" fillId="36" borderId="28" xfId="337" applyFont="1" applyBorder="1"/>
    <xf numFmtId="10" fontId="61" fillId="0" borderId="40" xfId="402" applyNumberFormat="1" applyFont="1" applyBorder="1"/>
    <xf numFmtId="0" fontId="21" fillId="36" borderId="0" xfId="337" applyFont="1" applyBorder="1" applyAlignment="1">
      <alignment vertical="top" wrapText="1"/>
    </xf>
    <xf numFmtId="0" fontId="34" fillId="0" borderId="0" xfId="337" applyFont="1" applyFill="1" applyBorder="1"/>
    <xf numFmtId="10" fontId="61" fillId="0" borderId="0" xfId="402" applyNumberFormat="1" applyFont="1" applyBorder="1"/>
    <xf numFmtId="0" fontId="21" fillId="0" borderId="0" xfId="337" applyFont="1" applyFill="1" applyBorder="1" applyAlignment="1">
      <alignment vertical="top" wrapText="1"/>
    </xf>
    <xf numFmtId="0" fontId="21" fillId="36" borderId="78" xfId="337" applyFont="1" applyBorder="1" applyAlignment="1">
      <alignment vertical="top" wrapText="1"/>
    </xf>
    <xf numFmtId="0" fontId="21" fillId="0" borderId="0" xfId="337" applyFont="1" applyFill="1" applyBorder="1" applyAlignment="1">
      <alignment horizontal="center" vertical="center" wrapText="1"/>
    </xf>
    <xf numFmtId="10" fontId="61" fillId="0" borderId="47" xfId="402" applyNumberFormat="1" applyFont="1" applyBorder="1"/>
    <xf numFmtId="0" fontId="21" fillId="36" borderId="78" xfId="337" applyFont="1" applyBorder="1" applyAlignment="1">
      <alignment horizontal="left" vertical="center" wrapText="1"/>
    </xf>
    <xf numFmtId="0" fontId="21" fillId="35" borderId="0" xfId="337" applyFont="1" applyFill="1" applyBorder="1" applyAlignment="1">
      <alignment horizontal="center" vertical="center" wrapText="1"/>
    </xf>
    <xf numFmtId="10" fontId="61" fillId="0" borderId="47" xfId="402" applyNumberFormat="1" applyFont="1" applyBorder="1" applyAlignment="1">
      <alignment horizontal="center" vertical="center" wrapText="1"/>
    </xf>
    <xf numFmtId="0" fontId="64" fillId="36" borderId="87" xfId="337" applyFont="1" applyBorder="1" applyAlignment="1">
      <alignment horizontal="left" vertical="top" wrapText="1"/>
    </xf>
    <xf numFmtId="0" fontId="65" fillId="36" borderId="28" xfId="337" applyFont="1" applyBorder="1" applyAlignment="1">
      <alignment vertical="top" wrapText="1"/>
    </xf>
    <xf numFmtId="0" fontId="65" fillId="36" borderId="0" xfId="337" applyFont="1" applyBorder="1" applyAlignment="1">
      <alignment vertical="top" wrapText="1"/>
    </xf>
    <xf numFmtId="0" fontId="64" fillId="36" borderId="0" xfId="337" applyFont="1" applyBorder="1" applyAlignment="1">
      <alignment vertical="top" wrapText="1"/>
    </xf>
    <xf numFmtId="0" fontId="62" fillId="36" borderId="0" xfId="337" applyFont="1"/>
    <xf numFmtId="0" fontId="34" fillId="36" borderId="76" xfId="337" applyFont="1" applyBorder="1"/>
    <xf numFmtId="0" fontId="21" fillId="61" borderId="77" xfId="337" applyFont="1" applyFill="1" applyBorder="1" applyAlignment="1">
      <alignment horizontal="center"/>
    </xf>
    <xf numFmtId="0" fontId="21" fillId="61" borderId="38" xfId="337" applyFont="1" applyFill="1" applyBorder="1" applyAlignment="1">
      <alignment horizontal="center" vertical="center"/>
    </xf>
    <xf numFmtId="0" fontId="34" fillId="36" borderId="78" xfId="337" applyFont="1" applyBorder="1" applyAlignment="1">
      <alignment wrapText="1"/>
    </xf>
    <xf numFmtId="43" fontId="34" fillId="36" borderId="0" xfId="337" applyNumberFormat="1" applyFont="1" applyBorder="1" applyAlignment="1">
      <alignment horizontal="center" vertical="center"/>
    </xf>
    <xf numFmtId="43" fontId="34" fillId="36" borderId="47" xfId="337" applyNumberFormat="1" applyFont="1" applyBorder="1" applyAlignment="1">
      <alignment horizontal="center" vertical="center"/>
    </xf>
    <xf numFmtId="0" fontId="34" fillId="36" borderId="0" xfId="337" applyFont="1" applyBorder="1" applyAlignment="1">
      <alignment horizontal="center" vertical="center"/>
    </xf>
    <xf numFmtId="0" fontId="34" fillId="36" borderId="47" xfId="337" applyFont="1" applyBorder="1" applyAlignment="1">
      <alignment horizontal="center" vertical="center"/>
    </xf>
    <xf numFmtId="187" fontId="61" fillId="33" borderId="0" xfId="402" applyNumberFormat="1" applyFont="1" applyFill="1" applyBorder="1" applyAlignment="1">
      <alignment horizontal="center" vertical="center"/>
    </xf>
    <xf numFmtId="43" fontId="62" fillId="33" borderId="0" xfId="158" applyFont="1" applyFill="1" applyBorder="1"/>
    <xf numFmtId="43" fontId="62" fillId="33" borderId="79" xfId="158" applyFont="1" applyFill="1" applyBorder="1"/>
    <xf numFmtId="43" fontId="62" fillId="0" borderId="47" xfId="158" applyFont="1" applyBorder="1"/>
    <xf numFmtId="43" fontId="62" fillId="0" borderId="0" xfId="158" applyFont="1" applyBorder="1"/>
    <xf numFmtId="43" fontId="62" fillId="33" borderId="85" xfId="158" applyFont="1" applyFill="1" applyBorder="1"/>
    <xf numFmtId="43" fontId="62" fillId="33" borderId="86" xfId="158" applyFont="1" applyFill="1" applyBorder="1"/>
    <xf numFmtId="43" fontId="62" fillId="0" borderId="79" xfId="158" applyFont="1" applyBorder="1"/>
    <xf numFmtId="43" fontId="62" fillId="0" borderId="81" xfId="158" applyFont="1" applyBorder="1"/>
    <xf numFmtId="43" fontId="62" fillId="0" borderId="82" xfId="158" applyFont="1" applyBorder="1"/>
    <xf numFmtId="43" fontId="62" fillId="0" borderId="46" xfId="158" applyFont="1" applyBorder="1"/>
    <xf numFmtId="43" fontId="21" fillId="0" borderId="28" xfId="158" applyFont="1" applyBorder="1"/>
    <xf numFmtId="43" fontId="21" fillId="0" borderId="88" xfId="158" applyFont="1" applyBorder="1"/>
    <xf numFmtId="43" fontId="21" fillId="0" borderId="40" xfId="158" applyFont="1" applyBorder="1"/>
    <xf numFmtId="43" fontId="21" fillId="0" borderId="0" xfId="158" applyFont="1" applyBorder="1"/>
    <xf numFmtId="43" fontId="61" fillId="0" borderId="0" xfId="158" applyFont="1" applyBorder="1" applyAlignment="1">
      <alignment horizontal="center" vertical="center"/>
    </xf>
    <xf numFmtId="43" fontId="61" fillId="0" borderId="47" xfId="158" applyFont="1" applyBorder="1" applyAlignment="1">
      <alignment horizontal="center" vertical="center"/>
    </xf>
    <xf numFmtId="43" fontId="66" fillId="0" borderId="0" xfId="158" applyFont="1" applyBorder="1" applyAlignment="1">
      <alignment horizontal="center" vertical="center"/>
    </xf>
    <xf numFmtId="0" fontId="26" fillId="0" borderId="0" xfId="0" applyFont="1"/>
    <xf numFmtId="0" fontId="9" fillId="0" borderId="21" xfId="0" applyFont="1" applyBorder="1" applyAlignment="1">
      <alignment horizontal="center" vertical="center" wrapText="1"/>
    </xf>
    <xf numFmtId="0" fontId="9" fillId="0" borderId="91" xfId="0" applyFont="1" applyBorder="1" applyAlignment="1">
      <alignment horizontal="center" vertical="center" wrapText="1"/>
    </xf>
    <xf numFmtId="0" fontId="0" fillId="0" borderId="9" xfId="0" quotePrefix="1" applyBorder="1" applyAlignment="1">
      <alignment horizontal="center"/>
    </xf>
    <xf numFmtId="0" fontId="0" fillId="0" borderId="92" xfId="0" quotePrefix="1" applyBorder="1" applyAlignment="1">
      <alignment horizontal="center"/>
    </xf>
    <xf numFmtId="0" fontId="9" fillId="0" borderId="74" xfId="0" applyFont="1" applyBorder="1" applyAlignment="1">
      <alignment horizontal="center" vertical="top"/>
    </xf>
    <xf numFmtId="0" fontId="0" fillId="0" borderId="9" xfId="0" applyBorder="1" applyAlignment="1">
      <alignment vertical="top" wrapText="1"/>
    </xf>
    <xf numFmtId="0" fontId="0" fillId="33" borderId="9" xfId="0" applyFill="1" applyBorder="1" applyAlignment="1">
      <alignment horizontal="center" vertical="top"/>
    </xf>
    <xf numFmtId="0" fontId="0" fillId="35" borderId="9" xfId="0" applyFill="1" applyBorder="1" applyAlignment="1">
      <alignment vertical="top"/>
    </xf>
    <xf numFmtId="10" fontId="0" fillId="0" borderId="9" xfId="395" applyNumberFormat="1" applyFont="1" applyBorder="1" applyAlignment="1">
      <alignment vertical="top"/>
    </xf>
    <xf numFmtId="10" fontId="0" fillId="0" borderId="92" xfId="395" applyNumberFormat="1" applyFont="1" applyBorder="1" applyAlignment="1">
      <alignment vertical="top"/>
    </xf>
    <xf numFmtId="0" fontId="6" fillId="0" borderId="9" xfId="0" applyFont="1" applyBorder="1" applyAlignment="1">
      <alignment vertical="top" wrapText="1"/>
    </xf>
    <xf numFmtId="0" fontId="0" fillId="33" borderId="9" xfId="0" applyFill="1" applyBorder="1" applyAlignment="1">
      <alignment vertical="top"/>
    </xf>
    <xf numFmtId="0" fontId="9" fillId="0" borderId="74" xfId="0" applyFont="1" applyBorder="1" applyAlignment="1">
      <alignment horizontal="center" vertical="top" wrapText="1"/>
    </xf>
    <xf numFmtId="0" fontId="9" fillId="0" borderId="93" xfId="0" applyFont="1" applyBorder="1" applyAlignment="1">
      <alignment horizontal="center" vertical="top"/>
    </xf>
    <xf numFmtId="0" fontId="0" fillId="0" borderId="94" xfId="0" applyBorder="1" applyAlignment="1">
      <alignment vertical="top" wrapText="1"/>
    </xf>
    <xf numFmtId="0" fontId="0" fillId="33" borderId="94" xfId="0" applyFill="1" applyBorder="1" applyAlignment="1">
      <alignment horizontal="center" vertical="top"/>
    </xf>
    <xf numFmtId="169" fontId="0" fillId="33" borderId="94" xfId="176" applyNumberFormat="1" applyFont="1" applyFill="1" applyBorder="1" applyAlignment="1">
      <alignment vertical="top"/>
    </xf>
    <xf numFmtId="167" fontId="0" fillId="33" borderId="94" xfId="176" applyNumberFormat="1" applyFont="1" applyFill="1" applyBorder="1" applyAlignment="1">
      <alignment vertical="top"/>
    </xf>
    <xf numFmtId="10" fontId="0" fillId="0" borderId="94" xfId="395" applyNumberFormat="1" applyFont="1" applyBorder="1" applyAlignment="1">
      <alignment vertical="top"/>
    </xf>
    <xf numFmtId="10" fontId="0" fillId="0" borderId="95" xfId="395" applyNumberFormat="1" applyFont="1" applyBorder="1" applyAlignment="1">
      <alignment vertical="top"/>
    </xf>
    <xf numFmtId="0" fontId="9" fillId="0" borderId="75" xfId="0" applyFont="1" applyBorder="1" applyAlignment="1">
      <alignment horizontal="center" vertical="top"/>
    </xf>
    <xf numFmtId="0" fontId="0" fillId="0" borderId="22" xfId="0" applyBorder="1" applyAlignment="1">
      <alignment vertical="top" wrapText="1"/>
    </xf>
    <xf numFmtId="0" fontId="0" fillId="62" borderId="22" xfId="0" applyFill="1" applyBorder="1" applyAlignment="1">
      <alignment vertical="top"/>
    </xf>
    <xf numFmtId="169" fontId="0" fillId="0" borderId="22" xfId="176" applyNumberFormat="1" applyFont="1" applyBorder="1" applyAlignment="1">
      <alignment vertical="top"/>
    </xf>
    <xf numFmtId="10" fontId="0" fillId="0" borderId="22" xfId="395" applyNumberFormat="1" applyFont="1" applyBorder="1" applyAlignment="1">
      <alignment vertical="top"/>
    </xf>
    <xf numFmtId="10" fontId="0" fillId="0" borderId="96" xfId="395" applyNumberFormat="1" applyFont="1" applyBorder="1" applyAlignment="1">
      <alignment vertical="top"/>
    </xf>
    <xf numFmtId="0" fontId="9" fillId="0" borderId="97" xfId="0" applyFont="1" applyBorder="1" applyAlignment="1">
      <alignment horizontal="center" vertical="top"/>
    </xf>
    <xf numFmtId="0" fontId="0" fillId="0" borderId="98" xfId="0" applyBorder="1" applyAlignment="1">
      <alignment vertical="top" wrapText="1"/>
    </xf>
    <xf numFmtId="0" fontId="0" fillId="62" borderId="98" xfId="0" applyFill="1" applyBorder="1" applyAlignment="1">
      <alignment vertical="top"/>
    </xf>
    <xf numFmtId="169" fontId="0" fillId="0" borderId="98" xfId="176" applyNumberFormat="1" applyFont="1" applyBorder="1" applyAlignment="1">
      <alignment vertical="top"/>
    </xf>
    <xf numFmtId="10" fontId="0" fillId="0" borderId="98" xfId="395" applyNumberFormat="1" applyFont="1" applyBorder="1" applyAlignment="1">
      <alignment vertical="top"/>
    </xf>
    <xf numFmtId="10" fontId="0" fillId="0" borderId="99" xfId="395" applyNumberFormat="1" applyFont="1" applyBorder="1" applyAlignment="1">
      <alignment vertical="top"/>
    </xf>
    <xf numFmtId="0" fontId="9" fillId="0" borderId="70" xfId="0" applyFont="1" applyBorder="1" applyAlignment="1">
      <alignment horizontal="center" vertical="top"/>
    </xf>
    <xf numFmtId="0" fontId="0" fillId="0" borderId="71" xfId="0" applyBorder="1" applyAlignment="1">
      <alignment vertical="top" wrapText="1"/>
    </xf>
    <xf numFmtId="0" fontId="0" fillId="62" borderId="71" xfId="0" applyFill="1" applyBorder="1" applyAlignment="1">
      <alignment vertical="top"/>
    </xf>
    <xf numFmtId="169" fontId="0" fillId="0" borderId="71" xfId="176" applyNumberFormat="1" applyFont="1" applyBorder="1" applyAlignment="1">
      <alignment vertical="top"/>
    </xf>
    <xf numFmtId="10" fontId="0" fillId="0" borderId="71" xfId="395" applyNumberFormat="1" applyFont="1" applyBorder="1" applyAlignment="1">
      <alignment vertical="top"/>
    </xf>
    <xf numFmtId="10" fontId="0" fillId="0" borderId="73" xfId="395" applyNumberFormat="1" applyFont="1" applyBorder="1" applyAlignment="1">
      <alignment vertical="top"/>
    </xf>
    <xf numFmtId="0" fontId="9" fillId="63" borderId="66" xfId="0" applyFont="1" applyFill="1" applyBorder="1" applyAlignment="1">
      <alignment horizontal="center" vertical="center" wrapText="1"/>
    </xf>
    <xf numFmtId="0" fontId="9" fillId="63" borderId="39" xfId="0" applyFont="1" applyFill="1" applyBorder="1" applyAlignment="1">
      <alignment horizontal="center" vertical="center" wrapText="1"/>
    </xf>
    <xf numFmtId="0" fontId="9" fillId="0" borderId="90" xfId="0" applyFont="1" applyBorder="1" applyAlignment="1">
      <alignment horizontal="center" vertical="top"/>
    </xf>
    <xf numFmtId="0" fontId="6" fillId="0" borderId="100" xfId="0" applyFont="1" applyBorder="1" applyAlignment="1">
      <alignment vertical="top" wrapText="1"/>
    </xf>
    <xf numFmtId="0" fontId="0" fillId="33" borderId="90" xfId="0" applyFill="1" applyBorder="1" applyAlignment="1">
      <alignment horizontal="right" vertical="center"/>
    </xf>
    <xf numFmtId="0" fontId="0" fillId="33" borderId="101" xfId="0" applyFill="1" applyBorder="1" applyAlignment="1">
      <alignment horizontal="right" vertical="center"/>
    </xf>
    <xf numFmtId="0" fontId="0" fillId="33" borderId="75" xfId="0" applyFill="1" applyBorder="1" applyAlignment="1">
      <alignment horizontal="right" vertical="center"/>
    </xf>
    <xf numFmtId="167" fontId="0" fillId="33" borderId="102" xfId="176" applyNumberFormat="1" applyFont="1" applyFill="1" applyBorder="1" applyAlignment="1">
      <alignment vertical="top"/>
    </xf>
    <xf numFmtId="0" fontId="6" fillId="0" borderId="10" xfId="0" applyFont="1" applyBorder="1" applyAlignment="1">
      <alignment vertical="top" wrapText="1"/>
    </xf>
    <xf numFmtId="0" fontId="0" fillId="33" borderId="74" xfId="0" applyFill="1" applyBorder="1" applyAlignment="1">
      <alignment horizontal="right" vertical="center"/>
    </xf>
    <xf numFmtId="0" fontId="0" fillId="33" borderId="102" xfId="0" applyFill="1" applyBorder="1" applyAlignment="1">
      <alignment horizontal="right" vertical="center"/>
    </xf>
    <xf numFmtId="0" fontId="0" fillId="0" borderId="103" xfId="0" applyBorder="1" applyAlignment="1">
      <alignment vertical="top" wrapText="1"/>
    </xf>
    <xf numFmtId="0" fontId="0" fillId="33" borderId="93" xfId="0" applyFill="1" applyBorder="1" applyAlignment="1">
      <alignment horizontal="right" vertical="center"/>
    </xf>
    <xf numFmtId="167" fontId="0" fillId="33" borderId="104" xfId="176" applyNumberFormat="1" applyFont="1" applyFill="1" applyBorder="1" applyAlignment="1">
      <alignment vertical="top"/>
    </xf>
    <xf numFmtId="0" fontId="9" fillId="0" borderId="105" xfId="0" applyFont="1" applyFill="1" applyBorder="1" applyAlignment="1">
      <alignment vertical="center" wrapText="1"/>
    </xf>
    <xf numFmtId="0" fontId="0" fillId="0" borderId="91" xfId="0" applyFill="1" applyBorder="1" applyAlignment="1">
      <alignment horizontal="center" vertical="center" wrapText="1"/>
    </xf>
    <xf numFmtId="0" fontId="0" fillId="0" borderId="83" xfId="0" applyBorder="1" applyAlignment="1">
      <alignment horizontal="left" vertical="center" wrapText="1"/>
    </xf>
    <xf numFmtId="10" fontId="0" fillId="0" borderId="9" xfId="395" applyNumberFormat="1" applyFont="1" applyBorder="1"/>
    <xf numFmtId="10" fontId="0" fillId="0" borderId="92" xfId="395" applyNumberFormat="1" applyFont="1" applyBorder="1"/>
    <xf numFmtId="0" fontId="6" fillId="0" borderId="83" xfId="0" applyFont="1" applyBorder="1" applyAlignment="1">
      <alignment horizontal="left" vertical="center" wrapText="1"/>
    </xf>
    <xf numFmtId="0" fontId="6" fillId="33" borderId="83" xfId="0" applyFont="1" applyFill="1" applyBorder="1" applyAlignment="1">
      <alignment horizontal="left" vertical="center" wrapText="1"/>
    </xf>
    <xf numFmtId="0" fontId="0" fillId="33" borderId="83" xfId="0" applyFill="1" applyBorder="1" applyAlignment="1">
      <alignment horizontal="left" vertical="center" wrapText="1"/>
    </xf>
    <xf numFmtId="0" fontId="9" fillId="0" borderId="106" xfId="0" applyFont="1" applyBorder="1" applyAlignment="1"/>
    <xf numFmtId="169" fontId="0" fillId="0" borderId="94" xfId="176" applyNumberFormat="1" applyFont="1" applyBorder="1"/>
    <xf numFmtId="10" fontId="0" fillId="0" borderId="94" xfId="0" applyNumberFormat="1" applyBorder="1"/>
    <xf numFmtId="10" fontId="0" fillId="0" borderId="95" xfId="0" applyNumberFormat="1" applyBorder="1"/>
    <xf numFmtId="0" fontId="6" fillId="0" borderId="0" xfId="0" applyFont="1" applyFill="1" applyAlignment="1">
      <alignment vertical="top" wrapText="1"/>
    </xf>
    <xf numFmtId="0" fontId="6" fillId="0" borderId="0" xfId="0" applyFont="1" applyFill="1" applyAlignment="1">
      <alignment horizontal="left" vertical="top" wrapText="1"/>
    </xf>
    <xf numFmtId="0" fontId="6" fillId="0" borderId="0" xfId="0" applyFont="1" applyFill="1" applyAlignment="1">
      <alignment horizontal="left" vertical="top"/>
    </xf>
    <xf numFmtId="0" fontId="0" fillId="0" borderId="0" xfId="0" applyFill="1" applyAlignment="1">
      <alignment horizontal="left" vertical="top" wrapText="1"/>
    </xf>
    <xf numFmtId="0" fontId="9" fillId="0" borderId="0" xfId="0" applyFont="1" applyAlignment="1">
      <alignment vertical="top"/>
    </xf>
    <xf numFmtId="0" fontId="9" fillId="0" borderId="0" xfId="0" applyFont="1" applyAlignment="1">
      <alignment wrapText="1"/>
    </xf>
    <xf numFmtId="0" fontId="9" fillId="0" borderId="21" xfId="0" applyFont="1" applyFill="1" applyBorder="1" applyAlignment="1">
      <alignment horizontal="center"/>
    </xf>
    <xf numFmtId="0" fontId="9" fillId="0" borderId="91" xfId="0" applyFont="1" applyFill="1" applyBorder="1" applyAlignment="1">
      <alignment horizontal="center"/>
    </xf>
    <xf numFmtId="169" fontId="0" fillId="33" borderId="92" xfId="176" applyNumberFormat="1" applyFont="1" applyFill="1" applyBorder="1"/>
    <xf numFmtId="169" fontId="0" fillId="33" borderId="23" xfId="176" applyNumberFormat="1" applyFont="1" applyFill="1" applyBorder="1"/>
    <xf numFmtId="169" fontId="0" fillId="33" borderId="108" xfId="176" applyNumberFormat="1" applyFont="1" applyFill="1" applyBorder="1"/>
    <xf numFmtId="169" fontId="0" fillId="0" borderId="110" xfId="176" applyNumberFormat="1" applyFont="1" applyBorder="1"/>
    <xf numFmtId="169" fontId="0" fillId="0" borderId="111" xfId="176" applyNumberFormat="1" applyFont="1" applyBorder="1"/>
    <xf numFmtId="0" fontId="59" fillId="0" borderId="0" xfId="0" applyFont="1"/>
    <xf numFmtId="0" fontId="6" fillId="0" borderId="0" xfId="0" applyFont="1" applyAlignment="1"/>
    <xf numFmtId="0" fontId="9" fillId="0" borderId="21" xfId="0" applyFont="1" applyFill="1" applyBorder="1" applyAlignment="1">
      <alignment horizontal="center" wrapText="1"/>
    </xf>
    <xf numFmtId="0" fontId="9" fillId="0" borderId="23" xfId="0" applyFont="1" applyFill="1" applyBorder="1" applyAlignment="1">
      <alignment horizontal="center" vertical="center" wrapText="1"/>
    </xf>
    <xf numFmtId="0" fontId="9" fillId="33" borderId="22" xfId="0" applyFont="1" applyFill="1" applyBorder="1" applyAlignment="1">
      <alignment horizontal="center" vertical="center"/>
    </xf>
    <xf numFmtId="0" fontId="9" fillId="0" borderId="22" xfId="0" applyFont="1" applyFill="1" applyBorder="1" applyAlignment="1">
      <alignment horizontal="center"/>
    </xf>
    <xf numFmtId="0" fontId="9" fillId="0" borderId="9" xfId="0" applyFont="1" applyFill="1" applyBorder="1" applyAlignment="1">
      <alignment horizontal="center" vertical="top" wrapText="1"/>
    </xf>
    <xf numFmtId="0" fontId="9" fillId="0" borderId="92" xfId="0" applyFont="1" applyFill="1" applyBorder="1" applyAlignment="1">
      <alignment horizontal="center" vertical="top" wrapText="1"/>
    </xf>
    <xf numFmtId="43" fontId="0" fillId="33" borderId="9" xfId="146" applyFont="1" applyFill="1" applyBorder="1"/>
    <xf numFmtId="43" fontId="0" fillId="0" borderId="9" xfId="146" applyFont="1" applyBorder="1"/>
    <xf numFmtId="0" fontId="0" fillId="0" borderId="92" xfId="0" applyBorder="1"/>
    <xf numFmtId="0" fontId="6" fillId="33" borderId="92" xfId="0" applyFont="1" applyFill="1" applyBorder="1"/>
    <xf numFmtId="0" fontId="0" fillId="33" borderId="92" xfId="0" applyFill="1" applyBorder="1"/>
    <xf numFmtId="43" fontId="0" fillId="33" borderId="94" xfId="146" applyFont="1" applyFill="1" applyBorder="1"/>
    <xf numFmtId="43" fontId="0" fillId="0" borderId="94" xfId="146" applyFont="1" applyBorder="1"/>
    <xf numFmtId="0" fontId="0" fillId="32" borderId="95" xfId="0" applyFill="1" applyBorder="1"/>
    <xf numFmtId="0" fontId="6" fillId="0" borderId="0" xfId="0" applyFont="1" applyAlignment="1">
      <alignment vertical="top" wrapText="1"/>
    </xf>
    <xf numFmtId="0" fontId="9" fillId="0" borderId="0" xfId="0" applyFont="1" applyAlignment="1">
      <alignment horizontal="left" vertical="center"/>
    </xf>
    <xf numFmtId="0" fontId="9" fillId="0" borderId="0" xfId="0" applyFont="1" applyAlignment="1"/>
    <xf numFmtId="0" fontId="9" fillId="0" borderId="9" xfId="0" applyFont="1" applyFill="1" applyBorder="1" applyAlignment="1">
      <alignment horizontal="center"/>
    </xf>
    <xf numFmtId="0" fontId="9" fillId="0" borderId="92" xfId="0" applyFont="1" applyFill="1" applyBorder="1" applyAlignment="1">
      <alignment horizontal="center"/>
    </xf>
    <xf numFmtId="43" fontId="0" fillId="0" borderId="9" xfId="0" applyNumberFormat="1" applyBorder="1"/>
    <xf numFmtId="43" fontId="0" fillId="33" borderId="9" xfId="0" applyNumberFormat="1" applyFill="1" applyBorder="1"/>
    <xf numFmtId="0" fontId="0" fillId="33" borderId="9" xfId="0" applyFill="1" applyBorder="1"/>
    <xf numFmtId="0" fontId="0" fillId="0" borderId="92" xfId="0" applyBorder="1" applyAlignment="1">
      <alignment horizontal="center"/>
    </xf>
    <xf numFmtId="0" fontId="0" fillId="0" borderId="92" xfId="0" applyFill="1" applyBorder="1" applyAlignment="1">
      <alignment horizontal="center"/>
    </xf>
    <xf numFmtId="43" fontId="0" fillId="0" borderId="94" xfId="0" applyNumberFormat="1" applyBorder="1"/>
    <xf numFmtId="0" fontId="0" fillId="33" borderId="94" xfId="0" applyFill="1" applyBorder="1"/>
    <xf numFmtId="0" fontId="0" fillId="64" borderId="95" xfId="0" applyFill="1" applyBorder="1" applyAlignment="1">
      <alignment horizontal="center"/>
    </xf>
    <xf numFmtId="0" fontId="9" fillId="33" borderId="9" xfId="0" applyFont="1" applyFill="1" applyBorder="1" applyAlignment="1">
      <alignment horizontal="center" vertical="center"/>
    </xf>
    <xf numFmtId="0" fontId="0" fillId="0" borderId="74" xfId="0" applyFill="1" applyBorder="1"/>
    <xf numFmtId="0" fontId="9" fillId="0" borderId="74" xfId="0" applyFont="1" applyBorder="1" applyAlignment="1">
      <alignment vertical="top"/>
    </xf>
    <xf numFmtId="164" fontId="0" fillId="33" borderId="9" xfId="146" applyNumberFormat="1" applyFont="1" applyFill="1" applyBorder="1" applyAlignment="1">
      <alignment vertical="top"/>
    </xf>
    <xf numFmtId="164" fontId="0" fillId="0" borderId="92" xfId="146" applyNumberFormat="1" applyFont="1" applyBorder="1" applyAlignment="1">
      <alignment vertical="top"/>
    </xf>
    <xf numFmtId="164" fontId="0" fillId="0" borderId="9" xfId="146" applyNumberFormat="1" applyFont="1" applyFill="1" applyBorder="1" applyAlignment="1">
      <alignment vertical="top"/>
    </xf>
    <xf numFmtId="164" fontId="0" fillId="0" borderId="92" xfId="146" applyNumberFormat="1" applyFont="1" applyFill="1" applyBorder="1" applyAlignment="1">
      <alignment vertical="top"/>
    </xf>
    <xf numFmtId="188" fontId="0" fillId="0" borderId="9" xfId="0" applyNumberFormat="1" applyFill="1" applyBorder="1" applyAlignment="1">
      <alignment vertical="top"/>
    </xf>
    <xf numFmtId="188" fontId="0" fillId="0" borderId="92" xfId="0" applyNumberFormat="1" applyFill="1" applyBorder="1" applyAlignment="1">
      <alignment vertical="top"/>
    </xf>
    <xf numFmtId="0" fontId="0" fillId="0" borderId="74" xfId="0" applyFill="1" applyBorder="1" applyAlignment="1">
      <alignment vertical="top"/>
    </xf>
    <xf numFmtId="188" fontId="0" fillId="33" borderId="9" xfId="0" applyNumberFormat="1" applyFill="1" applyBorder="1" applyAlignment="1">
      <alignment vertical="top"/>
    </xf>
    <xf numFmtId="188" fontId="0" fillId="0" borderId="92" xfId="0" applyNumberFormat="1" applyBorder="1" applyAlignment="1">
      <alignment vertical="top"/>
    </xf>
    <xf numFmtId="0" fontId="0" fillId="0" borderId="93" xfId="0" applyBorder="1" applyAlignment="1">
      <alignment vertical="top"/>
    </xf>
    <xf numFmtId="0" fontId="0" fillId="0" borderId="94" xfId="0" applyBorder="1" applyAlignment="1">
      <alignment vertical="top"/>
    </xf>
    <xf numFmtId="188" fontId="0" fillId="0" borderId="94" xfId="0" applyNumberFormat="1" applyBorder="1" applyAlignment="1">
      <alignment vertical="top"/>
    </xf>
    <xf numFmtId="0" fontId="0" fillId="0" borderId="95" xfId="0" applyBorder="1" applyAlignment="1">
      <alignment vertical="top"/>
    </xf>
    <xf numFmtId="0" fontId="13" fillId="0" borderId="0" xfId="0" applyFont="1"/>
    <xf numFmtId="0" fontId="9" fillId="0" borderId="0" xfId="0" applyFont="1" applyAlignment="1">
      <alignment horizontal="center"/>
    </xf>
    <xf numFmtId="0" fontId="6" fillId="0" borderId="0" xfId="0" applyFont="1" applyAlignment="1">
      <alignment horizontal="center"/>
    </xf>
    <xf numFmtId="0" fontId="68" fillId="36" borderId="0" xfId="0" applyFont="1" applyFill="1" applyAlignment="1" applyProtection="1">
      <alignment vertical="top" wrapText="1"/>
    </xf>
    <xf numFmtId="0" fontId="0" fillId="36" borderId="0" xfId="0" applyFill="1" applyBorder="1" applyProtection="1"/>
    <xf numFmtId="0" fontId="69" fillId="36" borderId="0" xfId="0" applyFont="1" applyFill="1" applyBorder="1" applyAlignment="1" applyProtection="1"/>
    <xf numFmtId="0" fontId="0" fillId="36" borderId="0" xfId="0" applyFill="1" applyBorder="1" applyAlignment="1" applyProtection="1">
      <alignment horizontal="left" indent="1"/>
    </xf>
    <xf numFmtId="0" fontId="16" fillId="36" borderId="0" xfId="0" applyFont="1" applyFill="1" applyBorder="1" applyAlignment="1" applyProtection="1"/>
    <xf numFmtId="0" fontId="0" fillId="0" borderId="0" xfId="0" applyProtection="1"/>
    <xf numFmtId="0" fontId="9" fillId="0" borderId="0" xfId="0" applyFont="1" applyAlignment="1" applyProtection="1">
      <alignment horizontal="right"/>
    </xf>
    <xf numFmtId="0" fontId="6" fillId="0" borderId="0" xfId="0" applyFont="1" applyAlignment="1" applyProtection="1">
      <alignment horizontal="right"/>
    </xf>
    <xf numFmtId="0" fontId="16" fillId="0" borderId="0" xfId="0" applyFont="1" applyAlignment="1" applyProtection="1">
      <alignment horizontal="center"/>
    </xf>
    <xf numFmtId="0" fontId="54" fillId="35" borderId="0" xfId="0" applyFont="1" applyFill="1" applyAlignment="1" applyProtection="1">
      <alignment horizontal="center"/>
    </xf>
    <xf numFmtId="0" fontId="6" fillId="0" borderId="0" xfId="0" applyFont="1" applyProtection="1"/>
    <xf numFmtId="0" fontId="9" fillId="0" borderId="0" xfId="0" applyFont="1" applyProtection="1"/>
    <xf numFmtId="164" fontId="9" fillId="33" borderId="9" xfId="146" applyNumberFormat="1" applyFont="1" applyFill="1" applyBorder="1" applyProtection="1">
      <protection locked="0"/>
    </xf>
    <xf numFmtId="0" fontId="9" fillId="0" borderId="0" xfId="0" applyFont="1" applyAlignment="1" applyProtection="1"/>
    <xf numFmtId="0" fontId="9" fillId="0" borderId="0" xfId="0" applyFont="1" applyAlignment="1" applyProtection="1">
      <alignment horizontal="center"/>
    </xf>
    <xf numFmtId="0" fontId="9" fillId="0" borderId="23" xfId="0" applyFont="1" applyBorder="1" applyAlignment="1" applyProtection="1">
      <alignment horizontal="center"/>
    </xf>
    <xf numFmtId="0" fontId="9" fillId="0" borderId="24" xfId="0" applyFont="1" applyBorder="1" applyAlignment="1" applyProtection="1">
      <alignment horizontal="center"/>
    </xf>
    <xf numFmtId="0" fontId="9" fillId="0" borderId="15" xfId="0" applyFont="1" applyBorder="1" applyAlignment="1" applyProtection="1">
      <alignment horizontal="center"/>
    </xf>
    <xf numFmtId="0" fontId="9" fillId="0" borderId="22" xfId="0" quotePrefix="1" applyFont="1" applyBorder="1" applyAlignment="1" applyProtection="1">
      <alignment horizontal="center"/>
    </xf>
    <xf numFmtId="0" fontId="9" fillId="0" borderId="18" xfId="0" quotePrefix="1" applyFont="1" applyBorder="1" applyAlignment="1" applyProtection="1">
      <alignment horizontal="center"/>
    </xf>
    <xf numFmtId="0" fontId="0" fillId="0" borderId="0" xfId="0" applyAlignment="1" applyProtection="1">
      <alignment vertical="top"/>
    </xf>
    <xf numFmtId="0" fontId="0" fillId="35" borderId="0" xfId="0" applyFill="1" applyAlignment="1" applyProtection="1">
      <alignment vertical="top"/>
      <protection locked="0"/>
    </xf>
    <xf numFmtId="0" fontId="0" fillId="0" borderId="0" xfId="0" applyFill="1" applyAlignment="1" applyProtection="1">
      <alignment vertical="top"/>
    </xf>
    <xf numFmtId="189" fontId="0" fillId="33" borderId="25" xfId="176" applyNumberFormat="1" applyFont="1" applyFill="1" applyBorder="1" applyAlignment="1" applyProtection="1">
      <alignment vertical="top"/>
      <protection locked="0"/>
    </xf>
    <xf numFmtId="0" fontId="0" fillId="0" borderId="25" xfId="0" applyFill="1" applyBorder="1" applyAlignment="1" applyProtection="1">
      <alignment vertical="center"/>
    </xf>
    <xf numFmtId="44" fontId="0" fillId="0" borderId="24" xfId="176" applyFont="1" applyBorder="1" applyAlignment="1" applyProtection="1">
      <alignment vertical="center"/>
    </xf>
    <xf numFmtId="0" fontId="0" fillId="0" borderId="0" xfId="0" applyAlignment="1" applyProtection="1">
      <alignment vertical="center"/>
    </xf>
    <xf numFmtId="189" fontId="0" fillId="33" borderId="25" xfId="176" applyNumberFormat="1" applyFont="1" applyFill="1" applyBorder="1" applyAlignment="1" applyProtection="1">
      <alignment vertical="center"/>
      <protection locked="0"/>
    </xf>
    <xf numFmtId="0" fontId="0" fillId="0" borderId="24" xfId="0" applyFill="1" applyBorder="1" applyAlignment="1" applyProtection="1">
      <alignment vertical="center"/>
    </xf>
    <xf numFmtId="44" fontId="0" fillId="0" borderId="25" xfId="0" applyNumberFormat="1" applyBorder="1" applyAlignment="1" applyProtection="1">
      <alignment vertical="center"/>
    </xf>
    <xf numFmtId="10" fontId="0" fillId="0" borderId="24" xfId="395" applyNumberFormat="1" applyFont="1" applyBorder="1" applyAlignment="1" applyProtection="1">
      <alignment vertical="center"/>
    </xf>
    <xf numFmtId="0" fontId="0" fillId="33" borderId="0" xfId="0" applyFill="1" applyAlignment="1" applyProtection="1">
      <alignment vertical="top"/>
    </xf>
    <xf numFmtId="0" fontId="6" fillId="33" borderId="0" xfId="0" applyFont="1" applyFill="1" applyAlignment="1" applyProtection="1">
      <alignment vertical="top"/>
      <protection locked="0"/>
    </xf>
    <xf numFmtId="0" fontId="0" fillId="33" borderId="0" xfId="0" applyFill="1" applyAlignment="1" applyProtection="1">
      <alignment vertical="top"/>
      <protection locked="0"/>
    </xf>
    <xf numFmtId="0" fontId="0" fillId="0" borderId="0" xfId="0" applyFill="1" applyProtection="1"/>
    <xf numFmtId="0" fontId="9" fillId="61" borderId="10" xfId="0" applyFont="1" applyFill="1" applyBorder="1" applyAlignment="1" applyProtection="1">
      <alignment vertical="top"/>
      <protection locked="0"/>
    </xf>
    <xf numFmtId="0" fontId="0" fillId="61" borderId="11" xfId="0" applyFill="1" applyBorder="1" applyAlignment="1" applyProtection="1">
      <alignment vertical="top"/>
    </xf>
    <xf numFmtId="0" fontId="0" fillId="61" borderId="11" xfId="0" applyFill="1" applyBorder="1" applyAlignment="1" applyProtection="1">
      <alignment vertical="top"/>
      <protection locked="0"/>
    </xf>
    <xf numFmtId="189" fontId="0" fillId="61" borderId="9" xfId="176" applyNumberFormat="1" applyFont="1" applyFill="1" applyBorder="1" applyAlignment="1" applyProtection="1">
      <alignment vertical="top"/>
      <protection locked="0"/>
    </xf>
    <xf numFmtId="0" fontId="0" fillId="61" borderId="9" xfId="0" applyFill="1" applyBorder="1" applyAlignment="1" applyProtection="1">
      <alignment vertical="center"/>
      <protection locked="0"/>
    </xf>
    <xf numFmtId="44" fontId="0" fillId="61" borderId="12" xfId="176" applyFont="1" applyFill="1" applyBorder="1" applyAlignment="1" applyProtection="1">
      <alignment vertical="center"/>
    </xf>
    <xf numFmtId="0" fontId="0" fillId="61" borderId="0" xfId="0" applyFill="1" applyAlignment="1" applyProtection="1">
      <alignment vertical="center"/>
    </xf>
    <xf numFmtId="189" fontId="0" fillId="61" borderId="9" xfId="176" applyNumberFormat="1" applyFont="1" applyFill="1" applyBorder="1" applyAlignment="1" applyProtection="1">
      <alignment vertical="center"/>
      <protection locked="0"/>
    </xf>
    <xf numFmtId="0" fontId="0" fillId="61" borderId="12" xfId="0" applyFill="1" applyBorder="1" applyAlignment="1" applyProtection="1">
      <alignment vertical="center"/>
      <protection locked="0"/>
    </xf>
    <xf numFmtId="44" fontId="9" fillId="61" borderId="9" xfId="0" applyNumberFormat="1" applyFont="1" applyFill="1" applyBorder="1" applyAlignment="1" applyProtection="1">
      <alignment vertical="center"/>
    </xf>
    <xf numFmtId="10" fontId="9" fillId="61" borderId="12" xfId="395" applyNumberFormat="1" applyFont="1" applyFill="1" applyBorder="1" applyAlignment="1" applyProtection="1">
      <alignment vertical="center"/>
    </xf>
    <xf numFmtId="0" fontId="6" fillId="33" borderId="0" xfId="0" applyFont="1" applyFill="1" applyAlignment="1" applyProtection="1">
      <alignment vertical="top" wrapText="1"/>
    </xf>
    <xf numFmtId="0" fontId="0" fillId="0" borderId="55" xfId="0" applyBorder="1" applyAlignment="1" applyProtection="1">
      <alignment vertical="center"/>
    </xf>
    <xf numFmtId="0" fontId="0" fillId="0" borderId="25" xfId="0" applyBorder="1" applyAlignment="1" applyProtection="1">
      <alignment vertical="center"/>
    </xf>
    <xf numFmtId="0" fontId="6" fillId="0" borderId="0" xfId="0" applyFont="1" applyAlignment="1" applyProtection="1">
      <alignment vertical="top"/>
    </xf>
    <xf numFmtId="189" fontId="0" fillId="63" borderId="25" xfId="176" applyNumberFormat="1" applyFont="1" applyFill="1" applyBorder="1" applyAlignment="1" applyProtection="1">
      <alignment vertical="top"/>
      <protection locked="0"/>
    </xf>
    <xf numFmtId="0" fontId="0" fillId="65" borderId="25" xfId="0" applyFill="1" applyBorder="1" applyAlignment="1" applyProtection="1">
      <alignment vertical="center"/>
    </xf>
    <xf numFmtId="189" fontId="0" fillId="63" borderId="25" xfId="176" applyNumberFormat="1" applyFont="1" applyFill="1" applyBorder="1" applyAlignment="1" applyProtection="1">
      <alignment vertical="center"/>
      <protection locked="0"/>
    </xf>
    <xf numFmtId="0" fontId="9" fillId="61" borderId="10" xfId="0" applyFont="1" applyFill="1" applyBorder="1" applyAlignment="1" applyProtection="1">
      <alignment vertical="top" wrapText="1"/>
    </xf>
    <xf numFmtId="0" fontId="0" fillId="61" borderId="11" xfId="0" applyFill="1" applyBorder="1" applyProtection="1"/>
    <xf numFmtId="0" fontId="0" fillId="61" borderId="9" xfId="0" applyFill="1" applyBorder="1" applyProtection="1"/>
    <xf numFmtId="0" fontId="0" fillId="61" borderId="9" xfId="0" applyFill="1" applyBorder="1" applyAlignment="1" applyProtection="1">
      <alignment vertical="center"/>
    </xf>
    <xf numFmtId="44" fontId="9" fillId="61" borderId="12" xfId="0" applyNumberFormat="1" applyFont="1" applyFill="1" applyBorder="1" applyAlignment="1" applyProtection="1">
      <alignment vertical="center"/>
    </xf>
    <xf numFmtId="0" fontId="0" fillId="61" borderId="12" xfId="0" applyFill="1" applyBorder="1" applyAlignment="1" applyProtection="1">
      <alignment vertical="center"/>
    </xf>
    <xf numFmtId="0" fontId="0" fillId="35" borderId="0" xfId="0" applyFill="1" applyAlignment="1" applyProtection="1">
      <alignment vertical="center"/>
      <protection locked="0"/>
    </xf>
    <xf numFmtId="0" fontId="0" fillId="0" borderId="0" xfId="0" applyFill="1" applyAlignment="1" applyProtection="1">
      <alignment vertical="center"/>
    </xf>
    <xf numFmtId="1" fontId="0" fillId="65" borderId="25" xfId="0" applyNumberFormat="1" applyFill="1" applyBorder="1" applyAlignment="1" applyProtection="1">
      <alignment vertical="center"/>
    </xf>
    <xf numFmtId="1" fontId="0" fillId="65" borderId="24" xfId="0" applyNumberFormat="1" applyFill="1" applyBorder="1" applyAlignment="1" applyProtection="1">
      <alignment vertical="center"/>
    </xf>
    <xf numFmtId="0" fontId="0" fillId="0" borderId="0" xfId="0" applyAlignment="1" applyProtection="1">
      <alignment vertical="center" wrapText="1"/>
    </xf>
    <xf numFmtId="0" fontId="0" fillId="61" borderId="9" xfId="0" applyFill="1" applyBorder="1" applyAlignment="1" applyProtection="1">
      <alignment vertical="top"/>
    </xf>
    <xf numFmtId="0" fontId="9" fillId="61" borderId="0" xfId="0" applyFont="1" applyFill="1" applyAlignment="1" applyProtection="1">
      <alignment vertical="center"/>
    </xf>
    <xf numFmtId="0" fontId="9" fillId="61" borderId="9" xfId="0" applyFont="1" applyFill="1" applyBorder="1" applyAlignment="1" applyProtection="1">
      <alignment vertical="center"/>
    </xf>
    <xf numFmtId="0" fontId="9" fillId="61" borderId="12" xfId="0" applyFont="1" applyFill="1" applyBorder="1" applyAlignment="1" applyProtection="1">
      <alignment vertical="center"/>
    </xf>
    <xf numFmtId="0" fontId="0" fillId="0" borderId="0" xfId="0" applyAlignment="1" applyProtection="1">
      <alignment vertical="top" wrapText="1"/>
    </xf>
    <xf numFmtId="189" fontId="6" fillId="33" borderId="25" xfId="176" applyNumberFormat="1" applyFill="1" applyBorder="1" applyAlignment="1" applyProtection="1">
      <alignment vertical="top"/>
      <protection locked="0"/>
    </xf>
    <xf numFmtId="44" fontId="6" fillId="0" borderId="24" xfId="176" applyBorder="1" applyAlignment="1" applyProtection="1">
      <alignment vertical="center"/>
    </xf>
    <xf numFmtId="189" fontId="6" fillId="33" borderId="25" xfId="176" applyNumberFormat="1" applyFill="1" applyBorder="1" applyAlignment="1" applyProtection="1">
      <alignment vertical="center"/>
      <protection locked="0"/>
    </xf>
    <xf numFmtId="10" fontId="6" fillId="0" borderId="24" xfId="395" applyNumberFormat="1" applyBorder="1" applyAlignment="1" applyProtection="1">
      <alignment vertical="center"/>
    </xf>
    <xf numFmtId="1" fontId="0" fillId="0" borderId="25" xfId="0" applyNumberFormat="1" applyFill="1" applyBorder="1" applyAlignment="1" applyProtection="1">
      <alignment vertical="center"/>
    </xf>
    <xf numFmtId="1" fontId="0" fillId="0" borderId="24" xfId="0" applyNumberFormat="1" applyFill="1" applyBorder="1" applyAlignment="1" applyProtection="1">
      <alignment vertical="center"/>
    </xf>
    <xf numFmtId="189" fontId="6" fillId="0" borderId="25" xfId="176" applyNumberFormat="1" applyFill="1" applyBorder="1" applyAlignment="1" applyProtection="1">
      <alignment vertical="top"/>
      <protection locked="0"/>
    </xf>
    <xf numFmtId="1" fontId="6" fillId="63" borderId="25" xfId="0" applyNumberFormat="1" applyFont="1" applyFill="1" applyBorder="1" applyAlignment="1" applyProtection="1">
      <alignment vertical="center"/>
    </xf>
    <xf numFmtId="44" fontId="0" fillId="0" borderId="0" xfId="0" applyNumberFormat="1" applyProtection="1"/>
    <xf numFmtId="0" fontId="6" fillId="66" borderId="35" xfId="0" applyFont="1" applyFill="1" applyBorder="1" applyProtection="1"/>
    <xf numFmtId="0" fontId="0" fillId="66" borderId="36" xfId="0" applyFill="1" applyBorder="1" applyAlignment="1" applyProtection="1">
      <alignment vertical="top"/>
    </xf>
    <xf numFmtId="0" fontId="0" fillId="66" borderId="36" xfId="0" applyFill="1" applyBorder="1" applyAlignment="1" applyProtection="1">
      <alignment vertical="top"/>
      <protection locked="0"/>
    </xf>
    <xf numFmtId="189" fontId="6" fillId="66" borderId="115" xfId="176" applyNumberFormat="1" applyFill="1" applyBorder="1" applyAlignment="1" applyProtection="1">
      <alignment vertical="top"/>
      <protection locked="0"/>
    </xf>
    <xf numFmtId="0" fontId="0" fillId="66" borderId="116" xfId="0" applyFill="1" applyBorder="1" applyAlignment="1" applyProtection="1">
      <alignment vertical="center"/>
      <protection locked="0"/>
    </xf>
    <xf numFmtId="44" fontId="6" fillId="66" borderId="36" xfId="176" applyFill="1" applyBorder="1" applyAlignment="1" applyProtection="1">
      <alignment vertical="center"/>
    </xf>
    <xf numFmtId="0" fontId="0" fillId="66" borderId="36" xfId="0" applyFill="1" applyBorder="1" applyAlignment="1" applyProtection="1">
      <alignment vertical="center"/>
    </xf>
    <xf numFmtId="0" fontId="0" fillId="66" borderId="115" xfId="0" applyFill="1" applyBorder="1" applyAlignment="1" applyProtection="1">
      <alignment vertical="center"/>
      <protection locked="0"/>
    </xf>
    <xf numFmtId="44" fontId="0" fillId="66" borderId="115" xfId="0" applyNumberFormat="1" applyFill="1" applyBorder="1" applyAlignment="1" applyProtection="1">
      <alignment vertical="center"/>
    </xf>
    <xf numFmtId="10" fontId="6" fillId="66" borderId="37" xfId="395" applyNumberFormat="1" applyFill="1" applyBorder="1" applyAlignment="1" applyProtection="1">
      <alignment vertical="center"/>
    </xf>
    <xf numFmtId="0" fontId="9" fillId="0" borderId="0" xfId="0" applyFont="1" applyFill="1" applyAlignment="1" applyProtection="1">
      <alignment vertical="top"/>
    </xf>
    <xf numFmtId="9" fontId="0" fillId="0" borderId="25" xfId="0" applyNumberFormat="1" applyFill="1" applyBorder="1" applyAlignment="1" applyProtection="1">
      <alignment vertical="top"/>
    </xf>
    <xf numFmtId="9" fontId="0" fillId="0" borderId="0" xfId="0" applyNumberFormat="1" applyFill="1" applyBorder="1" applyAlignment="1" applyProtection="1">
      <alignment vertical="center"/>
    </xf>
    <xf numFmtId="44" fontId="9" fillId="0" borderId="55" xfId="0" applyNumberFormat="1" applyFont="1" applyFill="1" applyBorder="1" applyAlignment="1" applyProtection="1">
      <alignment vertical="center"/>
    </xf>
    <xf numFmtId="0" fontId="9" fillId="0" borderId="25" xfId="0" applyFont="1" applyFill="1" applyBorder="1" applyAlignment="1" applyProtection="1">
      <alignment vertical="center"/>
    </xf>
    <xf numFmtId="9" fontId="9" fillId="0" borderId="25" xfId="0" applyNumberFormat="1" applyFont="1" applyFill="1" applyBorder="1" applyAlignment="1" applyProtection="1">
      <alignment vertical="center"/>
    </xf>
    <xf numFmtId="0" fontId="9" fillId="0" borderId="0" xfId="0" applyFont="1" applyFill="1" applyBorder="1" applyAlignment="1" applyProtection="1">
      <alignment vertical="center"/>
    </xf>
    <xf numFmtId="44" fontId="9" fillId="0" borderId="25" xfId="0" applyNumberFormat="1" applyFont="1" applyFill="1" applyBorder="1" applyAlignment="1" applyProtection="1">
      <alignment vertical="center"/>
    </xf>
    <xf numFmtId="10" fontId="9" fillId="0" borderId="24" xfId="395" applyNumberFormat="1" applyFont="1" applyFill="1" applyBorder="1" applyAlignment="1" applyProtection="1">
      <alignment vertical="center"/>
    </xf>
    <xf numFmtId="0" fontId="6" fillId="0" borderId="0" xfId="0" applyFont="1" applyFill="1" applyAlignment="1" applyProtection="1">
      <alignment horizontal="left" vertical="top" indent="1"/>
    </xf>
    <xf numFmtId="9" fontId="0" fillId="0" borderId="25" xfId="0" applyNumberFormat="1" applyFill="1" applyBorder="1" applyAlignment="1" applyProtection="1">
      <alignment vertical="top"/>
      <protection locked="0"/>
    </xf>
    <xf numFmtId="0" fontId="0" fillId="0" borderId="0" xfId="0" applyFill="1" applyBorder="1" applyAlignment="1" applyProtection="1">
      <alignment vertical="center"/>
    </xf>
    <xf numFmtId="44" fontId="6" fillId="0" borderId="55" xfId="0" applyNumberFormat="1" applyFont="1" applyFill="1" applyBorder="1" applyAlignment="1" applyProtection="1">
      <alignment vertical="center"/>
    </xf>
    <xf numFmtId="0" fontId="6" fillId="0" borderId="25" xfId="0" applyFont="1" applyFill="1" applyBorder="1" applyAlignment="1" applyProtection="1">
      <alignment vertical="center"/>
    </xf>
    <xf numFmtId="9" fontId="6" fillId="0" borderId="25" xfId="0" applyNumberFormat="1" applyFont="1" applyFill="1" applyBorder="1" applyAlignment="1" applyProtection="1">
      <alignment vertical="center"/>
      <protection locked="0"/>
    </xf>
    <xf numFmtId="44" fontId="6" fillId="0" borderId="24" xfId="0" applyNumberFormat="1" applyFont="1" applyFill="1" applyBorder="1" applyAlignment="1" applyProtection="1">
      <alignment vertical="center"/>
    </xf>
    <xf numFmtId="0" fontId="6" fillId="0" borderId="0" xfId="0" applyFont="1" applyFill="1" applyBorder="1" applyAlignment="1" applyProtection="1">
      <alignment vertical="center"/>
    </xf>
    <xf numFmtId="44" fontId="6" fillId="0" borderId="25" xfId="0" applyNumberFormat="1" applyFont="1" applyFill="1" applyBorder="1" applyAlignment="1" applyProtection="1">
      <alignment vertical="center"/>
    </xf>
    <xf numFmtId="10" fontId="6" fillId="0" borderId="24" xfId="395" applyNumberFormat="1" applyFont="1" applyFill="1" applyBorder="1" applyAlignment="1" applyProtection="1">
      <alignment vertical="center"/>
    </xf>
    <xf numFmtId="0" fontId="9" fillId="0" borderId="0" xfId="0" applyFont="1" applyAlignment="1" applyProtection="1">
      <alignment horizontal="left" vertical="top" wrapText="1" indent="1"/>
    </xf>
    <xf numFmtId="0" fontId="0" fillId="0" borderId="25" xfId="0" applyFill="1" applyBorder="1" applyAlignment="1" applyProtection="1">
      <alignment vertical="top"/>
    </xf>
    <xf numFmtId="44" fontId="60" fillId="0" borderId="55" xfId="0" applyNumberFormat="1" applyFont="1" applyFill="1" applyBorder="1" applyAlignment="1" applyProtection="1">
      <alignment vertical="center"/>
    </xf>
    <xf numFmtId="44" fontId="60" fillId="0" borderId="24" xfId="0" applyNumberFormat="1" applyFont="1" applyFill="1" applyBorder="1" applyAlignment="1" applyProtection="1">
      <alignment vertical="center"/>
    </xf>
    <xf numFmtId="44" fontId="60" fillId="0" borderId="25" xfId="0" applyNumberFormat="1" applyFont="1" applyFill="1" applyBorder="1" applyAlignment="1" applyProtection="1">
      <alignment vertical="center"/>
    </xf>
    <xf numFmtId="10" fontId="60" fillId="0" borderId="24" xfId="395" applyNumberFormat="1" applyFont="1" applyFill="1" applyBorder="1" applyAlignment="1" applyProtection="1">
      <alignment vertical="center"/>
    </xf>
    <xf numFmtId="0" fontId="0" fillId="67" borderId="0" xfId="0" applyFill="1" applyAlignment="1" applyProtection="1">
      <alignment vertical="top"/>
    </xf>
    <xf numFmtId="0" fontId="0" fillId="67" borderId="22" xfId="0" applyFill="1" applyBorder="1" applyAlignment="1" applyProtection="1">
      <alignment vertical="top"/>
    </xf>
    <xf numFmtId="0" fontId="0" fillId="67" borderId="17" xfId="0" applyFill="1" applyBorder="1" applyAlignment="1" applyProtection="1">
      <alignment vertical="center"/>
    </xf>
    <xf numFmtId="44" fontId="9" fillId="67" borderId="16" xfId="0" applyNumberFormat="1" applyFont="1" applyFill="1" applyBorder="1" applyAlignment="1" applyProtection="1">
      <alignment vertical="center"/>
    </xf>
    <xf numFmtId="0" fontId="9" fillId="67" borderId="22" xfId="0" applyFont="1" applyFill="1" applyBorder="1" applyAlignment="1" applyProtection="1">
      <alignment vertical="center"/>
    </xf>
    <xf numFmtId="44" fontId="9" fillId="67" borderId="18" xfId="0" applyNumberFormat="1" applyFont="1" applyFill="1" applyBorder="1" applyAlignment="1" applyProtection="1">
      <alignment vertical="center"/>
    </xf>
    <xf numFmtId="0" fontId="9" fillId="67" borderId="17" xfId="0" applyFont="1" applyFill="1" applyBorder="1" applyAlignment="1" applyProtection="1">
      <alignment vertical="center"/>
    </xf>
    <xf numFmtId="44" fontId="9" fillId="67" borderId="22" xfId="0" applyNumberFormat="1" applyFont="1" applyFill="1" applyBorder="1" applyAlignment="1" applyProtection="1">
      <alignment vertical="center"/>
    </xf>
    <xf numFmtId="10" fontId="9" fillId="67" borderId="18" xfId="395" applyNumberFormat="1" applyFont="1" applyFill="1" applyBorder="1" applyAlignment="1" applyProtection="1">
      <alignment vertical="center"/>
    </xf>
    <xf numFmtId="0" fontId="6" fillId="0" borderId="0" xfId="4" applyProtection="1"/>
    <xf numFmtId="0" fontId="6" fillId="66" borderId="35" xfId="4" applyFont="1" applyFill="1" applyBorder="1" applyProtection="1"/>
    <xf numFmtId="0" fontId="6" fillId="66" borderId="36" xfId="4" applyFill="1" applyBorder="1" applyAlignment="1" applyProtection="1">
      <alignment vertical="top"/>
    </xf>
    <xf numFmtId="0" fontId="6" fillId="66" borderId="36" xfId="4" applyFill="1" applyBorder="1" applyAlignment="1" applyProtection="1">
      <alignment vertical="top"/>
      <protection locked="0"/>
    </xf>
    <xf numFmtId="0" fontId="6" fillId="66" borderId="116" xfId="4" applyFill="1" applyBorder="1" applyAlignment="1" applyProtection="1">
      <alignment vertical="center"/>
      <protection locked="0"/>
    </xf>
    <xf numFmtId="0" fontId="6" fillId="66" borderId="36" xfId="4" applyFill="1" applyBorder="1" applyAlignment="1" applyProtection="1">
      <alignment vertical="center"/>
    </xf>
    <xf numFmtId="0" fontId="6" fillId="66" borderId="115" xfId="4" applyFill="1" applyBorder="1" applyAlignment="1" applyProtection="1">
      <alignment vertical="center"/>
      <protection locked="0"/>
    </xf>
    <xf numFmtId="44" fontId="6" fillId="66" borderId="115" xfId="4" applyNumberFormat="1" applyFill="1" applyBorder="1" applyAlignment="1" applyProtection="1">
      <alignment vertical="center"/>
    </xf>
    <xf numFmtId="187" fontId="6" fillId="33" borderId="9" xfId="395" applyNumberFormat="1" applyFill="1" applyBorder="1" applyProtection="1">
      <protection locked="0"/>
    </xf>
    <xf numFmtId="0" fontId="70" fillId="0" borderId="0" xfId="0" applyFont="1" applyProtection="1"/>
    <xf numFmtId="0" fontId="0" fillId="65" borderId="0" xfId="0" applyFill="1" applyProtection="1"/>
    <xf numFmtId="164" fontId="0" fillId="0" borderId="25" xfId="0" applyNumberFormat="1" applyFill="1" applyBorder="1" applyAlignment="1" applyProtection="1">
      <alignment vertical="center"/>
    </xf>
    <xf numFmtId="43" fontId="0" fillId="65" borderId="25" xfId="0" applyNumberFormat="1" applyFill="1" applyBorder="1" applyAlignment="1" applyProtection="1">
      <alignment vertical="center"/>
    </xf>
    <xf numFmtId="0" fontId="6" fillId="0" borderId="0" xfId="4" applyFont="1" applyAlignment="1" applyProtection="1">
      <alignment vertical="top"/>
    </xf>
    <xf numFmtId="0" fontId="6" fillId="0" borderId="0" xfId="4" applyAlignment="1" applyProtection="1">
      <alignment vertical="top"/>
    </xf>
    <xf numFmtId="0" fontId="6" fillId="35" borderId="0" xfId="4" applyFill="1" applyAlignment="1" applyProtection="1">
      <alignment vertical="top"/>
      <protection locked="0"/>
    </xf>
    <xf numFmtId="0" fontId="6" fillId="0" borderId="0" xfId="4" applyFill="1" applyAlignment="1" applyProtection="1">
      <alignment vertical="top"/>
    </xf>
    <xf numFmtId="1" fontId="6" fillId="63" borderId="25" xfId="4" applyNumberFormat="1" applyFill="1" applyBorder="1" applyAlignment="1" applyProtection="1">
      <alignment vertical="center"/>
    </xf>
    <xf numFmtId="0" fontId="6" fillId="0" borderId="0" xfId="4" applyAlignment="1" applyProtection="1">
      <alignment vertical="center"/>
    </xf>
    <xf numFmtId="44" fontId="6" fillId="0" borderId="25" xfId="4" applyNumberFormat="1" applyBorder="1" applyAlignment="1" applyProtection="1">
      <alignment vertical="center"/>
    </xf>
    <xf numFmtId="0" fontId="9" fillId="0" borderId="0" xfId="4" applyFont="1" applyFill="1" applyAlignment="1" applyProtection="1">
      <alignment vertical="top"/>
    </xf>
    <xf numFmtId="9" fontId="6" fillId="0" borderId="25" xfId="4" applyNumberFormat="1" applyFill="1" applyBorder="1" applyAlignment="1" applyProtection="1">
      <alignment vertical="top"/>
    </xf>
    <xf numFmtId="9" fontId="6" fillId="0" borderId="0" xfId="4" applyNumberFormat="1" applyFill="1" applyBorder="1" applyAlignment="1" applyProtection="1">
      <alignment vertical="center"/>
    </xf>
    <xf numFmtId="44" fontId="9" fillId="0" borderId="55" xfId="4" applyNumberFormat="1" applyFont="1" applyFill="1" applyBorder="1" applyAlignment="1" applyProtection="1">
      <alignment vertical="center"/>
    </xf>
    <xf numFmtId="0" fontId="9" fillId="0" borderId="25" xfId="4" applyFont="1" applyFill="1" applyBorder="1" applyAlignment="1" applyProtection="1">
      <alignment vertical="center"/>
    </xf>
    <xf numFmtId="9" fontId="9" fillId="0" borderId="25" xfId="4" applyNumberFormat="1" applyFont="1" applyFill="1" applyBorder="1" applyAlignment="1" applyProtection="1">
      <alignment vertical="center"/>
    </xf>
    <xf numFmtId="0" fontId="9" fillId="0" borderId="0" xfId="4" applyFont="1" applyFill="1" applyBorder="1" applyAlignment="1" applyProtection="1">
      <alignment vertical="center"/>
    </xf>
    <xf numFmtId="44" fontId="9" fillId="0" borderId="25" xfId="4" applyNumberFormat="1" applyFont="1" applyFill="1" applyBorder="1" applyAlignment="1" applyProtection="1">
      <alignment vertical="center"/>
    </xf>
    <xf numFmtId="0" fontId="6" fillId="0" borderId="0" xfId="4" applyFont="1" applyFill="1" applyAlignment="1" applyProtection="1">
      <alignment horizontal="left" vertical="top" indent="1"/>
    </xf>
    <xf numFmtId="9" fontId="6" fillId="0" borderId="25" xfId="4" applyNumberFormat="1" applyFill="1" applyBorder="1" applyAlignment="1" applyProtection="1">
      <alignment vertical="top"/>
      <protection locked="0"/>
    </xf>
    <xf numFmtId="44" fontId="6" fillId="0" borderId="55" xfId="4" applyNumberFormat="1" applyFont="1" applyFill="1" applyBorder="1" applyAlignment="1" applyProtection="1">
      <alignment vertical="center"/>
    </xf>
    <xf numFmtId="0" fontId="6" fillId="0" borderId="25" xfId="4" applyFont="1" applyFill="1" applyBorder="1" applyAlignment="1" applyProtection="1">
      <alignment vertical="center"/>
    </xf>
    <xf numFmtId="9" fontId="6" fillId="0" borderId="25" xfId="4" applyNumberFormat="1" applyFont="1" applyFill="1" applyBorder="1" applyAlignment="1" applyProtection="1">
      <alignment vertical="top"/>
      <protection locked="0"/>
    </xf>
    <xf numFmtId="9" fontId="6" fillId="0" borderId="25" xfId="4" applyNumberFormat="1" applyFont="1" applyFill="1" applyBorder="1" applyAlignment="1" applyProtection="1">
      <alignment vertical="center"/>
    </xf>
    <xf numFmtId="44" fontId="6" fillId="0" borderId="24" xfId="4" applyNumberFormat="1" applyFont="1" applyFill="1" applyBorder="1" applyAlignment="1" applyProtection="1">
      <alignment vertical="center"/>
    </xf>
    <xf numFmtId="0" fontId="6" fillId="0" borderId="0" xfId="4" applyFont="1" applyFill="1" applyBorder="1" applyAlignment="1" applyProtection="1">
      <alignment vertical="center"/>
    </xf>
    <xf numFmtId="44" fontId="6" fillId="0" borderId="25" xfId="4" applyNumberFormat="1" applyFont="1" applyFill="1" applyBorder="1" applyAlignment="1" applyProtection="1">
      <alignment vertical="center"/>
    </xf>
    <xf numFmtId="0" fontId="9" fillId="0" borderId="0" xfId="4" applyFont="1" applyAlignment="1" applyProtection="1">
      <alignment horizontal="left" vertical="top" wrapText="1" indent="1"/>
    </xf>
    <xf numFmtId="0" fontId="6" fillId="0" borderId="25" xfId="4" applyFill="1" applyBorder="1" applyAlignment="1" applyProtection="1">
      <alignment vertical="top"/>
    </xf>
    <xf numFmtId="0" fontId="6" fillId="0" borderId="0" xfId="4" applyFill="1" applyBorder="1" applyAlignment="1" applyProtection="1">
      <alignment vertical="center"/>
    </xf>
    <xf numFmtId="44" fontId="60" fillId="0" borderId="55" xfId="4" applyNumberFormat="1" applyFont="1" applyFill="1" applyBorder="1" applyAlignment="1" applyProtection="1">
      <alignment vertical="center"/>
    </xf>
    <xf numFmtId="44" fontId="60" fillId="0" borderId="24" xfId="4" applyNumberFormat="1" applyFont="1" applyFill="1" applyBorder="1" applyAlignment="1" applyProtection="1">
      <alignment vertical="center"/>
    </xf>
    <xf numFmtId="44" fontId="60" fillId="0" borderId="25" xfId="4" applyNumberFormat="1" applyFont="1" applyFill="1" applyBorder="1" applyAlignment="1" applyProtection="1">
      <alignment vertical="center"/>
    </xf>
    <xf numFmtId="0" fontId="6" fillId="67" borderId="0" xfId="4" applyFill="1" applyAlignment="1" applyProtection="1">
      <alignment vertical="top"/>
    </xf>
    <xf numFmtId="0" fontId="6" fillId="67" borderId="25" xfId="4" applyFill="1" applyBorder="1" applyAlignment="1" applyProtection="1">
      <alignment vertical="top"/>
    </xf>
    <xf numFmtId="0" fontId="6" fillId="67" borderId="0" xfId="4" applyFill="1" applyBorder="1" applyAlignment="1" applyProtection="1">
      <alignment vertical="center"/>
    </xf>
    <xf numFmtId="44" fontId="9" fillId="67" borderId="55" xfId="4" applyNumberFormat="1" applyFont="1" applyFill="1" applyBorder="1" applyAlignment="1" applyProtection="1">
      <alignment vertical="center"/>
    </xf>
    <xf numFmtId="0" fontId="9" fillId="67" borderId="25" xfId="4" applyFont="1" applyFill="1" applyBorder="1" applyAlignment="1" applyProtection="1">
      <alignment vertical="center"/>
    </xf>
    <xf numFmtId="44" fontId="9" fillId="67" borderId="24" xfId="4" applyNumberFormat="1" applyFont="1" applyFill="1" applyBorder="1" applyAlignment="1" applyProtection="1">
      <alignment vertical="center"/>
    </xf>
    <xf numFmtId="0" fontId="9" fillId="67" borderId="0" xfId="4" applyFont="1" applyFill="1" applyBorder="1" applyAlignment="1" applyProtection="1">
      <alignment vertical="center"/>
    </xf>
    <xf numFmtId="44" fontId="9" fillId="67" borderId="25" xfId="4" applyNumberFormat="1" applyFont="1" applyFill="1" applyBorder="1" applyAlignment="1" applyProtection="1">
      <alignment vertical="center"/>
    </xf>
    <xf numFmtId="10" fontId="9" fillId="67" borderId="24" xfId="395" applyNumberFormat="1" applyFont="1" applyFill="1" applyBorder="1" applyAlignment="1" applyProtection="1">
      <alignment vertical="center"/>
    </xf>
    <xf numFmtId="189" fontId="6" fillId="66" borderId="116" xfId="176" applyNumberFormat="1" applyFill="1" applyBorder="1" applyAlignment="1" applyProtection="1">
      <alignment vertical="top"/>
      <protection locked="0"/>
    </xf>
    <xf numFmtId="0" fontId="6" fillId="66" borderId="36" xfId="4" applyFill="1" applyBorder="1" applyAlignment="1" applyProtection="1">
      <alignment vertical="center"/>
      <protection locked="0"/>
    </xf>
    <xf numFmtId="44" fontId="6" fillId="66" borderId="117" xfId="176" applyFill="1" applyBorder="1" applyAlignment="1" applyProtection="1">
      <alignment vertical="center"/>
    </xf>
    <xf numFmtId="0" fontId="6" fillId="66" borderId="116" xfId="4" applyFill="1" applyBorder="1" applyAlignment="1" applyProtection="1">
      <alignment vertical="center"/>
    </xf>
    <xf numFmtId="44" fontId="6" fillId="66" borderId="115" xfId="176" applyFill="1" applyBorder="1" applyAlignment="1" applyProtection="1">
      <alignment vertical="center"/>
    </xf>
    <xf numFmtId="44" fontId="6" fillId="66" borderId="116" xfId="4" applyNumberFormat="1" applyFill="1" applyBorder="1" applyAlignment="1" applyProtection="1">
      <alignment vertical="center"/>
    </xf>
    <xf numFmtId="164" fontId="0" fillId="65" borderId="25" xfId="0" applyNumberFormat="1" applyFill="1" applyBorder="1" applyAlignment="1" applyProtection="1">
      <alignment vertical="center"/>
    </xf>
    <xf numFmtId="43" fontId="0" fillId="0" borderId="25" xfId="0" applyNumberFormat="1" applyFill="1" applyBorder="1" applyAlignment="1" applyProtection="1">
      <alignment vertical="center"/>
    </xf>
    <xf numFmtId="2" fontId="0" fillId="65" borderId="25" xfId="0" applyNumberFormat="1" applyFill="1" applyBorder="1" applyAlignment="1" applyProtection="1">
      <alignment vertical="center"/>
    </xf>
    <xf numFmtId="2" fontId="0" fillId="65" borderId="24" xfId="0" applyNumberFormat="1" applyFill="1" applyBorder="1" applyAlignment="1" applyProtection="1">
      <alignment vertical="center"/>
    </xf>
    <xf numFmtId="189" fontId="6" fillId="33" borderId="25" xfId="176" applyNumberFormat="1" applyFont="1" applyFill="1" applyBorder="1" applyAlignment="1" applyProtection="1">
      <alignment vertical="center"/>
      <protection locked="0"/>
    </xf>
    <xf numFmtId="43" fontId="9" fillId="33" borderId="9" xfId="146" applyFont="1" applyFill="1" applyBorder="1" applyProtection="1">
      <protection locked="0"/>
    </xf>
    <xf numFmtId="0" fontId="14" fillId="0" borderId="0" xfId="4" applyFont="1" applyAlignment="1">
      <alignment horizontal="right" vertical="top"/>
    </xf>
    <xf numFmtId="0" fontId="0" fillId="0" borderId="0" xfId="0" applyFill="1" applyAlignment="1">
      <alignment vertical="center"/>
    </xf>
    <xf numFmtId="0" fontId="14" fillId="33" borderId="0" xfId="4" applyFont="1" applyFill="1" applyAlignment="1">
      <alignment horizontal="right" vertical="top"/>
    </xf>
    <xf numFmtId="14" fontId="14" fillId="33" borderId="0" xfId="4" applyNumberFormat="1" applyFont="1" applyFill="1" applyAlignment="1">
      <alignment horizontal="right" vertical="top"/>
    </xf>
    <xf numFmtId="49" fontId="0" fillId="0" borderId="0" xfId="0" applyNumberFormat="1" applyAlignment="1">
      <alignment vertical="center" wrapText="1"/>
    </xf>
    <xf numFmtId="0" fontId="0" fillId="35" borderId="0" xfId="0" applyFill="1" applyBorder="1" applyAlignment="1" applyProtection="1">
      <alignment horizontal="center" vertical="center"/>
      <protection locked="0"/>
    </xf>
    <xf numFmtId="0" fontId="0" fillId="0" borderId="0" xfId="0" applyFill="1" applyBorder="1"/>
    <xf numFmtId="0" fontId="21" fillId="0" borderId="0" xfId="0" applyFont="1" applyFill="1" applyBorder="1" applyAlignment="1">
      <alignment horizontal="right" vertical="center"/>
    </xf>
    <xf numFmtId="0" fontId="6" fillId="0" borderId="0" xfId="0" applyFont="1" applyFill="1" applyBorder="1" applyAlignment="1">
      <alignment horizontal="left" vertical="center"/>
    </xf>
    <xf numFmtId="0" fontId="0" fillId="0" borderId="0" xfId="0" applyFill="1" applyBorder="1" applyAlignment="1">
      <alignment horizontal="left" vertical="center"/>
    </xf>
    <xf numFmtId="0" fontId="0" fillId="63" borderId="19" xfId="0" applyFill="1" applyBorder="1" applyAlignment="1">
      <alignment vertical="top"/>
    </xf>
    <xf numFmtId="0" fontId="0" fillId="63" borderId="119" xfId="0" applyFill="1" applyBorder="1" applyAlignment="1">
      <alignment vertical="top"/>
    </xf>
    <xf numFmtId="0" fontId="0" fillId="0" borderId="19" xfId="0" applyFill="1" applyBorder="1" applyAlignment="1">
      <alignment vertical="top"/>
    </xf>
    <xf numFmtId="0" fontId="0" fillId="0" borderId="119" xfId="0" applyFill="1" applyBorder="1" applyAlignment="1">
      <alignment vertical="top"/>
    </xf>
    <xf numFmtId="0" fontId="0" fillId="0" borderId="89" xfId="0" applyFill="1" applyBorder="1" applyAlignment="1">
      <alignment vertical="top"/>
    </xf>
    <xf numFmtId="0" fontId="0" fillId="0" borderId="121" xfId="0" applyFill="1" applyBorder="1" applyAlignment="1">
      <alignment vertical="top"/>
    </xf>
    <xf numFmtId="0" fontId="9" fillId="0" borderId="122" xfId="0" applyFont="1" applyFill="1" applyBorder="1" applyAlignment="1">
      <alignment vertical="center"/>
    </xf>
    <xf numFmtId="0" fontId="9" fillId="0" borderId="19" xfId="0" applyFont="1" applyFill="1" applyBorder="1" applyAlignment="1">
      <alignment vertical="center"/>
    </xf>
    <xf numFmtId="0" fontId="9" fillId="0" borderId="119" xfId="0" applyFont="1" applyFill="1" applyBorder="1" applyAlignment="1">
      <alignment vertical="center"/>
    </xf>
    <xf numFmtId="0" fontId="9" fillId="0" borderId="120" xfId="0" applyFont="1" applyFill="1" applyBorder="1" applyAlignment="1">
      <alignment vertical="center"/>
    </xf>
    <xf numFmtId="0" fontId="9" fillId="0" borderId="89" xfId="0" applyFont="1" applyFill="1" applyBorder="1" applyAlignment="1">
      <alignment vertical="center"/>
    </xf>
    <xf numFmtId="0" fontId="9" fillId="0" borderId="121" xfId="0" applyFont="1" applyFill="1" applyBorder="1" applyAlignment="1">
      <alignment vertical="center"/>
    </xf>
    <xf numFmtId="0" fontId="9" fillId="0" borderId="0" xfId="0" applyFont="1" applyFill="1" applyAlignment="1">
      <alignment vertical="center"/>
    </xf>
    <xf numFmtId="0" fontId="0" fillId="0" borderId="122" xfId="0" applyFill="1" applyBorder="1" applyAlignment="1">
      <alignment vertical="top"/>
    </xf>
    <xf numFmtId="0" fontId="0" fillId="0" borderId="120" xfId="0" applyFill="1" applyBorder="1" applyAlignment="1">
      <alignment vertical="top"/>
    </xf>
    <xf numFmtId="0" fontId="0" fillId="0" borderId="0" xfId="0" applyFill="1" applyAlignment="1">
      <alignment vertical="top"/>
    </xf>
    <xf numFmtId="0" fontId="71" fillId="0" borderId="0" xfId="0" applyFont="1" applyAlignment="1">
      <alignment vertical="center"/>
    </xf>
    <xf numFmtId="0" fontId="0" fillId="0" borderId="0" xfId="0" applyAlignment="1">
      <alignment horizontal="left" vertical="top"/>
    </xf>
    <xf numFmtId="0" fontId="72" fillId="0" borderId="0" xfId="0" applyFont="1" applyAlignment="1">
      <alignment vertical="center" wrapText="1"/>
    </xf>
    <xf numFmtId="0" fontId="73" fillId="0" borderId="0" xfId="0" applyFont="1" applyAlignment="1">
      <alignment vertical="center" wrapText="1"/>
    </xf>
    <xf numFmtId="0" fontId="5" fillId="0" borderId="0" xfId="0" applyFont="1" applyAlignment="1">
      <alignment vertical="center" wrapText="1"/>
    </xf>
    <xf numFmtId="0" fontId="74" fillId="0" borderId="0" xfId="0" applyFont="1" applyAlignment="1">
      <alignment vertical="center" wrapText="1"/>
    </xf>
    <xf numFmtId="0" fontId="58" fillId="0" borderId="0" xfId="0" applyFont="1" applyAlignment="1">
      <alignment vertical="center" wrapText="1"/>
    </xf>
    <xf numFmtId="0" fontId="75" fillId="0" borderId="0" xfId="0" applyFont="1" applyAlignment="1">
      <alignment vertical="center" wrapText="1"/>
    </xf>
    <xf numFmtId="0" fontId="73" fillId="0" borderId="0" xfId="0" applyFont="1" applyAlignment="1" applyProtection="1">
      <alignment vertical="center" wrapText="1"/>
      <protection locked="0"/>
    </xf>
    <xf numFmtId="0" fontId="6" fillId="63" borderId="0" xfId="0" applyFont="1" applyFill="1" applyBorder="1" applyAlignment="1" applyProtection="1">
      <alignment horizontal="left"/>
      <protection locked="0"/>
    </xf>
    <xf numFmtId="0" fontId="1" fillId="0" borderId="0" xfId="351" applyAlignment="1"/>
    <xf numFmtId="0" fontId="58" fillId="63" borderId="0" xfId="0" applyFont="1" applyFill="1" applyBorder="1" applyAlignment="1" applyProtection="1">
      <alignment horizontal="left" vertical="top"/>
      <protection locked="0"/>
    </xf>
    <xf numFmtId="0" fontId="0" fillId="63" borderId="0" xfId="0" applyFont="1" applyFill="1" applyBorder="1" applyAlignment="1" applyProtection="1">
      <alignment horizontal="left"/>
      <protection locked="0"/>
    </xf>
    <xf numFmtId="0" fontId="77" fillId="0" borderId="0" xfId="0" applyFont="1" applyAlignment="1">
      <alignment vertical="center" wrapText="1"/>
    </xf>
    <xf numFmtId="0" fontId="1" fillId="0" borderId="0" xfId="351" applyFill="1" applyAlignment="1"/>
    <xf numFmtId="0" fontId="36" fillId="68" borderId="124" xfId="0" applyFont="1" applyFill="1" applyBorder="1" applyAlignment="1" applyProtection="1">
      <alignment horizontal="left" vertical="top"/>
      <protection locked="0"/>
    </xf>
    <xf numFmtId="190" fontId="36" fillId="69" borderId="124" xfId="0" applyNumberFormat="1" applyFont="1" applyFill="1" applyBorder="1" applyAlignment="1" applyProtection="1">
      <alignment horizontal="right" vertical="top"/>
      <protection locked="0"/>
    </xf>
    <xf numFmtId="191" fontId="1" fillId="0" borderId="0" xfId="351" applyNumberFormat="1" applyAlignment="1"/>
    <xf numFmtId="191" fontId="0" fillId="0" borderId="0" xfId="0" applyNumberFormat="1" applyFill="1" applyBorder="1" applyAlignment="1" applyProtection="1">
      <alignment horizontal="left" vertical="top" wrapText="1"/>
      <protection locked="0"/>
    </xf>
    <xf numFmtId="191" fontId="0" fillId="63" borderId="0" xfId="0" applyNumberFormat="1" applyFont="1" applyFill="1" applyBorder="1" applyAlignment="1" applyProtection="1">
      <alignment horizontal="left"/>
      <protection locked="0"/>
    </xf>
    <xf numFmtId="191" fontId="36" fillId="69" borderId="124" xfId="0" applyNumberFormat="1" applyFont="1" applyFill="1" applyBorder="1" applyAlignment="1" applyProtection="1">
      <alignment horizontal="right" vertical="top"/>
      <protection locked="0"/>
    </xf>
    <xf numFmtId="191" fontId="0" fillId="0" borderId="125" xfId="0" applyNumberFormat="1" applyFill="1" applyBorder="1" applyAlignment="1" applyProtection="1">
      <alignment horizontal="left" vertical="top" wrapText="1"/>
      <protection locked="0"/>
    </xf>
    <xf numFmtId="191" fontId="0" fillId="0" borderId="126" xfId="0" applyNumberFormat="1" applyFill="1" applyBorder="1" applyAlignment="1" applyProtection="1">
      <alignment horizontal="left" vertical="top" wrapText="1"/>
      <protection locked="0"/>
    </xf>
    <xf numFmtId="191" fontId="0" fillId="0" borderId="0" xfId="0" applyNumberFormat="1" applyFont="1" applyFill="1" applyBorder="1" applyAlignment="1" applyProtection="1">
      <alignment horizontal="left"/>
      <protection locked="0"/>
    </xf>
    <xf numFmtId="0" fontId="14" fillId="68" borderId="129" xfId="0" applyFont="1" applyFill="1" applyBorder="1" applyAlignment="1" applyProtection="1">
      <alignment horizontal="left" vertical="top"/>
      <protection locked="0"/>
    </xf>
    <xf numFmtId="191" fontId="14" fillId="69" borderId="129" xfId="0" applyNumberFormat="1" applyFont="1" applyFill="1" applyBorder="1" applyAlignment="1" applyProtection="1">
      <alignment horizontal="right" vertical="top"/>
      <protection locked="0"/>
    </xf>
    <xf numFmtId="191" fontId="36" fillId="0" borderId="0" xfId="0" applyNumberFormat="1" applyFont="1" applyFill="1" applyBorder="1" applyAlignment="1" applyProtection="1">
      <alignment horizontal="left" vertical="top"/>
      <protection locked="0"/>
    </xf>
    <xf numFmtId="0" fontId="14" fillId="68" borderId="130" xfId="0" applyFont="1" applyFill="1" applyBorder="1" applyAlignment="1" applyProtection="1">
      <alignment horizontal="left" vertical="top"/>
      <protection locked="0"/>
    </xf>
    <xf numFmtId="191" fontId="14" fillId="69" borderId="130" xfId="0" applyNumberFormat="1" applyFont="1" applyFill="1" applyBorder="1" applyAlignment="1" applyProtection="1">
      <alignment horizontal="right" vertical="top"/>
      <protection locked="0"/>
    </xf>
    <xf numFmtId="0" fontId="14" fillId="68" borderId="131" xfId="0" applyFont="1" applyFill="1" applyBorder="1" applyAlignment="1" applyProtection="1">
      <alignment horizontal="left" vertical="top"/>
      <protection locked="0"/>
    </xf>
    <xf numFmtId="190" fontId="14" fillId="69" borderId="131" xfId="0" applyNumberFormat="1" applyFont="1" applyFill="1" applyBorder="1" applyAlignment="1" applyProtection="1">
      <alignment horizontal="right" vertical="top"/>
      <protection locked="0"/>
    </xf>
    <xf numFmtId="191" fontId="73" fillId="0" borderId="0" xfId="0" applyNumberFormat="1" applyFont="1" applyAlignment="1" applyProtection="1">
      <alignment vertical="center" wrapText="1"/>
      <protection locked="0"/>
    </xf>
    <xf numFmtId="191" fontId="6" fillId="63" borderId="0" xfId="0" applyNumberFormat="1" applyFont="1" applyFill="1" applyBorder="1" applyAlignment="1" applyProtection="1">
      <alignment horizontal="left"/>
      <protection locked="0"/>
    </xf>
    <xf numFmtId="191" fontId="1" fillId="0" borderId="0" xfId="351" applyNumberFormat="1" applyFill="1" applyAlignment="1"/>
    <xf numFmtId="0" fontId="76" fillId="0" borderId="0" xfId="0" applyFont="1" applyAlignment="1">
      <alignment wrapText="1"/>
    </xf>
    <xf numFmtId="191" fontId="76" fillId="0" borderId="0" xfId="0" applyNumberFormat="1" applyFont="1" applyBorder="1" applyAlignment="1">
      <alignment wrapText="1"/>
    </xf>
    <xf numFmtId="0" fontId="36" fillId="68" borderId="123" xfId="0" applyFont="1" applyFill="1" applyBorder="1" applyAlignment="1" applyProtection="1">
      <alignment horizontal="left" vertical="top" wrapText="1"/>
      <protection locked="0"/>
    </xf>
    <xf numFmtId="191" fontId="14" fillId="69" borderId="131" xfId="0" applyNumberFormat="1" applyFont="1" applyFill="1" applyBorder="1" applyAlignment="1" applyProtection="1">
      <alignment horizontal="right" vertical="top"/>
      <protection locked="0"/>
    </xf>
    <xf numFmtId="191" fontId="0" fillId="0" borderId="0" xfId="0" applyNumberFormat="1"/>
    <xf numFmtId="15" fontId="7" fillId="0" borderId="0" xfId="431" applyNumberFormat="1" applyFont="1" applyProtection="1"/>
    <xf numFmtId="0" fontId="6" fillId="0" borderId="0" xfId="431" applyProtection="1"/>
    <xf numFmtId="191" fontId="6" fillId="0" borderId="0" xfId="431" applyNumberFormat="1" applyProtection="1"/>
    <xf numFmtId="191" fontId="0" fillId="0" borderId="0" xfId="0" applyNumberFormat="1" applyProtection="1"/>
    <xf numFmtId="191" fontId="0" fillId="0" borderId="0" xfId="0" applyNumberFormat="1" applyFill="1" applyProtection="1"/>
    <xf numFmtId="191" fontId="0" fillId="0" borderId="0" xfId="0" applyNumberFormat="1" applyAlignment="1" applyProtection="1">
      <alignment horizontal="center"/>
    </xf>
    <xf numFmtId="15" fontId="9" fillId="0" borderId="0" xfId="431" applyNumberFormat="1" applyFont="1" applyProtection="1"/>
    <xf numFmtId="192" fontId="14" fillId="33" borderId="132" xfId="431" applyNumberFormat="1" applyFont="1" applyFill="1" applyBorder="1" applyAlignment="1" applyProtection="1">
      <alignment horizontal="left" vertical="center"/>
      <protection locked="0"/>
    </xf>
    <xf numFmtId="190" fontId="14" fillId="33" borderId="133" xfId="431" applyNumberFormat="1" applyFont="1" applyFill="1" applyBorder="1" applyAlignment="1" applyProtection="1">
      <alignment horizontal="right" vertical="center" indent="2"/>
      <protection locked="0"/>
    </xf>
    <xf numFmtId="191" fontId="14" fillId="0" borderId="0" xfId="431" applyNumberFormat="1" applyFont="1" applyFill="1" applyAlignment="1" applyProtection="1">
      <alignment horizontal="left" vertical="top" indent="2"/>
      <protection locked="0"/>
    </xf>
    <xf numFmtId="191" fontId="14" fillId="0" borderId="0" xfId="0" applyNumberFormat="1" applyFont="1" applyFill="1" applyProtection="1"/>
    <xf numFmtId="191" fontId="14" fillId="33" borderId="133" xfId="431" applyNumberFormat="1" applyFont="1" applyFill="1" applyBorder="1" applyAlignment="1" applyProtection="1">
      <alignment horizontal="right" vertical="center" indent="2"/>
      <protection locked="0"/>
    </xf>
    <xf numFmtId="192" fontId="14" fillId="33" borderId="134" xfId="431" applyNumberFormat="1" applyFont="1" applyFill="1" applyBorder="1" applyAlignment="1" applyProtection="1">
      <alignment horizontal="left" vertical="center"/>
      <protection locked="0"/>
    </xf>
    <xf numFmtId="191" fontId="14" fillId="33" borderId="0" xfId="431" applyNumberFormat="1" applyFont="1" applyFill="1" applyAlignment="1" applyProtection="1">
      <alignment horizontal="right" vertical="center" indent="2"/>
      <protection locked="0"/>
    </xf>
    <xf numFmtId="191" fontId="6" fillId="0" borderId="0" xfId="431" applyNumberFormat="1" applyAlignment="1" applyProtection="1">
      <alignment horizontal="left" indent="2"/>
    </xf>
    <xf numFmtId="191" fontId="0" fillId="0" borderId="0" xfId="0" applyNumberFormat="1" applyAlignment="1" applyProtection="1">
      <alignment horizontal="left"/>
    </xf>
    <xf numFmtId="191" fontId="78" fillId="0" borderId="0" xfId="0" applyNumberFormat="1" applyFont="1" applyFill="1" applyAlignment="1">
      <alignment vertical="top" wrapText="1"/>
    </xf>
    <xf numFmtId="0" fontId="78" fillId="0" borderId="0" xfId="0" applyFont="1" applyFill="1" applyAlignment="1">
      <alignment vertical="top" wrapText="1"/>
    </xf>
    <xf numFmtId="0" fontId="0" fillId="0" borderId="0" xfId="0" applyAlignment="1">
      <alignment vertical="top" wrapText="1"/>
    </xf>
    <xf numFmtId="191" fontId="0" fillId="0" borderId="0" xfId="0" applyNumberFormat="1" applyAlignment="1">
      <alignment vertical="top" wrapText="1"/>
    </xf>
    <xf numFmtId="191" fontId="0" fillId="0" borderId="0" xfId="0" applyNumberFormat="1" applyAlignment="1" applyProtection="1">
      <alignment vertical="top"/>
    </xf>
    <xf numFmtId="15" fontId="76" fillId="0" borderId="0" xfId="431" applyNumberFormat="1" applyFont="1" applyAlignment="1" applyProtection="1">
      <alignment vertical="top"/>
    </xf>
    <xf numFmtId="0" fontId="6" fillId="0" borderId="0" xfId="431" applyAlignment="1" applyProtection="1">
      <alignment vertical="top"/>
    </xf>
    <xf numFmtId="191" fontId="6" fillId="0" borderId="0" xfId="431" applyNumberFormat="1" applyAlignment="1" applyProtection="1">
      <alignment horizontal="left" vertical="top"/>
    </xf>
    <xf numFmtId="0" fontId="0" fillId="35" borderId="135" xfId="0" applyFill="1" applyBorder="1" applyAlignment="1" applyProtection="1">
      <alignment horizontal="left" vertical="center"/>
    </xf>
    <xf numFmtId="190" fontId="0" fillId="33" borderId="119" xfId="0" applyNumberFormat="1" applyFill="1" applyBorder="1" applyAlignment="1" applyProtection="1">
      <alignment horizontal="right" vertical="center"/>
    </xf>
    <xf numFmtId="191" fontId="0" fillId="33" borderId="119" xfId="0" applyNumberFormat="1" applyFill="1" applyBorder="1" applyAlignment="1" applyProtection="1">
      <alignment horizontal="right" vertical="center"/>
    </xf>
    <xf numFmtId="15" fontId="9" fillId="0" borderId="0" xfId="431" applyNumberFormat="1" applyFont="1" applyProtection="1">
      <protection locked="0"/>
    </xf>
    <xf numFmtId="0" fontId="6" fillId="0" borderId="0" xfId="431" applyProtection="1">
      <protection locked="0"/>
    </xf>
    <xf numFmtId="191" fontId="6" fillId="0" borderId="0" xfId="431" applyNumberFormat="1" applyAlignment="1" applyProtection="1">
      <alignment horizontal="left" indent="2"/>
      <protection locked="0"/>
    </xf>
    <xf numFmtId="191" fontId="0" fillId="0" borderId="0" xfId="0" applyNumberFormat="1" applyAlignment="1" applyProtection="1">
      <alignment horizontal="left" vertical="center"/>
    </xf>
    <xf numFmtId="15" fontId="17" fillId="0" borderId="0" xfId="431" applyNumberFormat="1" applyFont="1" applyProtection="1">
      <protection locked="0"/>
    </xf>
    <xf numFmtId="0" fontId="14" fillId="0" borderId="0" xfId="431" applyFont="1" applyProtection="1">
      <protection locked="0"/>
    </xf>
    <xf numFmtId="191" fontId="14" fillId="0" borderId="0" xfId="431" applyNumberFormat="1" applyFont="1" applyAlignment="1" applyProtection="1">
      <alignment horizontal="left" indent="2"/>
      <protection locked="0"/>
    </xf>
    <xf numFmtId="191" fontId="14" fillId="33" borderId="89" xfId="431" applyNumberFormat="1" applyFont="1" applyFill="1" applyBorder="1" applyAlignment="1" applyProtection="1">
      <alignment horizontal="left" vertical="top" wrapText="1"/>
      <protection locked="0"/>
    </xf>
    <xf numFmtId="0" fontId="6" fillId="0" borderId="0" xfId="431" applyAlignment="1" applyProtection="1">
      <alignment horizontal="center"/>
    </xf>
    <xf numFmtId="15" fontId="9" fillId="0" borderId="0" xfId="431" applyNumberFormat="1" applyFont="1" applyAlignment="1" applyProtection="1"/>
    <xf numFmtId="0" fontId="6" fillId="0" borderId="0" xfId="431" applyAlignment="1" applyProtection="1"/>
    <xf numFmtId="191" fontId="6" fillId="0" borderId="0" xfId="431" applyNumberFormat="1" applyAlignment="1" applyProtection="1"/>
    <xf numFmtId="191" fontId="0" fillId="0" borderId="0" xfId="0" applyNumberFormat="1" applyAlignment="1" applyProtection="1"/>
    <xf numFmtId="0" fontId="9" fillId="0" borderId="0" xfId="431" applyFont="1" applyProtection="1"/>
    <xf numFmtId="0" fontId="14" fillId="0" borderId="0" xfId="431" applyFont="1" applyFill="1" applyAlignment="1" applyProtection="1">
      <alignment horizontal="left" vertical="top"/>
      <protection locked="0"/>
    </xf>
    <xf numFmtId="190" fontId="14" fillId="0" borderId="0" xfId="431" applyNumberFormat="1" applyFont="1" applyFill="1" applyAlignment="1" applyProtection="1">
      <alignment horizontal="right" vertical="top"/>
      <protection locked="0"/>
    </xf>
    <xf numFmtId="191" fontId="14" fillId="0" borderId="0" xfId="431" applyNumberFormat="1" applyFont="1" applyFill="1" applyAlignment="1" applyProtection="1">
      <alignment horizontal="left" vertical="top" wrapText="1"/>
      <protection locked="0"/>
    </xf>
    <xf numFmtId="191" fontId="36" fillId="63" borderId="129" xfId="0" applyNumberFormat="1" applyFont="1" applyFill="1" applyBorder="1" applyAlignment="1" applyProtection="1">
      <alignment vertical="top"/>
      <protection locked="0"/>
    </xf>
    <xf numFmtId="191" fontId="36" fillId="63" borderId="128" xfId="0" applyNumberFormat="1" applyFont="1" applyFill="1" applyBorder="1" applyAlignment="1" applyProtection="1">
      <alignment vertical="top"/>
      <protection locked="0"/>
    </xf>
    <xf numFmtId="191" fontId="14" fillId="0" borderId="0" xfId="431" applyNumberFormat="1" applyFont="1" applyFill="1" applyAlignment="1" applyProtection="1">
      <alignment horizontal="right" vertical="top"/>
      <protection locked="0"/>
    </xf>
    <xf numFmtId="0" fontId="14" fillId="0" borderId="0" xfId="0" applyFont="1" applyProtection="1"/>
    <xf numFmtId="191" fontId="14" fillId="0" borderId="0" xfId="0" applyNumberFormat="1" applyFont="1" applyProtection="1">
      <protection locked="0"/>
    </xf>
    <xf numFmtId="191" fontId="14" fillId="0" borderId="0" xfId="431" applyNumberFormat="1" applyFont="1" applyFill="1" applyAlignment="1" applyProtection="1">
      <alignment horizontal="left" vertical="top" wrapText="1" indent="5"/>
      <protection locked="0"/>
    </xf>
    <xf numFmtId="191" fontId="14" fillId="0" borderId="0" xfId="431" applyNumberFormat="1" applyFont="1" applyFill="1" applyAlignment="1" applyProtection="1">
      <alignment horizontal="left" vertical="top" wrapText="1" indent="2"/>
      <protection locked="0"/>
    </xf>
    <xf numFmtId="15" fontId="79" fillId="0" borderId="0" xfId="431" applyNumberFormat="1" applyFont="1" applyProtection="1"/>
    <xf numFmtId="0" fontId="36" fillId="0" borderId="0" xfId="0" applyFont="1" applyProtection="1"/>
    <xf numFmtId="191" fontId="14" fillId="0" borderId="0" xfId="0" applyNumberFormat="1" applyFont="1" applyProtection="1"/>
    <xf numFmtId="191" fontId="36" fillId="33" borderId="19" xfId="0" applyNumberFormat="1" applyFont="1" applyFill="1" applyBorder="1" applyAlignment="1" applyProtection="1">
      <alignment horizontal="right"/>
      <protection locked="0"/>
    </xf>
    <xf numFmtId="191" fontId="36" fillId="33" borderId="89" xfId="0" applyNumberFormat="1" applyFont="1" applyFill="1" applyBorder="1" applyAlignment="1" applyProtection="1">
      <alignment horizontal="right"/>
      <protection locked="0"/>
    </xf>
    <xf numFmtId="191" fontId="36" fillId="33" borderId="85" xfId="0" applyNumberFormat="1" applyFont="1" applyFill="1" applyBorder="1" applyAlignment="1" applyProtection="1">
      <alignment horizontal="right"/>
      <protection locked="0"/>
    </xf>
    <xf numFmtId="0" fontId="7" fillId="34" borderId="0" xfId="0" applyFont="1" applyFill="1" applyAlignment="1">
      <alignment horizontal="center" vertical="top"/>
    </xf>
    <xf numFmtId="0" fontId="7" fillId="0" borderId="0" xfId="0" applyFont="1" applyAlignment="1">
      <alignment horizontal="center" vertical="top"/>
    </xf>
    <xf numFmtId="0" fontId="0" fillId="0" borderId="28" xfId="0" applyBorder="1" applyAlignment="1">
      <alignment horizontal="left" wrapText="1"/>
    </xf>
    <xf numFmtId="0" fontId="6" fillId="0" borderId="0" xfId="0" applyFont="1" applyAlignment="1">
      <alignment horizontal="left" vertical="top" wrapText="1"/>
    </xf>
    <xf numFmtId="0" fontId="20" fillId="0" borderId="35"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6" fillId="33" borderId="55" xfId="0" applyFont="1" applyFill="1" applyBorder="1" applyAlignment="1">
      <alignment horizontal="left" vertical="top" wrapText="1"/>
    </xf>
    <xf numFmtId="0" fontId="6" fillId="33" borderId="0" xfId="0" applyFont="1" applyFill="1" applyBorder="1" applyAlignment="1">
      <alignment horizontal="left" vertical="top" wrapText="1"/>
    </xf>
    <xf numFmtId="0" fontId="6" fillId="33" borderId="24"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17" xfId="0" applyFont="1" applyFill="1" applyBorder="1" applyAlignment="1">
      <alignment horizontal="left" vertical="top" wrapText="1"/>
    </xf>
    <xf numFmtId="0" fontId="6" fillId="33" borderId="18" xfId="0" applyFont="1" applyFill="1" applyBorder="1" applyAlignment="1">
      <alignment horizontal="left" vertical="top" wrapText="1"/>
    </xf>
    <xf numFmtId="0" fontId="6" fillId="33" borderId="55" xfId="0" applyFont="1" applyFill="1" applyBorder="1" applyAlignment="1">
      <alignment horizontal="left" vertical="top"/>
    </xf>
    <xf numFmtId="0" fontId="6" fillId="33" borderId="0" xfId="0" applyFont="1" applyFill="1" applyBorder="1" applyAlignment="1">
      <alignment horizontal="left" vertical="top"/>
    </xf>
    <xf numFmtId="0" fontId="6" fillId="33" borderId="24" xfId="0" applyFont="1" applyFill="1" applyBorder="1" applyAlignment="1">
      <alignment horizontal="left" vertical="top"/>
    </xf>
    <xf numFmtId="0" fontId="6" fillId="33" borderId="16" xfId="0" applyFont="1" applyFill="1" applyBorder="1" applyAlignment="1">
      <alignment horizontal="left" vertical="top"/>
    </xf>
    <xf numFmtId="0" fontId="6" fillId="33" borderId="17" xfId="0" applyFont="1" applyFill="1" applyBorder="1" applyAlignment="1">
      <alignment horizontal="left" vertical="top"/>
    </xf>
    <xf numFmtId="0" fontId="6" fillId="33" borderId="18" xfId="0" applyFont="1" applyFill="1" applyBorder="1" applyAlignment="1">
      <alignment horizontal="left" vertical="top"/>
    </xf>
    <xf numFmtId="0" fontId="23" fillId="33" borderId="0" xfId="0" applyFont="1" applyFill="1" applyBorder="1" applyAlignment="1">
      <alignment horizontal="left" vertical="top"/>
    </xf>
    <xf numFmtId="0" fontId="23" fillId="33" borderId="24" xfId="0" applyFont="1" applyFill="1" applyBorder="1" applyAlignment="1">
      <alignment horizontal="left" vertical="top"/>
    </xf>
    <xf numFmtId="0" fontId="23" fillId="33" borderId="17" xfId="0" applyFont="1" applyFill="1" applyBorder="1" applyAlignment="1">
      <alignment horizontal="left" vertical="top"/>
    </xf>
    <xf numFmtId="0" fontId="23" fillId="33" borderId="18" xfId="0" applyFont="1" applyFill="1" applyBorder="1" applyAlignment="1">
      <alignment horizontal="left" vertical="top"/>
    </xf>
    <xf numFmtId="0" fontId="18" fillId="0" borderId="39"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29"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6" fillId="0" borderId="43" xfId="0" applyFont="1" applyFill="1" applyBorder="1" applyAlignment="1">
      <alignment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7" fillId="0" borderId="0" xfId="4" applyFont="1" applyAlignment="1">
      <alignment horizontal="center" vertical="top"/>
    </xf>
    <xf numFmtId="0" fontId="9" fillId="36" borderId="10" xfId="4" applyFont="1" applyFill="1" applyBorder="1" applyAlignment="1">
      <alignment horizontal="center"/>
    </xf>
    <xf numFmtId="0" fontId="9" fillId="36" borderId="11" xfId="4" applyFont="1" applyFill="1" applyBorder="1" applyAlignment="1">
      <alignment horizontal="center"/>
    </xf>
    <xf numFmtId="0" fontId="9" fillId="36" borderId="12" xfId="4" applyFont="1" applyFill="1" applyBorder="1" applyAlignment="1">
      <alignment horizontal="center"/>
    </xf>
    <xf numFmtId="0" fontId="6" fillId="36" borderId="10" xfId="4" applyFont="1" applyFill="1" applyBorder="1" applyAlignment="1">
      <alignment horizontal="center"/>
    </xf>
    <xf numFmtId="0" fontId="6" fillId="36" borderId="11" xfId="4" applyFont="1" applyFill="1" applyBorder="1" applyAlignment="1">
      <alignment horizontal="center"/>
    </xf>
    <xf numFmtId="0" fontId="6" fillId="36" borderId="12" xfId="4" applyFont="1" applyFill="1" applyBorder="1" applyAlignment="1">
      <alignment horizontal="center"/>
    </xf>
    <xf numFmtId="0" fontId="7" fillId="34" borderId="0" xfId="4" applyFont="1" applyFill="1" applyAlignment="1">
      <alignment horizontal="center" vertical="top"/>
    </xf>
    <xf numFmtId="0" fontId="6" fillId="0" borderId="0" xfId="4" applyAlignment="1">
      <alignment horizontal="left" vertical="top" wrapText="1"/>
    </xf>
    <xf numFmtId="0" fontId="6" fillId="0" borderId="0" xfId="4" applyFont="1" applyAlignment="1">
      <alignment horizontal="left" vertical="top" wrapText="1"/>
    </xf>
    <xf numFmtId="0" fontId="6" fillId="0" borderId="0" xfId="4" applyAlignment="1">
      <alignment horizontal="left" wrapText="1"/>
    </xf>
    <xf numFmtId="0" fontId="9" fillId="0" borderId="0" xfId="4" applyFont="1" applyAlignment="1">
      <alignment vertical="top" wrapText="1"/>
    </xf>
    <xf numFmtId="0" fontId="6" fillId="0" borderId="0" xfId="4" applyFont="1" applyAlignment="1">
      <alignment horizontal="left" vertical="center" wrapText="1"/>
    </xf>
    <xf numFmtId="0" fontId="6" fillId="0" borderId="0" xfId="4" applyFont="1" applyAlignment="1">
      <alignment horizontal="left" vertical="center"/>
    </xf>
    <xf numFmtId="0" fontId="7" fillId="34" borderId="0" xfId="4" applyFont="1" applyFill="1" applyAlignment="1">
      <alignment horizontal="center" vertical="center"/>
    </xf>
    <xf numFmtId="0" fontId="7" fillId="0" borderId="0" xfId="4" applyFont="1" applyAlignment="1">
      <alignment horizontal="center" vertical="center"/>
    </xf>
    <xf numFmtId="0" fontId="9" fillId="0" borderId="0" xfId="4" applyFont="1" applyAlignment="1">
      <alignment horizontal="center" vertical="center"/>
    </xf>
    <xf numFmtId="0" fontId="9" fillId="36" borderId="66" xfId="4" applyFont="1" applyFill="1" applyBorder="1" applyAlignment="1">
      <alignment vertical="center"/>
    </xf>
    <xf numFmtId="0" fontId="9" fillId="36" borderId="70" xfId="4" applyFont="1" applyFill="1" applyBorder="1" applyAlignment="1">
      <alignment vertical="center"/>
    </xf>
    <xf numFmtId="0" fontId="9" fillId="36" borderId="67" xfId="4" applyFont="1" applyFill="1" applyBorder="1" applyAlignment="1">
      <alignment vertical="center"/>
    </xf>
    <xf numFmtId="0" fontId="9" fillId="36" borderId="71" xfId="4" applyFont="1" applyFill="1" applyBorder="1" applyAlignment="1">
      <alignment vertical="center"/>
    </xf>
    <xf numFmtId="0" fontId="9" fillId="36" borderId="39" xfId="4" applyFont="1" applyFill="1" applyBorder="1" applyAlignment="1">
      <alignment horizontal="center" vertical="center" wrapText="1"/>
    </xf>
    <xf numFmtId="0" fontId="6" fillId="0" borderId="42" xfId="4" applyBorder="1" applyAlignment="1">
      <alignment horizontal="center" wrapText="1"/>
    </xf>
    <xf numFmtId="0" fontId="9" fillId="36" borderId="42" xfId="4" applyFont="1" applyFill="1" applyBorder="1" applyAlignment="1">
      <alignment horizontal="center" vertical="center" wrapText="1"/>
    </xf>
    <xf numFmtId="0" fontId="9" fillId="0" borderId="0" xfId="4" applyFont="1" applyAlignment="1">
      <alignment horizontal="left" vertical="center" wrapText="1"/>
    </xf>
    <xf numFmtId="0" fontId="9" fillId="0" borderId="24" xfId="4" applyFont="1" applyBorder="1" applyAlignment="1">
      <alignment horizontal="left" vertical="center" wrapText="1"/>
    </xf>
    <xf numFmtId="0" fontId="9" fillId="0" borderId="0" xfId="4" applyFont="1" applyAlignment="1">
      <alignment horizontal="left" vertical="top" wrapText="1"/>
    </xf>
    <xf numFmtId="0" fontId="7" fillId="0" borderId="0" xfId="4" applyFont="1" applyAlignment="1">
      <alignment horizontal="center" vertical="center" wrapText="1"/>
    </xf>
    <xf numFmtId="0" fontId="12" fillId="0" borderId="0" xfId="5" applyFont="1" applyAlignment="1">
      <alignment horizontal="right" wrapText="1"/>
    </xf>
    <xf numFmtId="164" fontId="10" fillId="33" borderId="0" xfId="1" applyNumberFormat="1" applyFont="1" applyFill="1" applyBorder="1" applyAlignment="1">
      <alignment horizontal="center"/>
    </xf>
    <xf numFmtId="164" fontId="10" fillId="33" borderId="19" xfId="1" applyNumberFormat="1" applyFont="1" applyFill="1" applyBorder="1" applyAlignment="1">
      <alignment horizontal="center"/>
    </xf>
    <xf numFmtId="0" fontId="10" fillId="0" borderId="0" xfId="5" applyFont="1" applyAlignment="1">
      <alignment horizontal="left" vertical="center" wrapText="1"/>
    </xf>
    <xf numFmtId="0" fontId="7" fillId="34" borderId="0" xfId="4" applyFont="1" applyFill="1" applyAlignment="1">
      <alignment horizontal="center"/>
    </xf>
    <xf numFmtId="0" fontId="6" fillId="34" borderId="0" xfId="4" applyFill="1" applyAlignment="1">
      <alignment horizontal="center"/>
    </xf>
    <xf numFmtId="0" fontId="7" fillId="0" borderId="0" xfId="4" applyFont="1" applyAlignment="1">
      <alignment horizontal="center"/>
    </xf>
    <xf numFmtId="0" fontId="6" fillId="0" borderId="0" xfId="4" applyAlignment="1"/>
    <xf numFmtId="0" fontId="12" fillId="0" borderId="0" xfId="5" applyFont="1" applyAlignment="1">
      <alignment horizontal="center" vertical="center"/>
    </xf>
    <xf numFmtId="0" fontId="34" fillId="36" borderId="0" xfId="337" applyFont="1" applyAlignment="1">
      <alignment vertical="top" wrapText="1"/>
    </xf>
    <xf numFmtId="0" fontId="21" fillId="61" borderId="0" xfId="337" applyFont="1" applyFill="1" applyBorder="1" applyAlignment="1">
      <alignment horizontal="center"/>
    </xf>
    <xf numFmtId="0" fontId="21" fillId="61" borderId="47" xfId="337" applyFont="1" applyFill="1" applyBorder="1" applyAlignment="1">
      <alignment horizontal="center"/>
    </xf>
    <xf numFmtId="0" fontId="65" fillId="36" borderId="87" xfId="337" applyFont="1" applyBorder="1" applyAlignment="1">
      <alignment horizontal="left" vertical="top" wrapText="1"/>
    </xf>
    <xf numFmtId="0" fontId="65" fillId="36" borderId="28" xfId="337" applyFont="1" applyBorder="1" applyAlignment="1">
      <alignment horizontal="left" vertical="top" wrapText="1"/>
    </xf>
    <xf numFmtId="0" fontId="65" fillId="36" borderId="40" xfId="337" applyFont="1" applyBorder="1" applyAlignment="1">
      <alignment horizontal="left" vertical="top" wrapText="1"/>
    </xf>
    <xf numFmtId="0" fontId="34" fillId="61" borderId="78" xfId="337" applyFont="1" applyFill="1" applyBorder="1" applyAlignment="1">
      <alignment vertical="top" wrapText="1"/>
    </xf>
    <xf numFmtId="0" fontId="34" fillId="61" borderId="0" xfId="337" applyFont="1" applyFill="1" applyAlignment="1">
      <alignment vertical="top" wrapText="1"/>
    </xf>
    <xf numFmtId="0" fontId="21" fillId="36" borderId="87" xfId="337" applyFont="1" applyBorder="1" applyAlignment="1">
      <alignment vertical="top" wrapText="1"/>
    </xf>
    <xf numFmtId="0" fontId="21" fillId="36" borderId="28" xfId="337" applyFont="1" applyBorder="1" applyAlignment="1">
      <alignment vertical="top" wrapText="1"/>
    </xf>
    <xf numFmtId="0" fontId="34" fillId="36" borderId="0" xfId="337" applyFont="1" applyBorder="1" applyAlignment="1">
      <alignment vertical="top" wrapText="1"/>
    </xf>
    <xf numFmtId="0" fontId="21" fillId="36" borderId="76" xfId="337" applyFont="1" applyBorder="1" applyAlignment="1">
      <alignment horizontal="center" vertical="top" wrapText="1"/>
    </xf>
    <xf numFmtId="0" fontId="21" fillId="36" borderId="77" xfId="337" applyFont="1" applyBorder="1" applyAlignment="1">
      <alignment horizontal="center" vertical="top" wrapText="1"/>
    </xf>
    <xf numFmtId="0" fontId="21" fillId="36" borderId="38" xfId="337" applyFont="1" applyBorder="1" applyAlignment="1">
      <alignment horizontal="center" vertical="top" wrapText="1"/>
    </xf>
    <xf numFmtId="0" fontId="34" fillId="36" borderId="0" xfId="337" applyFont="1" applyAlignment="1">
      <alignment horizontal="left" vertical="top" wrapText="1"/>
    </xf>
    <xf numFmtId="186" fontId="62" fillId="33" borderId="78" xfId="158" applyNumberFormat="1" applyFont="1" applyFill="1" applyBorder="1" applyAlignment="1">
      <alignment horizontal="center"/>
    </xf>
    <xf numFmtId="186" fontId="62" fillId="33" borderId="0" xfId="158" applyNumberFormat="1" applyFont="1" applyFill="1" applyBorder="1" applyAlignment="1">
      <alignment horizontal="center"/>
    </xf>
    <xf numFmtId="186" fontId="62" fillId="33" borderId="47" xfId="158" applyNumberFormat="1" applyFont="1" applyFill="1" applyBorder="1" applyAlignment="1">
      <alignment horizontal="center"/>
    </xf>
    <xf numFmtId="0" fontId="21" fillId="61" borderId="83" xfId="337" applyFont="1" applyFill="1" applyBorder="1" applyAlignment="1">
      <alignment horizontal="center" vertical="center"/>
    </xf>
    <xf numFmtId="0" fontId="21" fillId="61" borderId="11" xfId="337" applyFont="1" applyFill="1" applyBorder="1" applyAlignment="1">
      <alignment horizontal="center" vertical="center"/>
    </xf>
    <xf numFmtId="0" fontId="21" fillId="61" borderId="84" xfId="337" applyFont="1" applyFill="1" applyBorder="1" applyAlignment="1">
      <alignment horizontal="center" vertical="center"/>
    </xf>
    <xf numFmtId="0" fontId="34" fillId="36" borderId="0" xfId="337" applyFont="1" applyBorder="1" applyAlignment="1">
      <alignment horizontal="left" vertical="top" wrapText="1"/>
    </xf>
    <xf numFmtId="0" fontId="21" fillId="61" borderId="76" xfId="337" applyFont="1" applyFill="1" applyBorder="1" applyAlignment="1">
      <alignment horizontal="center"/>
    </xf>
    <xf numFmtId="0" fontId="21" fillId="61" borderId="77" xfId="337" applyFont="1" applyFill="1" applyBorder="1" applyAlignment="1">
      <alignment horizontal="center"/>
    </xf>
    <xf numFmtId="0" fontId="21" fillId="61" borderId="38" xfId="337" applyFont="1" applyFill="1" applyBorder="1" applyAlignment="1">
      <alignment horizontal="center"/>
    </xf>
    <xf numFmtId="0" fontId="21" fillId="61" borderId="78" xfId="337" applyFont="1" applyFill="1" applyBorder="1" applyAlignment="1">
      <alignment horizontal="left" vertical="center"/>
    </xf>
    <xf numFmtId="0" fontId="21" fillId="61" borderId="0" xfId="337" applyFont="1" applyFill="1" applyBorder="1" applyAlignment="1">
      <alignment horizontal="left" vertical="center"/>
    </xf>
    <xf numFmtId="0" fontId="7" fillId="34" borderId="0" xfId="0" applyFont="1" applyFill="1" applyAlignment="1">
      <alignment horizontal="center"/>
    </xf>
    <xf numFmtId="0" fontId="7" fillId="0" borderId="0" xfId="0" applyFont="1" applyAlignment="1">
      <alignment horizontal="center"/>
    </xf>
    <xf numFmtId="49" fontId="61" fillId="0" borderId="0" xfId="158" applyNumberFormat="1" applyFont="1" applyBorder="1" applyAlignment="1">
      <alignment vertical="top" wrapText="1"/>
    </xf>
    <xf numFmtId="49" fontId="34" fillId="36" borderId="0" xfId="337" applyNumberFormat="1" applyFont="1" applyAlignment="1">
      <alignment vertical="top" wrapText="1"/>
    </xf>
    <xf numFmtId="0" fontId="9" fillId="0" borderId="90" xfId="0" applyFont="1" applyBorder="1" applyAlignment="1">
      <alignment horizontal="left" vertical="center"/>
    </xf>
    <xf numFmtId="0" fontId="9" fillId="0" borderId="21" xfId="0" applyFont="1" applyBorder="1" applyAlignment="1">
      <alignment horizontal="left" vertical="center"/>
    </xf>
    <xf numFmtId="0" fontId="0" fillId="0" borderId="74" xfId="0" quotePrefix="1" applyBorder="1" applyAlignment="1">
      <alignment horizontal="center"/>
    </xf>
    <xf numFmtId="0" fontId="0" fillId="0" borderId="9" xfId="0" quotePrefix="1" applyBorder="1" applyAlignment="1">
      <alignment horizontal="center"/>
    </xf>
    <xf numFmtId="0" fontId="6" fillId="0" borderId="0" xfId="0" applyFont="1" applyAlignment="1">
      <alignment horizontal="left" vertical="center" wrapText="1"/>
    </xf>
    <xf numFmtId="0" fontId="0" fillId="0" borderId="74" xfId="0" applyBorder="1" applyAlignment="1">
      <alignment horizontal="left" vertical="center" wrapText="1"/>
    </xf>
    <xf numFmtId="0" fontId="0" fillId="0" borderId="9" xfId="0" applyBorder="1" applyAlignment="1">
      <alignment horizontal="left" vertical="center" wrapText="1"/>
    </xf>
    <xf numFmtId="0" fontId="6" fillId="0" borderId="93" xfId="0" applyFont="1" applyFill="1" applyBorder="1" applyAlignment="1">
      <alignment vertical="center" wrapText="1"/>
    </xf>
    <xf numFmtId="0" fontId="6" fillId="0" borderId="94" xfId="0" applyFont="1" applyFill="1" applyBorder="1" applyAlignment="1">
      <alignment vertical="center" wrapText="1"/>
    </xf>
    <xf numFmtId="0" fontId="9" fillId="0" borderId="90" xfId="0" applyFont="1" applyFill="1" applyBorder="1" applyAlignment="1">
      <alignment vertical="top" wrapText="1"/>
    </xf>
    <xf numFmtId="0" fontId="9" fillId="0" borderId="21" xfId="0" applyFont="1" applyFill="1" applyBorder="1" applyAlignment="1">
      <alignment vertical="top" wrapText="1"/>
    </xf>
    <xf numFmtId="0" fontId="9" fillId="0" borderId="74" xfId="0" applyFont="1" applyFill="1" applyBorder="1" applyAlignment="1">
      <alignment vertical="top" wrapText="1"/>
    </xf>
    <xf numFmtId="0" fontId="9" fillId="0" borderId="9" xfId="0" applyFont="1" applyFill="1" applyBorder="1" applyAlignment="1">
      <alignment vertical="top" wrapText="1"/>
    </xf>
    <xf numFmtId="0" fontId="9" fillId="0" borderId="21" xfId="0" applyFont="1" applyFill="1" applyBorder="1" applyAlignment="1">
      <alignment horizontal="center"/>
    </xf>
    <xf numFmtId="0" fontId="9" fillId="0" borderId="69" xfId="0" applyFont="1" applyFill="1" applyBorder="1" applyAlignment="1">
      <alignment horizontal="center" vertical="center" wrapText="1"/>
    </xf>
    <xf numFmtId="0" fontId="0" fillId="0" borderId="96" xfId="0" applyFill="1" applyBorder="1" applyAlignment="1">
      <alignment horizontal="center" vertical="center" wrapText="1"/>
    </xf>
    <xf numFmtId="0" fontId="0" fillId="0" borderId="83" xfId="0" applyBorder="1" applyAlignment="1">
      <alignment horizontal="left" vertical="top" wrapText="1"/>
    </xf>
    <xf numFmtId="0" fontId="0" fillId="0" borderId="12" xfId="0" applyBorder="1" applyAlignment="1">
      <alignment horizontal="left" vertical="top" wrapText="1"/>
    </xf>
    <xf numFmtId="0" fontId="0" fillId="0" borderId="83" xfId="0" applyBorder="1" applyAlignment="1">
      <alignment horizontal="left"/>
    </xf>
    <xf numFmtId="0" fontId="0" fillId="0" borderId="12" xfId="0" applyBorder="1" applyAlignment="1">
      <alignment horizontal="left"/>
    </xf>
    <xf numFmtId="0" fontId="0" fillId="0" borderId="83" xfId="0" applyBorder="1" applyAlignment="1">
      <alignment vertical="top" wrapText="1"/>
    </xf>
    <xf numFmtId="0" fontId="0" fillId="0" borderId="12" xfId="0" applyBorder="1" applyAlignment="1">
      <alignment vertical="top" wrapText="1"/>
    </xf>
    <xf numFmtId="0" fontId="6" fillId="0" borderId="106" xfId="0" applyFont="1" applyFill="1" applyBorder="1" applyAlignment="1">
      <alignment horizontal="left" vertical="top" wrapText="1"/>
    </xf>
    <xf numFmtId="0" fontId="6" fillId="0" borderId="113" xfId="0" applyFont="1" applyFill="1" applyBorder="1" applyAlignment="1">
      <alignment horizontal="left" vertical="top" wrapText="1"/>
    </xf>
    <xf numFmtId="0" fontId="9" fillId="0" borderId="83"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9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9" xfId="0" applyFont="1" applyFill="1" applyBorder="1" applyAlignment="1">
      <alignment horizontal="left" vertical="center" wrapText="1"/>
    </xf>
    <xf numFmtId="0" fontId="0" fillId="0" borderId="112" xfId="0" applyFill="1" applyBorder="1" applyAlignment="1">
      <alignment vertical="center" wrapText="1"/>
    </xf>
    <xf numFmtId="0" fontId="0" fillId="0" borderId="96" xfId="0" applyFill="1" applyBorder="1" applyAlignment="1">
      <alignment vertical="center" wrapText="1"/>
    </xf>
    <xf numFmtId="0" fontId="9"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74" xfId="0" applyFill="1" applyBorder="1" applyAlignment="1">
      <alignment horizontal="left" vertical="center" wrapText="1"/>
    </xf>
    <xf numFmtId="0" fontId="0" fillId="0" borderId="9" xfId="0" applyFill="1" applyBorder="1" applyAlignment="1">
      <alignment horizontal="left" vertical="center" wrapText="1"/>
    </xf>
    <xf numFmtId="0" fontId="6" fillId="0" borderId="107" xfId="0" applyFont="1" applyBorder="1" applyAlignment="1">
      <alignment horizontal="left" vertical="center" wrapText="1"/>
    </xf>
    <xf numFmtId="0" fontId="6" fillId="0" borderId="23" xfId="0" applyFont="1" applyBorder="1" applyAlignment="1">
      <alignment horizontal="left" vertical="center" wrapText="1"/>
    </xf>
    <xf numFmtId="0" fontId="9" fillId="0" borderId="109" xfId="0" applyFont="1" applyBorder="1" applyAlignment="1">
      <alignment horizontal="left"/>
    </xf>
    <xf numFmtId="0" fontId="9" fillId="0" borderId="110" xfId="0" applyFont="1" applyBorder="1" applyAlignment="1">
      <alignment horizontal="left"/>
    </xf>
    <xf numFmtId="0" fontId="6" fillId="0" borderId="0" xfId="0" applyFont="1" applyFill="1" applyAlignment="1">
      <alignment horizontal="left" vertical="top"/>
    </xf>
    <xf numFmtId="0" fontId="9" fillId="0" borderId="66" xfId="0" applyFont="1" applyFill="1" applyBorder="1" applyAlignment="1">
      <alignment horizontal="left"/>
    </xf>
    <xf numFmtId="0" fontId="9" fillId="0" borderId="67" xfId="0" applyFont="1" applyFill="1" applyBorder="1" applyAlignment="1">
      <alignment horizontal="left"/>
    </xf>
    <xf numFmtId="0" fontId="9" fillId="0" borderId="75" xfId="0" applyFont="1" applyFill="1" applyBorder="1" applyAlignment="1">
      <alignment vertical="top" wrapText="1"/>
    </xf>
    <xf numFmtId="0" fontId="9" fillId="0" borderId="22" xfId="0" applyFont="1" applyFill="1" applyBorder="1" applyAlignment="1">
      <alignment vertical="top" wrapText="1"/>
    </xf>
    <xf numFmtId="0" fontId="9" fillId="0" borderId="22" xfId="0" applyFont="1" applyFill="1" applyBorder="1" applyAlignment="1">
      <alignment horizontal="center" vertical="center" wrapText="1"/>
    </xf>
    <xf numFmtId="0" fontId="9" fillId="0" borderId="96" xfId="0" applyFont="1" applyFill="1" applyBorder="1" applyAlignment="1">
      <alignment horizontal="center" vertical="center" wrapText="1"/>
    </xf>
    <xf numFmtId="0" fontId="9" fillId="0" borderId="92" xfId="0" applyFont="1" applyFill="1" applyBorder="1" applyAlignment="1">
      <alignment horizontal="center" vertical="center" wrapText="1"/>
    </xf>
    <xf numFmtId="0" fontId="9" fillId="0" borderId="0" xfId="0" applyFont="1" applyFill="1" applyAlignment="1">
      <alignment horizontal="left" vertical="center" wrapText="1"/>
    </xf>
    <xf numFmtId="0" fontId="6" fillId="0" borderId="0" xfId="0" applyFont="1" applyFill="1" applyAlignment="1">
      <alignment horizontal="left" vertical="top" wrapText="1"/>
    </xf>
    <xf numFmtId="0" fontId="9" fillId="0" borderId="0" xfId="0" applyFont="1" applyAlignment="1">
      <alignment horizontal="left" wrapText="1"/>
    </xf>
    <xf numFmtId="0" fontId="6" fillId="0" borderId="0" xfId="0" applyFont="1" applyAlignment="1">
      <alignment horizontal="left"/>
    </xf>
    <xf numFmtId="0" fontId="6" fillId="0" borderId="0" xfId="0" applyFont="1" applyAlignment="1">
      <alignment vertical="top" wrapText="1"/>
    </xf>
    <xf numFmtId="0" fontId="20" fillId="0" borderId="0" xfId="0" applyFont="1" applyAlignment="1">
      <alignment horizontal="left"/>
    </xf>
    <xf numFmtId="0" fontId="13" fillId="57" borderId="10" xfId="0" applyFont="1" applyFill="1" applyBorder="1" applyAlignment="1">
      <alignment horizontal="left"/>
    </xf>
    <xf numFmtId="0" fontId="13" fillId="57" borderId="11" xfId="0" applyFont="1" applyFill="1" applyBorder="1" applyAlignment="1">
      <alignment horizontal="left"/>
    </xf>
    <xf numFmtId="0" fontId="13" fillId="57" borderId="84" xfId="0" applyFont="1" applyFill="1" applyBorder="1" applyAlignment="1">
      <alignment horizontal="left"/>
    </xf>
    <xf numFmtId="0" fontId="13" fillId="57" borderId="10" xfId="0" applyFont="1" applyFill="1" applyBorder="1" applyAlignment="1">
      <alignment horizontal="left" vertical="top" wrapText="1"/>
    </xf>
    <xf numFmtId="0" fontId="13" fillId="57" borderId="11" xfId="0" applyFont="1" applyFill="1" applyBorder="1" applyAlignment="1">
      <alignment horizontal="left" vertical="top" wrapText="1"/>
    </xf>
    <xf numFmtId="0" fontId="13" fillId="57" borderId="84" xfId="0" applyFont="1" applyFill="1" applyBorder="1" applyAlignment="1">
      <alignment horizontal="left" vertical="top" wrapText="1"/>
    </xf>
    <xf numFmtId="0" fontId="67" fillId="0" borderId="0" xfId="0" applyFont="1" applyAlignment="1">
      <alignment horizontal="center"/>
    </xf>
    <xf numFmtId="0" fontId="0" fillId="0" borderId="90" xfId="0" applyFill="1" applyBorder="1" applyAlignment="1">
      <alignment horizontal="center"/>
    </xf>
    <xf numFmtId="0" fontId="0" fillId="0" borderId="21" xfId="0" applyFill="1" applyBorder="1" applyAlignment="1">
      <alignment horizontal="center"/>
    </xf>
    <xf numFmtId="0" fontId="0" fillId="0" borderId="74" xfId="0" applyFill="1" applyBorder="1" applyAlignment="1">
      <alignment horizontal="center"/>
    </xf>
    <xf numFmtId="0" fontId="0" fillId="0" borderId="9" xfId="0" applyFill="1" applyBorder="1" applyAlignment="1">
      <alignment horizontal="center"/>
    </xf>
    <xf numFmtId="0" fontId="9" fillId="0" borderId="100" xfId="0" applyFont="1" applyFill="1" applyBorder="1" applyAlignment="1">
      <alignment horizontal="center"/>
    </xf>
    <xf numFmtId="0" fontId="9" fillId="0" borderId="114" xfId="0" applyFont="1" applyFill="1" applyBorder="1" applyAlignment="1">
      <alignment horizontal="center"/>
    </xf>
    <xf numFmtId="0" fontId="9" fillId="0" borderId="20" xfId="0" applyFont="1" applyFill="1" applyBorder="1" applyAlignment="1">
      <alignment horizontal="center"/>
    </xf>
    <xf numFmtId="0" fontId="9" fillId="0" borderId="0" xfId="0" applyFont="1" applyAlignment="1" applyProtection="1">
      <alignment horizontal="center" wrapText="1"/>
    </xf>
    <xf numFmtId="0" fontId="0" fillId="0" borderId="0" xfId="0" applyAlignment="1">
      <alignment horizontal="center" wrapText="1"/>
    </xf>
    <xf numFmtId="0" fontId="9" fillId="0" borderId="25" xfId="0" applyFont="1" applyFill="1" applyBorder="1" applyAlignment="1" applyProtection="1">
      <alignment horizontal="center" wrapText="1"/>
    </xf>
    <xf numFmtId="0" fontId="0" fillId="0" borderId="22" xfId="0" applyBorder="1" applyAlignment="1">
      <alignment wrapText="1"/>
    </xf>
    <xf numFmtId="0" fontId="9" fillId="0" borderId="24" xfId="0" applyFont="1" applyFill="1" applyBorder="1" applyAlignment="1" applyProtection="1">
      <alignment horizontal="center" wrapText="1"/>
    </xf>
    <xf numFmtId="0" fontId="0" fillId="0" borderId="18" xfId="0" applyBorder="1" applyAlignment="1">
      <alignment wrapText="1"/>
    </xf>
    <xf numFmtId="0" fontId="13" fillId="0" borderId="0" xfId="0" applyFont="1" applyAlignment="1" applyProtection="1">
      <alignment horizontal="left" vertical="top" wrapText="1" indent="1"/>
    </xf>
    <xf numFmtId="0" fontId="9" fillId="67" borderId="0" xfId="0" applyFont="1" applyFill="1" applyAlignment="1" applyProtection="1">
      <alignment horizontal="left" vertical="top" wrapText="1"/>
    </xf>
    <xf numFmtId="0" fontId="16" fillId="33" borderId="0" xfId="0" applyFont="1" applyFill="1" applyAlignment="1" applyProtection="1">
      <alignment horizontal="left" vertical="center"/>
    </xf>
    <xf numFmtId="0" fontId="9" fillId="0" borderId="10" xfId="0" applyFont="1" applyBorder="1" applyAlignment="1" applyProtection="1">
      <alignment horizontal="center"/>
    </xf>
    <xf numFmtId="0" fontId="9" fillId="0" borderId="11" xfId="0" applyFont="1" applyBorder="1" applyAlignment="1" applyProtection="1">
      <alignment horizontal="center"/>
    </xf>
    <xf numFmtId="0" fontId="9" fillId="0" borderId="12" xfId="0" applyFont="1" applyBorder="1" applyAlignment="1" applyProtection="1">
      <alignment horizontal="center"/>
    </xf>
    <xf numFmtId="0" fontId="13" fillId="0" borderId="0" xfId="4" applyFont="1" applyAlignment="1" applyProtection="1">
      <alignment horizontal="left" vertical="top" wrapText="1" indent="1"/>
    </xf>
    <xf numFmtId="0" fontId="9" fillId="67" borderId="0" xfId="4" applyFont="1" applyFill="1" applyAlignment="1" applyProtection="1">
      <alignment horizontal="left" vertical="top" wrapText="1"/>
    </xf>
    <xf numFmtId="0" fontId="69" fillId="36" borderId="0" xfId="0" applyFont="1" applyFill="1" applyBorder="1" applyAlignment="1" applyProtection="1">
      <alignment horizontal="left" indent="7"/>
    </xf>
    <xf numFmtId="0" fontId="7" fillId="34" borderId="0" xfId="0" applyFont="1" applyFill="1" applyAlignment="1" applyProtection="1">
      <alignment horizontal="center"/>
    </xf>
    <xf numFmtId="0" fontId="7" fillId="0" borderId="0" xfId="0" applyFont="1" applyAlignment="1" applyProtection="1">
      <alignment horizontal="center"/>
    </xf>
    <xf numFmtId="0" fontId="36" fillId="35" borderId="19" xfId="0" applyFont="1" applyFill="1" applyBorder="1" applyAlignment="1" applyProtection="1">
      <alignment horizontal="left" vertical="top"/>
      <protection locked="0"/>
    </xf>
    <xf numFmtId="0" fontId="36" fillId="63" borderId="0" xfId="0" applyFont="1" applyFill="1" applyBorder="1" applyAlignment="1" applyProtection="1">
      <alignment horizontal="left" vertical="top" indent="5"/>
      <protection locked="0"/>
    </xf>
    <xf numFmtId="0" fontId="36" fillId="63" borderId="128" xfId="0" applyFont="1" applyFill="1" applyBorder="1" applyAlignment="1" applyProtection="1">
      <alignment horizontal="left" vertical="top" indent="5"/>
      <protection locked="0"/>
    </xf>
    <xf numFmtId="0" fontId="78" fillId="0" borderId="0" xfId="0" applyFont="1" applyFill="1" applyAlignment="1">
      <alignment horizontal="left" vertical="top" wrapText="1"/>
    </xf>
    <xf numFmtId="191" fontId="78" fillId="0" borderId="0" xfId="0" applyNumberFormat="1" applyFont="1" applyFill="1" applyAlignment="1">
      <alignment horizontal="left" vertical="top" wrapText="1"/>
    </xf>
    <xf numFmtId="0" fontId="36" fillId="63" borderId="0" xfId="0" applyFont="1" applyFill="1" applyBorder="1" applyAlignment="1" applyProtection="1">
      <alignment horizontal="left" vertical="top"/>
      <protection locked="0"/>
    </xf>
    <xf numFmtId="0" fontId="36" fillId="63" borderId="128" xfId="0" applyFont="1" applyFill="1" applyBorder="1" applyAlignment="1" applyProtection="1">
      <alignment horizontal="left" vertical="top"/>
      <protection locked="0"/>
    </xf>
    <xf numFmtId="191" fontId="36" fillId="63" borderId="0" xfId="0" applyNumberFormat="1" applyFont="1" applyFill="1" applyBorder="1" applyAlignment="1" applyProtection="1">
      <alignment horizontal="left" vertical="top"/>
      <protection locked="0"/>
    </xf>
    <xf numFmtId="191" fontId="36" fillId="63" borderId="128" xfId="0" applyNumberFormat="1" applyFont="1" applyFill="1" applyBorder="1" applyAlignment="1" applyProtection="1">
      <alignment horizontal="left" vertical="top"/>
      <protection locked="0"/>
    </xf>
    <xf numFmtId="0" fontId="14" fillId="35" borderId="19" xfId="432" applyFont="1" applyFill="1" applyBorder="1" applyAlignment="1" applyProtection="1">
      <alignment horizontal="left" vertical="top"/>
      <protection locked="0"/>
    </xf>
    <xf numFmtId="0" fontId="36" fillId="69" borderId="89" xfId="0" applyFont="1" applyFill="1" applyBorder="1" applyAlignment="1" applyProtection="1">
      <alignment horizontal="left" vertical="top" wrapText="1"/>
      <protection locked="0"/>
    </xf>
    <xf numFmtId="0" fontId="36" fillId="69" borderId="121" xfId="0" applyFont="1" applyFill="1" applyBorder="1" applyAlignment="1" applyProtection="1">
      <alignment horizontal="left" vertical="top" wrapText="1"/>
      <protection locked="0"/>
    </xf>
    <xf numFmtId="0" fontId="36" fillId="69" borderId="136" xfId="0" applyFont="1" applyFill="1" applyBorder="1" applyAlignment="1" applyProtection="1">
      <alignment horizontal="left" vertical="top" wrapText="1"/>
      <protection locked="0"/>
    </xf>
    <xf numFmtId="0" fontId="36" fillId="69" borderId="137" xfId="0" applyFont="1" applyFill="1" applyBorder="1" applyAlignment="1" applyProtection="1">
      <alignment horizontal="left" vertical="top" wrapText="1"/>
      <protection locked="0"/>
    </xf>
    <xf numFmtId="0" fontId="14" fillId="35" borderId="19" xfId="432" applyFont="1" applyFill="1" applyBorder="1" applyAlignment="1" applyProtection="1">
      <alignment horizontal="left" vertical="center"/>
      <protection locked="0"/>
    </xf>
    <xf numFmtId="0" fontId="14" fillId="35" borderId="89" xfId="432" applyFont="1" applyFill="1" applyBorder="1" applyAlignment="1" applyProtection="1">
      <alignment horizontal="left" vertical="center"/>
      <protection locked="0"/>
    </xf>
    <xf numFmtId="0" fontId="14" fillId="35" borderId="121" xfId="432" applyFont="1" applyFill="1" applyBorder="1" applyAlignment="1" applyProtection="1">
      <alignment horizontal="left" vertical="center"/>
      <protection locked="0"/>
    </xf>
    <xf numFmtId="0" fontId="36" fillId="63" borderId="0" xfId="0" applyFont="1" applyFill="1" applyBorder="1" applyAlignment="1" applyProtection="1">
      <alignment vertical="top"/>
      <protection locked="0"/>
    </xf>
    <xf numFmtId="0" fontId="36" fillId="63" borderId="128" xfId="0" applyFont="1" applyFill="1" applyBorder="1" applyAlignment="1" applyProtection="1">
      <alignment vertical="top"/>
      <protection locked="0"/>
    </xf>
    <xf numFmtId="0" fontId="36" fillId="33" borderId="0" xfId="0" applyFont="1" applyFill="1" applyBorder="1" applyAlignment="1" applyProtection="1">
      <alignment horizontal="left" vertical="top" indent="2"/>
      <protection locked="0"/>
    </xf>
    <xf numFmtId="0" fontId="36" fillId="33" borderId="128" xfId="0" applyFont="1" applyFill="1" applyBorder="1" applyAlignment="1" applyProtection="1">
      <alignment horizontal="left" vertical="top" indent="2"/>
      <protection locked="0"/>
    </xf>
    <xf numFmtId="0" fontId="36" fillId="63" borderId="0" xfId="0" applyFont="1" applyFill="1" applyBorder="1" applyAlignment="1" applyProtection="1">
      <alignment horizontal="left" vertical="top" indent="2"/>
      <protection locked="0"/>
    </xf>
    <xf numFmtId="0" fontId="36" fillId="63" borderId="128" xfId="0" applyFont="1" applyFill="1" applyBorder="1" applyAlignment="1" applyProtection="1">
      <alignment horizontal="left" vertical="top" indent="2"/>
      <protection locked="0"/>
    </xf>
    <xf numFmtId="0" fontId="36" fillId="69" borderId="126" xfId="0" applyFont="1" applyFill="1" applyBorder="1" applyAlignment="1" applyProtection="1">
      <alignment horizontal="left" vertical="top" wrapText="1"/>
      <protection locked="0"/>
    </xf>
    <xf numFmtId="0" fontId="36" fillId="68" borderId="123" xfId="0" applyFont="1" applyFill="1" applyBorder="1" applyAlignment="1" applyProtection="1">
      <alignment horizontal="left" vertical="top" wrapText="1"/>
      <protection locked="0"/>
    </xf>
    <xf numFmtId="0" fontId="76" fillId="0" borderId="11" xfId="0" applyFont="1" applyBorder="1" applyAlignment="1">
      <alignment vertical="center" wrapText="1"/>
    </xf>
    <xf numFmtId="191" fontId="76" fillId="0" borderId="12" xfId="0" applyNumberFormat="1" applyFont="1" applyBorder="1" applyAlignment="1">
      <alignment vertical="center" wrapText="1"/>
    </xf>
    <xf numFmtId="0" fontId="76" fillId="0" borderId="10" xfId="0" applyFont="1" applyBorder="1" applyAlignment="1">
      <alignment vertical="center" wrapText="1"/>
    </xf>
    <xf numFmtId="0" fontId="73" fillId="63" borderId="0" xfId="0" applyFont="1" applyFill="1" applyBorder="1" applyAlignment="1" applyProtection="1">
      <alignment horizontal="left" vertical="center" wrapText="1"/>
      <protection locked="0"/>
    </xf>
    <xf numFmtId="191" fontId="73" fillId="63" borderId="0" xfId="0" applyNumberFormat="1" applyFont="1" applyFill="1" applyBorder="1" applyAlignment="1" applyProtection="1">
      <alignment horizontal="left" vertical="center" wrapText="1"/>
      <protection locked="0"/>
    </xf>
    <xf numFmtId="0" fontId="76" fillId="0" borderId="12" xfId="0" applyFont="1" applyBorder="1" applyAlignment="1">
      <alignment vertical="center" wrapText="1"/>
    </xf>
    <xf numFmtId="0" fontId="36" fillId="69" borderId="127" xfId="0" applyFont="1" applyFill="1" applyBorder="1" applyAlignment="1" applyProtection="1">
      <alignment horizontal="left" vertical="top" wrapText="1"/>
      <protection locked="0"/>
    </xf>
    <xf numFmtId="0" fontId="76" fillId="0" borderId="10" xfId="0" applyFont="1" applyBorder="1" applyAlignment="1">
      <alignment wrapText="1"/>
    </xf>
    <xf numFmtId="0" fontId="76" fillId="0" borderId="11" xfId="0" applyFont="1" applyBorder="1" applyAlignment="1">
      <alignment wrapText="1"/>
    </xf>
    <xf numFmtId="0" fontId="76" fillId="0" borderId="12" xfId="0" applyFont="1" applyBorder="1" applyAlignment="1">
      <alignment wrapText="1"/>
    </xf>
    <xf numFmtId="0" fontId="58" fillId="0" borderId="0" xfId="0" applyFont="1" applyAlignment="1">
      <alignment horizontal="center" vertical="center" wrapText="1"/>
    </xf>
    <xf numFmtId="0" fontId="75" fillId="0" borderId="0" xfId="0" applyFont="1" applyAlignment="1">
      <alignment horizontal="right" vertical="center" wrapText="1"/>
    </xf>
    <xf numFmtId="0" fontId="9" fillId="68" borderId="120" xfId="0" applyFont="1" applyFill="1" applyBorder="1" applyAlignment="1">
      <alignment vertical="center"/>
    </xf>
    <xf numFmtId="0" fontId="9" fillId="68" borderId="89" xfId="0" applyFont="1" applyFill="1" applyBorder="1" applyAlignment="1">
      <alignment vertical="center"/>
    </xf>
    <xf numFmtId="0" fontId="9" fillId="68" borderId="121" xfId="0" applyFont="1" applyFill="1" applyBorder="1" applyAlignment="1">
      <alignment vertical="center"/>
    </xf>
    <xf numFmtId="0" fontId="72" fillId="0" borderId="0" xfId="0" applyFont="1" applyAlignment="1">
      <alignment horizontal="center" vertical="center" wrapText="1"/>
    </xf>
    <xf numFmtId="0" fontId="73" fillId="0" borderId="0" xfId="0" applyFont="1" applyAlignment="1">
      <alignment horizontal="center" vertical="center" wrapText="1"/>
    </xf>
    <xf numFmtId="0" fontId="5" fillId="0" borderId="0" xfId="0" applyFont="1" applyAlignment="1">
      <alignment horizontal="center" vertical="center" wrapText="1"/>
    </xf>
    <xf numFmtId="0" fontId="7" fillId="34" borderId="0" xfId="0" applyFont="1" applyFill="1" applyAlignment="1">
      <alignment horizontal="center" vertical="center" wrapText="1"/>
    </xf>
    <xf numFmtId="0" fontId="7" fillId="34" borderId="0" xfId="0" applyFont="1" applyFill="1" applyAlignment="1">
      <alignment horizontal="center" vertical="center"/>
    </xf>
    <xf numFmtId="49" fontId="0" fillId="0" borderId="0" xfId="0" applyNumberFormat="1" applyAlignment="1">
      <alignment horizontal="left" vertical="center" wrapText="1"/>
    </xf>
    <xf numFmtId="0" fontId="0" fillId="0" borderId="0" xfId="0" applyAlignment="1">
      <alignment horizontal="left" vertical="center" wrapText="1"/>
    </xf>
    <xf numFmtId="0" fontId="16" fillId="63" borderId="0" xfId="0" applyFont="1" applyFill="1" applyBorder="1" applyAlignment="1">
      <alignment horizontal="left" vertical="top"/>
    </xf>
    <xf numFmtId="0" fontId="16" fillId="63" borderId="118" xfId="0" applyFont="1" applyFill="1" applyBorder="1" applyAlignment="1">
      <alignment horizontal="left" vertical="top"/>
    </xf>
    <xf numFmtId="0" fontId="14" fillId="0" borderId="0" xfId="4" applyFont="1" applyAlignment="1">
      <alignment horizontal="right" vertical="top"/>
    </xf>
    <xf numFmtId="0" fontId="14" fillId="33" borderId="0" xfId="4" applyFont="1" applyFill="1" applyBorder="1" applyAlignment="1">
      <alignment horizontal="right" vertical="top"/>
    </xf>
    <xf numFmtId="0" fontId="14" fillId="33" borderId="0" xfId="4" applyFont="1" applyFill="1" applyAlignment="1">
      <alignment horizontal="right" vertical="top"/>
    </xf>
    <xf numFmtId="14" fontId="14" fillId="33" borderId="0" xfId="4" applyNumberFormat="1" applyFont="1" applyFill="1" applyAlignment="1">
      <alignment horizontal="right" vertical="top"/>
    </xf>
    <xf numFmtId="0" fontId="9" fillId="0" borderId="76" xfId="4" applyFont="1" applyFill="1" applyBorder="1" applyAlignment="1">
      <alignment vertical="center" wrapText="1"/>
    </xf>
    <xf numFmtId="0" fontId="9" fillId="0" borderId="77" xfId="4" applyFont="1" applyFill="1" applyBorder="1" applyAlignment="1">
      <alignment vertical="center" wrapText="1"/>
    </xf>
    <xf numFmtId="0" fontId="9" fillId="0" borderId="138" xfId="4" applyFont="1" applyFill="1" applyBorder="1" applyAlignment="1">
      <alignment vertical="center" wrapText="1"/>
    </xf>
    <xf numFmtId="0" fontId="9" fillId="0" borderId="38" xfId="4" applyFont="1" applyFill="1" applyBorder="1" applyAlignment="1">
      <alignment horizontal="center"/>
    </xf>
    <xf numFmtId="0" fontId="9" fillId="0" borderId="69" xfId="4" applyFont="1" applyFill="1" applyBorder="1" applyAlignment="1">
      <alignment horizontal="center"/>
    </xf>
    <xf numFmtId="0" fontId="9" fillId="0" borderId="76" xfId="4" applyFont="1" applyFill="1" applyBorder="1" applyAlignment="1">
      <alignment horizontal="center"/>
    </xf>
    <xf numFmtId="0" fontId="6" fillId="0" borderId="77" xfId="4" applyFill="1" applyBorder="1" applyAlignment="1"/>
    <xf numFmtId="0" fontId="6" fillId="0" borderId="38" xfId="4" applyFill="1" applyBorder="1" applyAlignment="1"/>
    <xf numFmtId="0" fontId="9" fillId="0" borderId="78" xfId="4" applyFont="1" applyFill="1" applyBorder="1" applyAlignment="1">
      <alignment vertical="center" wrapText="1"/>
    </xf>
    <xf numFmtId="0" fontId="9" fillId="0" borderId="0" xfId="4" applyFont="1" applyFill="1" applyBorder="1" applyAlignment="1">
      <alignment vertical="center" wrapText="1"/>
    </xf>
    <xf numFmtId="0" fontId="9" fillId="0" borderId="24" xfId="4" applyFont="1" applyFill="1" applyBorder="1" applyAlignment="1">
      <alignment vertical="center" wrapText="1"/>
    </xf>
    <xf numFmtId="0" fontId="9" fillId="0" borderId="47" xfId="4" applyFont="1" applyFill="1" applyBorder="1" applyAlignment="1">
      <alignment horizontal="center"/>
    </xf>
    <xf numFmtId="0" fontId="9" fillId="0" borderId="112" xfId="4" applyFont="1" applyFill="1" applyBorder="1" applyAlignment="1">
      <alignment horizontal="center"/>
    </xf>
    <xf numFmtId="0" fontId="9" fillId="0" borderId="78" xfId="4" applyFont="1" applyFill="1" applyBorder="1" applyAlignment="1">
      <alignment horizontal="center"/>
    </xf>
    <xf numFmtId="0" fontId="6" fillId="0" borderId="0" xfId="4" applyFill="1" applyBorder="1" applyAlignment="1"/>
    <xf numFmtId="0" fontId="6" fillId="0" borderId="47" xfId="4" applyFill="1" applyBorder="1" applyAlignment="1"/>
    <xf numFmtId="0" fontId="9" fillId="0" borderId="55" xfId="4" applyFont="1" applyFill="1" applyBorder="1" applyAlignment="1">
      <alignment horizontal="center"/>
    </xf>
    <xf numFmtId="0" fontId="9" fillId="0" borderId="0" xfId="4" applyFont="1" applyFill="1" applyBorder="1" applyAlignment="1">
      <alignment horizontal="center"/>
    </xf>
    <xf numFmtId="0" fontId="9" fillId="0" borderId="47" xfId="4" applyFont="1" applyFill="1" applyBorder="1" applyAlignment="1">
      <alignment horizontal="center"/>
    </xf>
    <xf numFmtId="0" fontId="9" fillId="0" borderId="139" xfId="4" applyFont="1" applyFill="1" applyBorder="1" applyAlignment="1">
      <alignment vertical="center" wrapText="1"/>
    </xf>
    <xf numFmtId="0" fontId="9" fillId="0" borderId="17" xfId="4" applyFont="1" applyFill="1" applyBorder="1" applyAlignment="1">
      <alignment vertical="center" wrapText="1"/>
    </xf>
    <xf numFmtId="0" fontId="9" fillId="0" borderId="18" xfId="4" applyFont="1" applyFill="1" applyBorder="1" applyAlignment="1">
      <alignment vertical="center" wrapText="1"/>
    </xf>
    <xf numFmtId="0" fontId="9" fillId="0" borderId="140" xfId="4" applyFont="1" applyFill="1" applyBorder="1" applyAlignment="1">
      <alignment horizontal="center"/>
    </xf>
    <xf numFmtId="0" fontId="9" fillId="0" borderId="96" xfId="4" applyFont="1" applyFill="1" applyBorder="1" applyAlignment="1">
      <alignment horizontal="center"/>
    </xf>
    <xf numFmtId="0" fontId="9" fillId="0" borderId="87" xfId="4" applyFont="1" applyFill="1" applyBorder="1" applyAlignment="1"/>
    <xf numFmtId="0" fontId="9" fillId="0" borderId="28" xfId="4" applyFont="1" applyFill="1" applyBorder="1" applyAlignment="1"/>
    <xf numFmtId="0" fontId="9" fillId="0" borderId="40" xfId="4" applyFont="1" applyFill="1" applyBorder="1" applyAlignment="1"/>
    <xf numFmtId="0" fontId="6" fillId="0" borderId="78" xfId="4" applyFont="1" applyFill="1" applyBorder="1" applyAlignment="1">
      <alignment horizontal="left" vertical="center" wrapText="1"/>
    </xf>
    <xf numFmtId="0" fontId="6" fillId="0" borderId="0" xfId="4" applyFont="1" applyFill="1" applyBorder="1" applyAlignment="1">
      <alignment horizontal="left" vertical="center" wrapText="1"/>
    </xf>
    <xf numFmtId="0" fontId="6" fillId="0" borderId="47" xfId="4" applyFont="1" applyFill="1" applyBorder="1" applyAlignment="1">
      <alignment horizontal="left" vertical="center" wrapText="1"/>
    </xf>
    <xf numFmtId="167" fontId="6" fillId="33" borderId="92" xfId="176" applyNumberFormat="1" applyFill="1" applyBorder="1"/>
    <xf numFmtId="167" fontId="6" fillId="0" borderId="92" xfId="176" applyNumberFormat="1" applyFill="1" applyBorder="1"/>
    <xf numFmtId="169" fontId="6" fillId="33" borderId="105" xfId="176" applyNumberFormat="1" applyFill="1" applyBorder="1" applyAlignment="1">
      <alignment wrapText="1"/>
    </xf>
    <xf numFmtId="0" fontId="6" fillId="33" borderId="114" xfId="4" applyFill="1" applyBorder="1" applyAlignment="1">
      <alignment wrapText="1"/>
    </xf>
    <xf numFmtId="0" fontId="6" fillId="33" borderId="141" xfId="4" applyFill="1" applyBorder="1" applyAlignment="1">
      <alignment wrapText="1"/>
    </xf>
    <xf numFmtId="0" fontId="6" fillId="0" borderId="142" xfId="4" applyFont="1" applyFill="1" applyBorder="1" applyAlignment="1">
      <alignment horizontal="left" vertical="center" wrapText="1"/>
    </xf>
    <xf numFmtId="0" fontId="6" fillId="0" borderId="14" xfId="4" applyFont="1" applyFill="1" applyBorder="1" applyAlignment="1">
      <alignment horizontal="left" vertical="center" wrapText="1"/>
    </xf>
    <xf numFmtId="0" fontId="6" fillId="0" borderId="143" xfId="4" applyFont="1" applyFill="1" applyBorder="1" applyAlignment="1">
      <alignment horizontal="left" vertical="center" wrapText="1"/>
    </xf>
    <xf numFmtId="169" fontId="6" fillId="33" borderId="83" xfId="176" applyNumberFormat="1" applyFill="1" applyBorder="1" applyAlignment="1"/>
    <xf numFmtId="0" fontId="6" fillId="33" borderId="11" xfId="4" applyFill="1" applyBorder="1" applyAlignment="1"/>
    <xf numFmtId="0" fontId="6" fillId="33" borderId="84" xfId="4" applyFill="1" applyBorder="1" applyAlignment="1"/>
    <xf numFmtId="0" fontId="6" fillId="0" borderId="83" xfId="4" applyFont="1" applyFill="1" applyBorder="1" applyAlignment="1">
      <alignment horizontal="left" vertical="center" wrapText="1"/>
    </xf>
    <xf numFmtId="0" fontId="6" fillId="0" borderId="11" xfId="4" applyFont="1" applyFill="1" applyBorder="1" applyAlignment="1">
      <alignment horizontal="left" vertical="center" wrapText="1"/>
    </xf>
    <xf numFmtId="0" fontId="6" fillId="0" borderId="84" xfId="4" applyFont="1" applyFill="1" applyBorder="1" applyAlignment="1">
      <alignment horizontal="left" vertical="center" wrapText="1"/>
    </xf>
    <xf numFmtId="167" fontId="6" fillId="0" borderId="102" xfId="176" applyNumberFormat="1" applyFill="1" applyBorder="1"/>
    <xf numFmtId="0" fontId="6" fillId="0" borderId="139" xfId="4" applyFont="1" applyFill="1" applyBorder="1" applyAlignment="1">
      <alignment horizontal="left" vertical="center" wrapText="1"/>
    </xf>
    <xf numFmtId="0" fontId="6" fillId="0" borderId="17" xfId="4" applyFont="1" applyFill="1" applyBorder="1" applyAlignment="1">
      <alignment horizontal="left" vertical="center" wrapText="1"/>
    </xf>
    <xf numFmtId="0" fontId="6" fillId="0" borderId="140" xfId="4" applyFont="1" applyFill="1" applyBorder="1" applyAlignment="1">
      <alignment horizontal="left" vertical="center" wrapText="1"/>
    </xf>
    <xf numFmtId="167" fontId="6" fillId="0" borderId="95" xfId="176" applyNumberFormat="1" applyFill="1" applyBorder="1"/>
    <xf numFmtId="169" fontId="6" fillId="33" borderId="11" xfId="176" applyNumberFormat="1" applyFill="1" applyBorder="1" applyAlignment="1"/>
    <xf numFmtId="0" fontId="6" fillId="0" borderId="80" xfId="4" applyBorder="1" applyAlignment="1">
      <alignment horizontal="left" wrapText="1"/>
    </xf>
    <xf numFmtId="0" fontId="6" fillId="0" borderId="81" xfId="4" applyBorder="1" applyAlignment="1">
      <alignment horizontal="left" wrapText="1"/>
    </xf>
    <xf numFmtId="0" fontId="6" fillId="0" borderId="46" xfId="4" applyBorder="1" applyAlignment="1">
      <alignment horizontal="left" wrapText="1"/>
    </xf>
    <xf numFmtId="167" fontId="6" fillId="0" borderId="99" xfId="176" applyNumberFormat="1" applyFill="1" applyBorder="1"/>
    <xf numFmtId="169" fontId="6" fillId="0" borderId="80" xfId="176" applyNumberFormat="1" applyFill="1" applyBorder="1" applyAlignment="1"/>
    <xf numFmtId="0" fontId="6" fillId="0" borderId="81" xfId="4" applyFill="1" applyBorder="1" applyAlignment="1"/>
    <xf numFmtId="0" fontId="6" fillId="0" borderId="46" xfId="4" applyFill="1" applyBorder="1" applyAlignment="1"/>
    <xf numFmtId="0" fontId="6" fillId="0" borderId="144" xfId="4" applyBorder="1" applyAlignment="1">
      <alignment horizontal="left" wrapText="1"/>
    </xf>
    <xf numFmtId="0" fontId="6" fillId="0" borderId="145" xfId="4" applyBorder="1" applyAlignment="1">
      <alignment horizontal="left" wrapText="1"/>
    </xf>
    <xf numFmtId="0" fontId="6" fillId="0" borderId="146" xfId="4" applyBorder="1" applyAlignment="1">
      <alignment horizontal="left" wrapText="1"/>
    </xf>
    <xf numFmtId="167" fontId="6" fillId="0" borderId="144" xfId="4" applyNumberFormat="1" applyBorder="1" applyAlignment="1">
      <alignment horizontal="left" wrapText="1"/>
    </xf>
    <xf numFmtId="167" fontId="6" fillId="0" borderId="145" xfId="4" applyNumberFormat="1" applyBorder="1" applyAlignment="1">
      <alignment horizontal="left" wrapText="1"/>
    </xf>
    <xf numFmtId="167" fontId="6" fillId="0" borderId="146" xfId="4" applyNumberFormat="1" applyBorder="1" applyAlignment="1">
      <alignment horizontal="left" wrapText="1"/>
    </xf>
    <xf numFmtId="0" fontId="6" fillId="0" borderId="83" xfId="4" applyBorder="1" applyAlignment="1">
      <alignment horizontal="left" wrapText="1"/>
    </xf>
    <xf numFmtId="0" fontId="6" fillId="0" borderId="11" xfId="4" applyBorder="1" applyAlignment="1">
      <alignment horizontal="left" wrapText="1"/>
    </xf>
    <xf numFmtId="0" fontId="6" fillId="0" borderId="84" xfId="4" applyBorder="1" applyAlignment="1">
      <alignment horizontal="left" wrapText="1"/>
    </xf>
    <xf numFmtId="0" fontId="6" fillId="0" borderId="142" xfId="4" applyBorder="1" applyAlignment="1">
      <alignment horizontal="left" wrapText="1"/>
    </xf>
    <xf numFmtId="0" fontId="6" fillId="0" borderId="14" xfId="4" applyBorder="1" applyAlignment="1">
      <alignment horizontal="left" wrapText="1"/>
    </xf>
    <xf numFmtId="0" fontId="6" fillId="0" borderId="143" xfId="4" applyBorder="1" applyAlignment="1">
      <alignment horizontal="left" wrapText="1"/>
    </xf>
    <xf numFmtId="0" fontId="6" fillId="0" borderId="78" xfId="4" applyBorder="1" applyAlignment="1">
      <alignment horizontal="left" wrapText="1"/>
    </xf>
    <xf numFmtId="0" fontId="6" fillId="0" borderId="0" xfId="4" applyBorder="1" applyAlignment="1">
      <alignment horizontal="left" wrapText="1"/>
    </xf>
    <xf numFmtId="0" fontId="6" fillId="0" borderId="47" xfId="4" applyBorder="1" applyAlignment="1">
      <alignment horizontal="left" wrapText="1"/>
    </xf>
    <xf numFmtId="0" fontId="9" fillId="0" borderId="147" xfId="4" applyFont="1" applyBorder="1" applyAlignment="1">
      <alignment horizontal="left"/>
    </xf>
    <xf numFmtId="0" fontId="9" fillId="0" borderId="148" xfId="4" applyFont="1" applyBorder="1" applyAlignment="1">
      <alignment horizontal="left"/>
    </xf>
    <xf numFmtId="0" fontId="9" fillId="0" borderId="149" xfId="4" applyFont="1" applyBorder="1" applyAlignment="1">
      <alignment horizontal="left"/>
    </xf>
    <xf numFmtId="167" fontId="6" fillId="0" borderId="150" xfId="176" applyNumberFormat="1" applyBorder="1"/>
    <xf numFmtId="169" fontId="6" fillId="0" borderId="147" xfId="176" applyNumberFormat="1" applyFill="1" applyBorder="1" applyAlignment="1"/>
    <xf numFmtId="0" fontId="6" fillId="0" borderId="148" xfId="4" applyFill="1" applyBorder="1" applyAlignment="1"/>
    <xf numFmtId="0" fontId="6" fillId="0" borderId="149" xfId="4" applyFill="1" applyBorder="1" applyAlignment="1"/>
  </cellXfs>
  <cellStyles count="433">
    <cellStyle name="$" xfId="7"/>
    <cellStyle name="$.00" xfId="8"/>
    <cellStyle name="$M" xfId="9"/>
    <cellStyle name="$M.00" xfId="10"/>
    <cellStyle name="20% - Accent1 2" xfId="11"/>
    <cellStyle name="20% - Accent1 2 2" xfId="12"/>
    <cellStyle name="20% - Accent1 2 3" xfId="13"/>
    <cellStyle name="20% - Accent1 3" xfId="14"/>
    <cellStyle name="20% - Accent1 4" xfId="15"/>
    <cellStyle name="20% - Accent2 2" xfId="16"/>
    <cellStyle name="20% - Accent2 2 2" xfId="17"/>
    <cellStyle name="20% - Accent2 2 3" xfId="18"/>
    <cellStyle name="20% - Accent2 3" xfId="19"/>
    <cellStyle name="20% - Accent2 4" xfId="20"/>
    <cellStyle name="20% - Accent3 2" xfId="21"/>
    <cellStyle name="20% - Accent3 2 2" xfId="22"/>
    <cellStyle name="20% - Accent3 2 3" xfId="23"/>
    <cellStyle name="20% - Accent3 3" xfId="24"/>
    <cellStyle name="20% - Accent3 4" xfId="25"/>
    <cellStyle name="20% - Accent4 2" xfId="26"/>
    <cellStyle name="20% - Accent4 2 2" xfId="27"/>
    <cellStyle name="20% - Accent4 2 3" xfId="28"/>
    <cellStyle name="20% - Accent4 3" xfId="29"/>
    <cellStyle name="20% - Accent4 4" xfId="30"/>
    <cellStyle name="20% - Accent5 2" xfId="31"/>
    <cellStyle name="20% - Accent5 2 2" xfId="32"/>
    <cellStyle name="20% - Accent5 2 3" xfId="33"/>
    <cellStyle name="20% - Accent5 3" xfId="34"/>
    <cellStyle name="20% - Accent5 4" xfId="35"/>
    <cellStyle name="20% - Accent6 2" xfId="36"/>
    <cellStyle name="20% - Accent6 2 2" xfId="37"/>
    <cellStyle name="20% - Accent6 2 3" xfId="38"/>
    <cellStyle name="20% - Accent6 3" xfId="39"/>
    <cellStyle name="20% - Accent6 4" xfId="40"/>
    <cellStyle name="40% - Accent1 2" xfId="41"/>
    <cellStyle name="40% - Accent1 2 2" xfId="42"/>
    <cellStyle name="40% - Accent1 2 3" xfId="43"/>
    <cellStyle name="40% - Accent1 3" xfId="44"/>
    <cellStyle name="40% - Accent1 4" xfId="45"/>
    <cellStyle name="40% - Accent2 2" xfId="46"/>
    <cellStyle name="40% - Accent2 2 2" xfId="47"/>
    <cellStyle name="40% - Accent2 2 3" xfId="48"/>
    <cellStyle name="40% - Accent2 3" xfId="49"/>
    <cellStyle name="40% - Accent2 4" xfId="50"/>
    <cellStyle name="40% - Accent3 2" xfId="51"/>
    <cellStyle name="40% - Accent3 2 2" xfId="52"/>
    <cellStyle name="40% - Accent3 2 3" xfId="53"/>
    <cellStyle name="40% - Accent3 3" xfId="54"/>
    <cellStyle name="40% - Accent3 4" xfId="55"/>
    <cellStyle name="40% - Accent4 2" xfId="56"/>
    <cellStyle name="40% - Accent4 2 2" xfId="57"/>
    <cellStyle name="40% - Accent4 2 3" xfId="58"/>
    <cellStyle name="40% - Accent4 3" xfId="59"/>
    <cellStyle name="40% - Accent4 4" xfId="60"/>
    <cellStyle name="40% - Accent5 2" xfId="61"/>
    <cellStyle name="40% - Accent5 2 2" xfId="62"/>
    <cellStyle name="40% - Accent5 2 3" xfId="63"/>
    <cellStyle name="40% - Accent5 3" xfId="64"/>
    <cellStyle name="40% - Accent5 4" xfId="65"/>
    <cellStyle name="40% - Accent6 2" xfId="66"/>
    <cellStyle name="40% - Accent6 2 2" xfId="67"/>
    <cellStyle name="40% - Accent6 2 3" xfId="68"/>
    <cellStyle name="40% - Accent6 3" xfId="69"/>
    <cellStyle name="40% - Accent6 4" xfId="70"/>
    <cellStyle name="60% - Accent1 2" xfId="71"/>
    <cellStyle name="60% - Accent1 2 2" xfId="72"/>
    <cellStyle name="60% - Accent1 2 3" xfId="73"/>
    <cellStyle name="60% - Accent1 3" xfId="74"/>
    <cellStyle name="60% - Accent1 4" xfId="75"/>
    <cellStyle name="60% - Accent2 2" xfId="76"/>
    <cellStyle name="60% - Accent2 2 2" xfId="77"/>
    <cellStyle name="60% - Accent2 2 3" xfId="78"/>
    <cellStyle name="60% - Accent2 3" xfId="79"/>
    <cellStyle name="60% - Accent2 4" xfId="80"/>
    <cellStyle name="60% - Accent3 2" xfId="81"/>
    <cellStyle name="60% - Accent3 2 2" xfId="82"/>
    <cellStyle name="60% - Accent3 2 3" xfId="83"/>
    <cellStyle name="60% - Accent3 3" xfId="84"/>
    <cellStyle name="60% - Accent3 4" xfId="85"/>
    <cellStyle name="60% - Accent4 2" xfId="86"/>
    <cellStyle name="60% - Accent4 2 2" xfId="87"/>
    <cellStyle name="60% - Accent4 2 3" xfId="88"/>
    <cellStyle name="60% - Accent4 3" xfId="89"/>
    <cellStyle name="60% - Accent4 4" xfId="90"/>
    <cellStyle name="60% - Accent5 2" xfId="91"/>
    <cellStyle name="60% - Accent5 2 2" xfId="92"/>
    <cellStyle name="60% - Accent5 2 3" xfId="93"/>
    <cellStyle name="60% - Accent5 3" xfId="94"/>
    <cellStyle name="60% - Accent5 4" xfId="95"/>
    <cellStyle name="60% - Accent6 2" xfId="96"/>
    <cellStyle name="60% - Accent6 2 2" xfId="97"/>
    <cellStyle name="60% - Accent6 2 3" xfId="98"/>
    <cellStyle name="60% - Accent6 3" xfId="99"/>
    <cellStyle name="60% - Accent6 4" xfId="100"/>
    <cellStyle name="Accent1 2" xfId="101"/>
    <cellStyle name="Accent1 2 2" xfId="102"/>
    <cellStyle name="Accent1 2 3" xfId="103"/>
    <cellStyle name="Accent1 3" xfId="104"/>
    <cellStyle name="Accent1 4" xfId="105"/>
    <cellStyle name="Accent2 2" xfId="106"/>
    <cellStyle name="Accent2 2 2" xfId="107"/>
    <cellStyle name="Accent2 2 3" xfId="108"/>
    <cellStyle name="Accent2 3" xfId="109"/>
    <cellStyle name="Accent2 4" xfId="110"/>
    <cellStyle name="Accent3 2" xfId="111"/>
    <cellStyle name="Accent3 2 2" xfId="112"/>
    <cellStyle name="Accent3 2 3" xfId="113"/>
    <cellStyle name="Accent3 3" xfId="114"/>
    <cellStyle name="Accent3 4" xfId="115"/>
    <cellStyle name="Accent4 2" xfId="116"/>
    <cellStyle name="Accent4 2 2" xfId="117"/>
    <cellStyle name="Accent4 2 3" xfId="118"/>
    <cellStyle name="Accent4 3" xfId="119"/>
    <cellStyle name="Accent4 4" xfId="120"/>
    <cellStyle name="Accent5 2" xfId="121"/>
    <cellStyle name="Accent5 2 2" xfId="122"/>
    <cellStyle name="Accent5 2 3" xfId="123"/>
    <cellStyle name="Accent5 3" xfId="124"/>
    <cellStyle name="Accent5 4" xfId="125"/>
    <cellStyle name="Accent6 2" xfId="126"/>
    <cellStyle name="Accent6 2 2" xfId="127"/>
    <cellStyle name="Accent6 2 3" xfId="128"/>
    <cellStyle name="Accent6 3" xfId="129"/>
    <cellStyle name="Accent6 4" xfId="130"/>
    <cellStyle name="Bad 2" xfId="131"/>
    <cellStyle name="Bad 2 2" xfId="132"/>
    <cellStyle name="Bad 2 3" xfId="133"/>
    <cellStyle name="Bad 3" xfId="134"/>
    <cellStyle name="Bad 4" xfId="135"/>
    <cellStyle name="Calculation 2" xfId="136"/>
    <cellStyle name="Calculation 2 2" xfId="137"/>
    <cellStyle name="Calculation 2 3" xfId="138"/>
    <cellStyle name="Calculation 3" xfId="139"/>
    <cellStyle name="Calculation 4" xfId="140"/>
    <cellStyle name="Check Cell 2" xfId="141"/>
    <cellStyle name="Check Cell 2 2" xfId="142"/>
    <cellStyle name="Check Cell 2 3" xfId="143"/>
    <cellStyle name="Check Cell 3" xfId="144"/>
    <cellStyle name="Check Cell 4" xfId="145"/>
    <cellStyle name="Comma" xfId="1" builtinId="3"/>
    <cellStyle name="Comma 10" xfId="146"/>
    <cellStyle name="Comma 11" xfId="147"/>
    <cellStyle name="Comma 12" xfId="148"/>
    <cellStyle name="Comma 13" xfId="149"/>
    <cellStyle name="Comma 14" xfId="150"/>
    <cellStyle name="Comma 15" xfId="151"/>
    <cellStyle name="Comma 2" xfId="152"/>
    <cellStyle name="Comma 2 2" xfId="153"/>
    <cellStyle name="Comma 2 2 2" xfId="154"/>
    <cellStyle name="Comma 2 3" xfId="155"/>
    <cellStyle name="Comma 2 3 2" xfId="156"/>
    <cellStyle name="Comma 2 4" xfId="157"/>
    <cellStyle name="Comma 3" xfId="158"/>
    <cellStyle name="Comma 3 2" xfId="159"/>
    <cellStyle name="Comma 4" xfId="160"/>
    <cellStyle name="Comma 5" xfId="161"/>
    <cellStyle name="Comma 5 2" xfId="162"/>
    <cellStyle name="Comma 6" xfId="163"/>
    <cellStyle name="Comma 7" xfId="164"/>
    <cellStyle name="Comma 8" xfId="165"/>
    <cellStyle name="Comma 9" xfId="166"/>
    <cellStyle name="Comma0" xfId="167"/>
    <cellStyle name="Comma0 2" xfId="168"/>
    <cellStyle name="Comma0 3" xfId="169"/>
    <cellStyle name="Comma0 4" xfId="170"/>
    <cellStyle name="Comma0 5" xfId="171"/>
    <cellStyle name="Comma0 6" xfId="172"/>
    <cellStyle name="Comma0 7" xfId="173"/>
    <cellStyle name="Comma0 8" xfId="174"/>
    <cellStyle name="Comma0 9" xfId="175"/>
    <cellStyle name="Currency" xfId="2" builtinId="4"/>
    <cellStyle name="Currency 10" xfId="176"/>
    <cellStyle name="Currency 11" xfId="177"/>
    <cellStyle name="Currency 12" xfId="178"/>
    <cellStyle name="Currency 13" xfId="179"/>
    <cellStyle name="Currency 2" xfId="6"/>
    <cellStyle name="Currency 2 2" xfId="180"/>
    <cellStyle name="Currency 2 3" xfId="181"/>
    <cellStyle name="Currency 2 4" xfId="182"/>
    <cellStyle name="Currency 3" xfId="183"/>
    <cellStyle name="Currency 4" xfId="184"/>
    <cellStyle name="Currency 5" xfId="185"/>
    <cellStyle name="Currency 6" xfId="186"/>
    <cellStyle name="Currency 7" xfId="187"/>
    <cellStyle name="Currency 8" xfId="188"/>
    <cellStyle name="Currency 9" xfId="189"/>
    <cellStyle name="Currency0" xfId="190"/>
    <cellStyle name="Currency0 2" xfId="191"/>
    <cellStyle name="Currency0 3" xfId="192"/>
    <cellStyle name="Currency0 4" xfId="193"/>
    <cellStyle name="Currency0 5" xfId="194"/>
    <cellStyle name="Currency0 6" xfId="195"/>
    <cellStyle name="Currency0 7" xfId="196"/>
    <cellStyle name="Currency0 8" xfId="197"/>
    <cellStyle name="Currency0 9" xfId="198"/>
    <cellStyle name="Date" xfId="199"/>
    <cellStyle name="Date 2" xfId="200"/>
    <cellStyle name="Date 3" xfId="201"/>
    <cellStyle name="Date 4" xfId="202"/>
    <cellStyle name="Date 5" xfId="203"/>
    <cellStyle name="Date 6" xfId="204"/>
    <cellStyle name="Date 7" xfId="205"/>
    <cellStyle name="Date 8" xfId="206"/>
    <cellStyle name="Date 9" xfId="207"/>
    <cellStyle name="Explanatory Text 2" xfId="208"/>
    <cellStyle name="Explanatory Text 2 2" xfId="209"/>
    <cellStyle name="Explanatory Text 2 3" xfId="210"/>
    <cellStyle name="Explanatory Text 3" xfId="211"/>
    <cellStyle name="Explanatory Text 4" xfId="212"/>
    <cellStyle name="Fixed" xfId="213"/>
    <cellStyle name="Fixed 2" xfId="214"/>
    <cellStyle name="Fixed 3" xfId="215"/>
    <cellStyle name="Fixed 4" xfId="216"/>
    <cellStyle name="Fixed 5" xfId="217"/>
    <cellStyle name="Fixed 6" xfId="218"/>
    <cellStyle name="Fixed 7" xfId="219"/>
    <cellStyle name="Fixed 8" xfId="220"/>
    <cellStyle name="Fixed 9" xfId="221"/>
    <cellStyle name="Good 2" xfId="222"/>
    <cellStyle name="Good 2 2" xfId="223"/>
    <cellStyle name="Good 2 3" xfId="224"/>
    <cellStyle name="Good 3" xfId="225"/>
    <cellStyle name="Good 4" xfId="226"/>
    <cellStyle name="Grey" xfId="227"/>
    <cellStyle name="Heading 1 10" xfId="228"/>
    <cellStyle name="Heading 1 11" xfId="229"/>
    <cellStyle name="Heading 1 12" xfId="230"/>
    <cellStyle name="Heading 1 2" xfId="231"/>
    <cellStyle name="Heading 1 2 2" xfId="232"/>
    <cellStyle name="Heading 1 2 3" xfId="233"/>
    <cellStyle name="Heading 1 3" xfId="234"/>
    <cellStyle name="Heading 1 4" xfId="235"/>
    <cellStyle name="Heading 1 5" xfId="236"/>
    <cellStyle name="Heading 1 6" xfId="237"/>
    <cellStyle name="Heading 1 7" xfId="238"/>
    <cellStyle name="Heading 1 8" xfId="239"/>
    <cellStyle name="Heading 1 9" xfId="240"/>
    <cellStyle name="Heading 2 10" xfId="241"/>
    <cellStyle name="Heading 2 11" xfId="242"/>
    <cellStyle name="Heading 2 12" xfId="243"/>
    <cellStyle name="Heading 2 2" xfId="244"/>
    <cellStyle name="Heading 2 2 2" xfId="245"/>
    <cellStyle name="Heading 2 2 3" xfId="246"/>
    <cellStyle name="Heading 2 3" xfId="247"/>
    <cellStyle name="Heading 2 4" xfId="248"/>
    <cellStyle name="Heading 2 5" xfId="249"/>
    <cellStyle name="Heading 2 6" xfId="250"/>
    <cellStyle name="Heading 2 7" xfId="251"/>
    <cellStyle name="Heading 2 8" xfId="252"/>
    <cellStyle name="Heading 2 9" xfId="253"/>
    <cellStyle name="Heading 3 2" xfId="254"/>
    <cellStyle name="Heading 3 2 2" xfId="255"/>
    <cellStyle name="Heading 3 2 3" xfId="256"/>
    <cellStyle name="Heading 3 3" xfId="257"/>
    <cellStyle name="Heading 3 4" xfId="258"/>
    <cellStyle name="Heading 4 2" xfId="259"/>
    <cellStyle name="Heading 4 2 2" xfId="260"/>
    <cellStyle name="Heading 4 2 3" xfId="261"/>
    <cellStyle name="Heading 4 3" xfId="262"/>
    <cellStyle name="Heading 4 4" xfId="263"/>
    <cellStyle name="Hyperlink_OPA LDC CDM 2006 data - ama.xls" xfId="264"/>
    <cellStyle name="Input [yellow]" xfId="265"/>
    <cellStyle name="Input 2" xfId="266"/>
    <cellStyle name="Input 2 2" xfId="267"/>
    <cellStyle name="Input 2 3" xfId="268"/>
    <cellStyle name="Input 3" xfId="269"/>
    <cellStyle name="Input 4" xfId="270"/>
    <cellStyle name="Linked Cell 2" xfId="271"/>
    <cellStyle name="Linked Cell 2 2" xfId="272"/>
    <cellStyle name="Linked Cell 2 3" xfId="273"/>
    <cellStyle name="Linked Cell 3" xfId="274"/>
    <cellStyle name="Linked Cell 4" xfId="275"/>
    <cellStyle name="M" xfId="276"/>
    <cellStyle name="M.00" xfId="277"/>
    <cellStyle name="Neutral 2" xfId="278"/>
    <cellStyle name="Neutral 2 2" xfId="279"/>
    <cellStyle name="Neutral 2 3" xfId="280"/>
    <cellStyle name="Neutral 3" xfId="281"/>
    <cellStyle name="Neutral 4" xfId="282"/>
    <cellStyle name="Normal" xfId="0" builtinId="0"/>
    <cellStyle name="Normal - Style1" xfId="283"/>
    <cellStyle name="Normal 10" xfId="284"/>
    <cellStyle name="Normal 10 2" xfId="285"/>
    <cellStyle name="Normal 10 3" xfId="286"/>
    <cellStyle name="Normal 10 4" xfId="287"/>
    <cellStyle name="Normal 11" xfId="288"/>
    <cellStyle name="Normal 11 2" xfId="289"/>
    <cellStyle name="Normal 11 3" xfId="290"/>
    <cellStyle name="Normal 11 4" xfId="291"/>
    <cellStyle name="Normal 12" xfId="292"/>
    <cellStyle name="Normal 12 2" xfId="293"/>
    <cellStyle name="Normal 13" xfId="294"/>
    <cellStyle name="Normal 13 2" xfId="295"/>
    <cellStyle name="Normal 13 3" xfId="296"/>
    <cellStyle name="Normal 13 4" xfId="297"/>
    <cellStyle name="Normal 14" xfId="298"/>
    <cellStyle name="Normal 14 2" xfId="299"/>
    <cellStyle name="Normal 15" xfId="300"/>
    <cellStyle name="Normal 16" xfId="301"/>
    <cellStyle name="Normal 16 2" xfId="302"/>
    <cellStyle name="Normal 16 3" xfId="303"/>
    <cellStyle name="Normal 16 4" xfId="304"/>
    <cellStyle name="Normal 17" xfId="305"/>
    <cellStyle name="Normal 18" xfId="306"/>
    <cellStyle name="Normal 18 2" xfId="307"/>
    <cellStyle name="Normal 18 3" xfId="308"/>
    <cellStyle name="Normal 18 4" xfId="309"/>
    <cellStyle name="Normal 19" xfId="310"/>
    <cellStyle name="Normal 2" xfId="4"/>
    <cellStyle name="Normal 2 2" xfId="311"/>
    <cellStyle name="Normal 2 2 2" xfId="312"/>
    <cellStyle name="Normal 2 2 2 2" xfId="313"/>
    <cellStyle name="Normal 2 2 2 2 2" xfId="314"/>
    <cellStyle name="Normal 2 2 2 2 3" xfId="315"/>
    <cellStyle name="Normal 2 2 2 3" xfId="316"/>
    <cellStyle name="Normal 2 2 2 4" xfId="317"/>
    <cellStyle name="Normal 2 2 2 5" xfId="318"/>
    <cellStyle name="Normal 2 2 3" xfId="319"/>
    <cellStyle name="Normal 2 2 3 2" xfId="320"/>
    <cellStyle name="Normal 2 2 3 3" xfId="321"/>
    <cellStyle name="Normal 2 2 4" xfId="322"/>
    <cellStyle name="Normal 2 2 5" xfId="323"/>
    <cellStyle name="Normal 2 3" xfId="324"/>
    <cellStyle name="Normal 2 4" xfId="325"/>
    <cellStyle name="Normal 2 5" xfId="326"/>
    <cellStyle name="Normal 20" xfId="327"/>
    <cellStyle name="Normal 21" xfId="328"/>
    <cellStyle name="Normal 3" xfId="329"/>
    <cellStyle name="Normal 3 2" xfId="330"/>
    <cellStyle name="Normal 3 3" xfId="331"/>
    <cellStyle name="Normal 3 4" xfId="332"/>
    <cellStyle name="Normal 4" xfId="333"/>
    <cellStyle name="Normal 4 2" xfId="334"/>
    <cellStyle name="Normal 4 3" xfId="335"/>
    <cellStyle name="Normal 4 4" xfId="336"/>
    <cellStyle name="Normal 5" xfId="337"/>
    <cellStyle name="Normal 5 10" xfId="338"/>
    <cellStyle name="Normal 5 11" xfId="339"/>
    <cellStyle name="Normal 5 12" xfId="340"/>
    <cellStyle name="Normal 5 13" xfId="341"/>
    <cellStyle name="Normal 5 14" xfId="342"/>
    <cellStyle name="Normal 5 2" xfId="343"/>
    <cellStyle name="Normal 5 3" xfId="344"/>
    <cellStyle name="Normal 5 4" xfId="345"/>
    <cellStyle name="Normal 5 5" xfId="346"/>
    <cellStyle name="Normal 5 6" xfId="347"/>
    <cellStyle name="Normal 5 7" xfId="348"/>
    <cellStyle name="Normal 5 8" xfId="349"/>
    <cellStyle name="Normal 5 9" xfId="350"/>
    <cellStyle name="Normal 6" xfId="351"/>
    <cellStyle name="Normal 6 10" xfId="352"/>
    <cellStyle name="Normal 6 11" xfId="353"/>
    <cellStyle name="Normal 6 12" xfId="354"/>
    <cellStyle name="Normal 6 13" xfId="355"/>
    <cellStyle name="Normal 6 14" xfId="356"/>
    <cellStyle name="Normal 6 2" xfId="357"/>
    <cellStyle name="Normal 6 3" xfId="358"/>
    <cellStyle name="Normal 6 4" xfId="359"/>
    <cellStyle name="Normal 6 5" xfId="360"/>
    <cellStyle name="Normal 6 6" xfId="361"/>
    <cellStyle name="Normal 6 7" xfId="362"/>
    <cellStyle name="Normal 6 8" xfId="363"/>
    <cellStyle name="Normal 6 9" xfId="364"/>
    <cellStyle name="Normal 7" xfId="365"/>
    <cellStyle name="Normal 7 2" xfId="366"/>
    <cellStyle name="Normal 7 3" xfId="367"/>
    <cellStyle name="Normal 7 4" xfId="368"/>
    <cellStyle name="Normal 8" xfId="369"/>
    <cellStyle name="Normal 8 10" xfId="370"/>
    <cellStyle name="Normal 8 11" xfId="371"/>
    <cellStyle name="Normal 8 12" xfId="372"/>
    <cellStyle name="Normal 8 13" xfId="373"/>
    <cellStyle name="Normal 8 14" xfId="374"/>
    <cellStyle name="Normal 8 15" xfId="375"/>
    <cellStyle name="Normal 8 2" xfId="376"/>
    <cellStyle name="Normal 8 3" xfId="377"/>
    <cellStyle name="Normal 8 4" xfId="378"/>
    <cellStyle name="Normal 8 5" xfId="379"/>
    <cellStyle name="Normal 8 6" xfId="380"/>
    <cellStyle name="Normal 8 7" xfId="381"/>
    <cellStyle name="Normal 8 8" xfId="382"/>
    <cellStyle name="Normal 8 9" xfId="383"/>
    <cellStyle name="Normal 9" xfId="384"/>
    <cellStyle name="Normal 9 2" xfId="385"/>
    <cellStyle name="Normal 9 3" xfId="386"/>
    <cellStyle name="Normal 9 4" xfId="387"/>
    <cellStyle name="Normal_lists_1" xfId="432"/>
    <cellStyle name="Normal_PPE Deferral Account Schedule for 2013 MIFRS CoS applications (2)" xfId="5"/>
    <cellStyle name="Normal_Sheet4" xfId="431"/>
    <cellStyle name="Note 2" xfId="388"/>
    <cellStyle name="Output 2" xfId="389"/>
    <cellStyle name="Output 2 2" xfId="390"/>
    <cellStyle name="Output 2 3" xfId="391"/>
    <cellStyle name="Output 3" xfId="392"/>
    <cellStyle name="Output 4" xfId="393"/>
    <cellStyle name="Percent" xfId="3" builtinId="5"/>
    <cellStyle name="Percent [2]" xfId="394"/>
    <cellStyle name="Percent 10" xfId="395"/>
    <cellStyle name="Percent 11" xfId="396"/>
    <cellStyle name="Percent 12" xfId="397"/>
    <cellStyle name="Percent 2" xfId="398"/>
    <cellStyle name="Percent 2 2" xfId="399"/>
    <cellStyle name="Percent 2 3" xfId="400"/>
    <cellStyle name="Percent 2 4" xfId="401"/>
    <cellStyle name="Percent 3" xfId="402"/>
    <cellStyle name="Percent 3 2" xfId="403"/>
    <cellStyle name="Percent 3 2 2" xfId="404"/>
    <cellStyle name="Percent 3 3" xfId="405"/>
    <cellStyle name="Percent 4" xfId="406"/>
    <cellStyle name="Percent 5" xfId="407"/>
    <cellStyle name="Percent 6" xfId="408"/>
    <cellStyle name="Percent 7" xfId="409"/>
    <cellStyle name="Percent 8" xfId="410"/>
    <cellStyle name="Percent 9" xfId="411"/>
    <cellStyle name="Title 2" xfId="412"/>
    <cellStyle name="Total 10" xfId="413"/>
    <cellStyle name="Total 11" xfId="414"/>
    <cellStyle name="Total 12" xfId="415"/>
    <cellStyle name="Total 2" xfId="416"/>
    <cellStyle name="Total 2 2" xfId="417"/>
    <cellStyle name="Total 2 3" xfId="418"/>
    <cellStyle name="Total 3" xfId="419"/>
    <cellStyle name="Total 4" xfId="420"/>
    <cellStyle name="Total 5" xfId="421"/>
    <cellStyle name="Total 6" xfId="422"/>
    <cellStyle name="Total 7" xfId="423"/>
    <cellStyle name="Total 8" xfId="424"/>
    <cellStyle name="Total 9" xfId="425"/>
    <cellStyle name="Warning Text 2" xfId="426"/>
    <cellStyle name="Warning Text 2 2" xfId="427"/>
    <cellStyle name="Warning Text 2 3" xfId="428"/>
    <cellStyle name="Warning Text 3" xfId="429"/>
    <cellStyle name="Warning Text 4" xfId="4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graham\Local%20Settings\Temporary%20Internet%20Files\Content.Outlook\5D3WS3WF\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ATE%20APPLICATIONS/2010%20EDR_COST%20OF%20SERVICE/HCHI%20-%20Rate%20Application%20Files/Excel%20Models/Revenue%20Requirement%20Model%20-%202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E%20APPLICATIONS/2014%20EDR_Cost%20of%20Service/LRAM/HCH%20LRAMVA%20calcs%20v2%2001_Updated%20CarryingChar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graham\AppData\Local\Microsoft\Windows\Temporary%20Internet%20Files\Content.Outlook\O7CEWWL9\HCH%20LRAMVA%20calcs%20v1.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ATE%20APPLICATIONS/2014%20EDR_Cost%20of%20Service/FINAL%20Models/Haldimand_2014_Filing_Requirements_Chapter2_Appendices_2013111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aldimand_2014_Filing_Requirements_Chapter2_Appendices_2014030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spen\shared\Operations\RSA\18Mn\2006\Q3\Resource%20Assessments\Landc\OUT\2006Q3%20NLCM%20Combined%20Normal%20Weath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November%201,%202013/Haldimand_Filing_Requirements_Chapter2_Appendices_for%202014_201308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FA Continuity 2010"/>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Return on Capital"/>
      <sheetName val="Debt &amp; Capital Structure"/>
      <sheetName val="Tax rates"/>
      <sheetName val="CCA Continuity 2009"/>
      <sheetName val="CCA Continuity 2010"/>
      <sheetName val="Reserves Continuity"/>
      <sheetName val="Corporation Loss Continuity"/>
      <sheetName val="Tax Adjustments 2009"/>
      <sheetName val="Tax Adjustments 2010"/>
      <sheetName val="2010 Rev Deficiency"/>
      <sheetName val="Capital Tax &amp; Expense Schedules"/>
      <sheetName val="Revenue Requirement"/>
      <sheetName val="Revenue Requirement 2009"/>
      <sheetName val="Revenue Requirement 2008"/>
      <sheetName val="Revenue Requirement 2007"/>
      <sheetName val="Revenue Requirement 2006"/>
      <sheetName val="Revenue Requirement Model - 201"/>
    </sheetNames>
    <sheetDataSet>
      <sheetData sheetId="0"/>
      <sheetData sheetId="1">
        <row r="10">
          <cell r="B10">
            <v>1805</v>
          </cell>
        </row>
      </sheetData>
      <sheetData sheetId="2">
        <row r="10">
          <cell r="G10">
            <v>0</v>
          </cell>
        </row>
      </sheetData>
      <sheetData sheetId="3">
        <row r="10">
          <cell r="G10">
            <v>0</v>
          </cell>
        </row>
      </sheetData>
      <sheetData sheetId="4">
        <row r="10">
          <cell r="G10">
            <v>0</v>
          </cell>
        </row>
      </sheetData>
      <sheetData sheetId="5">
        <row r="10">
          <cell r="G10">
            <v>0</v>
          </cell>
        </row>
      </sheetData>
      <sheetData sheetId="6"/>
      <sheetData sheetId="7"/>
      <sheetData sheetId="8"/>
      <sheetData sheetId="9"/>
      <sheetData sheetId="10"/>
      <sheetData sheetId="11"/>
      <sheetData sheetId="12"/>
      <sheetData sheetId="13"/>
      <sheetData sheetId="14"/>
      <sheetData sheetId="15"/>
      <sheetData sheetId="16"/>
      <sheetData sheetId="17">
        <row r="10">
          <cell r="AG10">
            <v>0.4</v>
          </cell>
        </row>
      </sheetData>
      <sheetData sheetId="18"/>
      <sheetData sheetId="19"/>
      <sheetData sheetId="20"/>
      <sheetData sheetId="21"/>
      <sheetData sheetId="22"/>
      <sheetData sheetId="23"/>
      <sheetData sheetId="24"/>
      <sheetData sheetId="25"/>
      <sheetData sheetId="26">
        <row r="8">
          <cell r="C8">
            <v>11238700</v>
          </cell>
        </row>
      </sheetData>
      <sheetData sheetId="27"/>
      <sheetData sheetId="28">
        <row r="1">
          <cell r="A1" t="str">
            <v>HALDIMAND COUNTY HYDRO INC.</v>
          </cell>
        </row>
        <row r="10">
          <cell r="B10" t="str">
            <v>Service Revenue Requirement</v>
          </cell>
        </row>
      </sheetData>
      <sheetData sheetId="29"/>
      <sheetData sheetId="30"/>
      <sheetData sheetId="31"/>
      <sheetData sheetId="32"/>
      <sheetData sheetId="3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Table 3B"/>
      <sheetName val="2012 OPA final results"/>
      <sheetName val="Adjustments"/>
      <sheetName val="ERII_Queue"/>
      <sheetName val="2012 estimate"/>
      <sheetName val="2012LostRev"/>
      <sheetName val="2013 Table 3B"/>
      <sheetName val="2013 OPA final results"/>
      <sheetName val="2013 estimate"/>
      <sheetName val="2013LostRev"/>
      <sheetName val="2014 Table 3B"/>
      <sheetName val="2014 OPA final results"/>
      <sheetName val="2014 estimate"/>
      <sheetName val="2014LostRev"/>
      <sheetName val="EstCurrentYear"/>
      <sheetName val="References"/>
    </sheetNames>
    <sheetDataSet>
      <sheetData sheetId="0" refreshError="1"/>
      <sheetData sheetId="1" refreshError="1"/>
      <sheetData sheetId="2" refreshError="1"/>
      <sheetData sheetId="3" refreshError="1"/>
      <sheetData sheetId="4"/>
      <sheetData sheetId="5" refreshError="1"/>
      <sheetData sheetId="6" refreshError="1"/>
      <sheetData sheetId="7">
        <row r="4">
          <cell r="B4">
            <v>2011</v>
          </cell>
        </row>
      </sheetData>
      <sheetData sheetId="8" refreshError="1"/>
      <sheetData sheetId="9" refreshError="1"/>
      <sheetData sheetId="10" refreshError="1"/>
      <sheetData sheetId="11" refreshError="1"/>
      <sheetData sheetId="12" refreshError="1"/>
      <sheetData sheetId="13" refreshError="1"/>
      <sheetData sheetId="14">
        <row r="86">
          <cell r="O86" t="str">
            <v>yes</v>
          </cell>
          <cell r="P86" t="str">
            <v>2012 OPA final results</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Table 3B"/>
      <sheetName val="2012 OPA final results"/>
      <sheetName val="ERII_Queue"/>
      <sheetName val="2012 estimate"/>
      <sheetName val="2012LostRev"/>
      <sheetName val="2013 Table 3B"/>
      <sheetName val="2013 OPA final results"/>
      <sheetName val="2013 estimate"/>
      <sheetName val="2013LostRev"/>
      <sheetName val="2014 Table 3B"/>
      <sheetName val="2014 OPA final results"/>
      <sheetName val="2014 estimate"/>
      <sheetName val="2014LostRev"/>
      <sheetName val="EstCurrentYear"/>
      <sheetName val="References"/>
    </sheetNames>
    <sheetDataSet>
      <sheetData sheetId="0"/>
      <sheetData sheetId="1"/>
      <sheetData sheetId="2"/>
      <sheetData sheetId="3"/>
      <sheetData sheetId="4">
        <row r="4">
          <cell r="A4">
            <v>1</v>
          </cell>
          <cell r="B4" t="str">
            <v>Residential</v>
          </cell>
          <cell r="C4" t="str">
            <v>kWh</v>
          </cell>
          <cell r="D4">
            <v>3.1866666666666661E-2</v>
          </cell>
          <cell r="E4">
            <v>2.9366666666666666E-2</v>
          </cell>
          <cell r="F4">
            <v>2.6966666666666667E-2</v>
          </cell>
          <cell r="G4">
            <v>2.6199999999999998E-2</v>
          </cell>
        </row>
        <row r="5">
          <cell r="A5">
            <v>2</v>
          </cell>
          <cell r="B5" t="str">
            <v>GS &lt; 50 kW</v>
          </cell>
          <cell r="C5" t="str">
            <v>kWh</v>
          </cell>
          <cell r="D5">
            <v>2.0199999999999999E-2</v>
          </cell>
          <cell r="E5">
            <v>2.0133333333333333E-2</v>
          </cell>
          <cell r="F5">
            <v>2.0233333333333336E-2</v>
          </cell>
          <cell r="G5">
            <v>2.0300000000000002E-2</v>
          </cell>
        </row>
        <row r="6">
          <cell r="A6">
            <v>3</v>
          </cell>
          <cell r="B6" t="str">
            <v>GS 50 to 4999 kW</v>
          </cell>
          <cell r="C6" t="str">
            <v>kW</v>
          </cell>
          <cell r="D6">
            <v>4.9461666666666666</v>
          </cell>
          <cell r="E6">
            <v>4.7639333333333331</v>
          </cell>
          <cell r="F6">
            <v>4.7890333333333333</v>
          </cell>
          <cell r="G6">
            <v>4.8014999999999999</v>
          </cell>
        </row>
        <row r="7">
          <cell r="A7">
            <v>4</v>
          </cell>
          <cell r="B7" t="str">
            <v>Unmetered Scattered Load</v>
          </cell>
          <cell r="C7" t="str">
            <v>kWh</v>
          </cell>
          <cell r="D7">
            <v>2.6999999999999997E-3</v>
          </cell>
          <cell r="E7">
            <v>2.4333333333333334E-3</v>
          </cell>
          <cell r="F7">
            <v>2.4333333333333334E-3</v>
          </cell>
          <cell r="G7">
            <v>2.5000000000000001E-3</v>
          </cell>
        </row>
        <row r="8">
          <cell r="A8">
            <v>5</v>
          </cell>
          <cell r="B8" t="str">
            <v>Sentinel Lighting</v>
          </cell>
          <cell r="C8" t="str">
            <v>$/kW</v>
          </cell>
          <cell r="D8">
            <v>28.363699999999998</v>
          </cell>
          <cell r="E8">
            <v>32.701833333333333</v>
          </cell>
          <cell r="F8">
            <v>32.816633333333336</v>
          </cell>
          <cell r="G8">
            <v>32.9681</v>
          </cell>
        </row>
        <row r="9">
          <cell r="A9">
            <v>6</v>
          </cell>
          <cell r="B9" t="str">
            <v>Street Lighting</v>
          </cell>
          <cell r="C9" t="str">
            <v>kW</v>
          </cell>
          <cell r="D9">
            <v>13.516833333333333</v>
          </cell>
          <cell r="E9">
            <v>15.221299999999999</v>
          </cell>
          <cell r="F9">
            <v>15.277933333333332</v>
          </cell>
          <cell r="G9">
            <v>15.344799999999999</v>
          </cell>
        </row>
        <row r="10">
          <cell r="A10">
            <v>7</v>
          </cell>
          <cell r="B10" t="str">
            <v>Microfit generator</v>
          </cell>
          <cell r="C10" t="str">
            <v>kW</v>
          </cell>
        </row>
        <row r="11">
          <cell r="A11">
            <v>8</v>
          </cell>
          <cell r="B11" t="str">
            <v>Embedded distributor</v>
          </cell>
          <cell r="C11" t="str">
            <v>kW</v>
          </cell>
          <cell r="D11">
            <v>0.56006666666666671</v>
          </cell>
          <cell r="E11">
            <v>0.56366666666666665</v>
          </cell>
          <cell r="F11">
            <v>0.56709999999999994</v>
          </cell>
          <cell r="G11">
            <v>0.56799999999999995</v>
          </cell>
        </row>
        <row r="12">
          <cell r="A12">
            <v>9</v>
          </cell>
          <cell r="B12" t="str">
            <v>"--Unused -- hide</v>
          </cell>
          <cell r="C12" t="str">
            <v>NA</v>
          </cell>
          <cell r="D12">
            <v>0</v>
          </cell>
          <cell r="E12">
            <v>0</v>
          </cell>
          <cell r="F12">
            <v>0</v>
          </cell>
          <cell r="G12">
            <v>0</v>
          </cell>
        </row>
        <row r="13">
          <cell r="A13">
            <v>10</v>
          </cell>
          <cell r="B13" t="str">
            <v>"--Unused -- hide</v>
          </cell>
          <cell r="C13" t="str">
            <v>NA</v>
          </cell>
          <cell r="D13">
            <v>0</v>
          </cell>
          <cell r="E13">
            <v>0</v>
          </cell>
          <cell r="F13">
            <v>0</v>
          </cell>
          <cell r="G13">
            <v>0</v>
          </cell>
        </row>
      </sheetData>
      <sheetData sheetId="5"/>
      <sheetData sheetId="6"/>
      <sheetData sheetId="7"/>
      <sheetData sheetId="8"/>
      <sheetData sheetId="9"/>
      <sheetData sheetId="10"/>
      <sheetData sheetId="11"/>
      <sheetData sheetId="12"/>
      <sheetData sheetId="13">
        <row r="84">
          <cell r="O84" t="str">
            <v>no</v>
          </cell>
        </row>
      </sheetData>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EB-2013-0134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4">
          <cell r="E14" t="str">
            <v>Haldimand County Hydro Inc.</v>
          </cell>
        </row>
        <row r="16">
          <cell r="E16" t="str">
            <v>EB-2013-0134</v>
          </cell>
        </row>
        <row r="24">
          <cell r="E24">
            <v>2014</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6">
          <cell r="O16">
            <v>663</v>
          </cell>
        </row>
        <row r="17">
          <cell r="O17">
            <v>8032.7714285714283</v>
          </cell>
        </row>
        <row r="18">
          <cell r="O18">
            <v>303506.12097560975</v>
          </cell>
        </row>
        <row r="19">
          <cell r="O19">
            <v>830.39583333333337</v>
          </cell>
        </row>
        <row r="20">
          <cell r="O20">
            <v>221381.74465116276</v>
          </cell>
        </row>
        <row r="21">
          <cell r="O21">
            <v>7204.878787878788</v>
          </cell>
        </row>
        <row r="22">
          <cell r="O22">
            <v>8504.677419354839</v>
          </cell>
        </row>
        <row r="23">
          <cell r="O23">
            <v>38344.968571428573</v>
          </cell>
        </row>
        <row r="24">
          <cell r="O24">
            <v>172065.09824561403</v>
          </cell>
        </row>
        <row r="25">
          <cell r="O25">
            <v>52768.192307692312</v>
          </cell>
        </row>
        <row r="26">
          <cell r="O26">
            <v>2965.5333333333333</v>
          </cell>
        </row>
        <row r="27">
          <cell r="O27">
            <v>200303.91810344829</v>
          </cell>
        </row>
        <row r="28">
          <cell r="O28">
            <v>56882.373529411765</v>
          </cell>
        </row>
        <row r="29">
          <cell r="O29">
            <v>6558.1176470588234</v>
          </cell>
        </row>
        <row r="30">
          <cell r="O30">
            <v>0</v>
          </cell>
        </row>
        <row r="31">
          <cell r="O31">
            <v>14928.603921568627</v>
          </cell>
        </row>
        <row r="32">
          <cell r="O32">
            <v>51705.842857142859</v>
          </cell>
        </row>
        <row r="33">
          <cell r="O33">
            <v>7592.375</v>
          </cell>
        </row>
        <row r="34">
          <cell r="O34">
            <v>198476.13333333333</v>
          </cell>
        </row>
        <row r="35">
          <cell r="O35">
            <v>251164</v>
          </cell>
        </row>
        <row r="37">
          <cell r="O37">
            <v>0</v>
          </cell>
        </row>
        <row r="38">
          <cell r="O38">
            <v>0</v>
          </cell>
        </row>
        <row r="39">
          <cell r="O39">
            <v>20737.952380952382</v>
          </cell>
        </row>
        <row r="40">
          <cell r="O40">
            <v>52233.545454545456</v>
          </cell>
        </row>
        <row r="41">
          <cell r="O41">
            <v>22074.2</v>
          </cell>
        </row>
        <row r="42">
          <cell r="O42">
            <v>65376.666666666657</v>
          </cell>
        </row>
        <row r="43">
          <cell r="O43">
            <v>326786.7</v>
          </cell>
        </row>
        <row r="44">
          <cell r="O44">
            <v>113759.83333333333</v>
          </cell>
        </row>
        <row r="45">
          <cell r="O45">
            <v>50013.958333333336</v>
          </cell>
        </row>
        <row r="46">
          <cell r="O46">
            <v>2042.875</v>
          </cell>
        </row>
        <row r="47">
          <cell r="O47">
            <v>60974.6</v>
          </cell>
        </row>
        <row r="48">
          <cell r="O48">
            <v>3377.3333333333335</v>
          </cell>
        </row>
        <row r="49">
          <cell r="O49">
            <v>-16711.426315789475</v>
          </cell>
        </row>
        <row r="50">
          <cell r="O50">
            <v>-3925.8222222222221</v>
          </cell>
        </row>
        <row r="51">
          <cell r="O51">
            <v>-171.75555555555556</v>
          </cell>
        </row>
        <row r="52">
          <cell r="O52">
            <v>-172.68088235294118</v>
          </cell>
        </row>
        <row r="53">
          <cell r="O53">
            <v>-7013.6526829268287</v>
          </cell>
        </row>
        <row r="54">
          <cell r="O54">
            <v>-37135.250724637677</v>
          </cell>
        </row>
        <row r="55">
          <cell r="O55">
            <v>-23681.851315789474</v>
          </cell>
        </row>
        <row r="56">
          <cell r="O56">
            <v>-16678.349999999999</v>
          </cell>
        </row>
        <row r="57">
          <cell r="O57">
            <v>-8701.25</v>
          </cell>
        </row>
        <row r="58">
          <cell r="O58">
            <v>-522.12272727272727</v>
          </cell>
        </row>
        <row r="59">
          <cell r="O59">
            <v>-2082.6836477987422</v>
          </cell>
        </row>
        <row r="60">
          <cell r="O60">
            <v>-3601.1849056603774</v>
          </cell>
        </row>
        <row r="61">
          <cell r="O61">
            <v>-8430.8125</v>
          </cell>
        </row>
        <row r="62">
          <cell r="O62">
            <v>-2988.3083333333334</v>
          </cell>
        </row>
        <row r="63">
          <cell r="O63">
            <v>-10320.85</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Links"/>
      <sheetName val="Summary"/>
      <sheetName val="Summary-results"/>
      <sheetName val="Summary2"/>
      <sheetName val="Final Summary Table Contents"/>
      <sheetName val="2 ERS(NW+EW)"/>
      <sheetName val="3 PRS (NW+EW)"/>
      <sheetName val="4 PRS-ERS"/>
      <sheetName val="5 Previous ERS"/>
      <sheetName val="6 Previous PRS"/>
      <sheetName val="7 Present-Previous ERS"/>
      <sheetName val="8 Present-Previous PRS"/>
      <sheetName val="9 PRS Extreme"/>
      <sheetName val="Report Figures Contents"/>
      <sheetName val="Fig A Exec Sum RAR ERS PRS"/>
      <sheetName val="Hydro Fcsts-Mar15"/>
      <sheetName val="Fig 3.1 Demand Range"/>
      <sheetName val="Fig Total Reductions"/>
      <sheetName val="Fig Available Required ERS"/>
      <sheetName val="Fig Available Required PRS"/>
      <sheetName val="Fig RAR ERS PRS"/>
      <sheetName val="Fig RAR ERS Prev ERS"/>
      <sheetName val="Fig 2.2 Compare Hydro Fcsts"/>
      <sheetName val="Fig 4.1 PRS-NormVsExtreme"/>
      <sheetName val="Fig 4.2 ERS-NormVsExtreme"/>
      <sheetName val="Fig 4.3 RAR PRS Prev PRS"/>
      <sheetName val="Report Tables Contents"/>
      <sheetName val="Table 4.1 Existing Installed"/>
      <sheetName val="Table 4.2 Potential Projects"/>
      <sheetName val="231"/>
      <sheetName val="Table 4.4 Avail Resources"/>
      <sheetName val="Table A1"/>
      <sheetName val="Table A1 (continued)"/>
      <sheetName val="Table A2"/>
      <sheetName val="Table A2 (Continued)"/>
      <sheetName val="Table A3"/>
      <sheetName val="Table A3 (continued)"/>
      <sheetName val="Table A3 Final"/>
      <sheetName val="TableA3"/>
      <sheetName val="Supplemental Figure Contents"/>
      <sheetName val="Extra Tables Contents"/>
      <sheetName val="Differences Summary"/>
      <sheetName val="LCSUM PRS Pres-Prev"/>
      <sheetName val="The End"/>
      <sheetName val="TableA4"/>
    </sheetNames>
    <sheetDataSet>
      <sheetData sheetId="0"/>
      <sheetData sheetId="1"/>
      <sheetData sheetId="2">
        <row r="8">
          <cell r="B8">
            <v>2006</v>
          </cell>
        </row>
        <row r="9">
          <cell r="B9" t="str">
            <v>Q3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C4">
            <v>24677</v>
          </cell>
        </row>
        <row r="5">
          <cell r="C5">
            <v>25615</v>
          </cell>
        </row>
        <row r="6">
          <cell r="C6">
            <v>24910</v>
          </cell>
        </row>
        <row r="13">
          <cell r="B13" t="str">
            <v>ERS Primary Demand</v>
          </cell>
          <cell r="C13" t="str">
            <v>ERS Installed Resources (MW)</v>
          </cell>
          <cell r="D13" t="str">
            <v>ERS Total Reduction in Resources (MW)</v>
          </cell>
          <cell r="E13" t="str">
            <v>ERS Available Resources (MW)</v>
          </cell>
          <cell r="F13" t="str">
            <v>Seasonal Peak Demand</v>
          </cell>
          <cell r="G13" t="str">
            <v>PRS Week Ending</v>
          </cell>
          <cell r="H13" t="str">
            <v>PRS Primary Demand</v>
          </cell>
          <cell r="I13" t="str">
            <v>PRS Installed Resources (MW)</v>
          </cell>
          <cell r="J13" t="str">
            <v>PRS Total Reduction in Resources (MW)</v>
          </cell>
          <cell r="K13" t="str">
            <v>PRS Available Resources (MW)</v>
          </cell>
          <cell r="L13" t="str">
            <v>ERS Week Ending</v>
          </cell>
          <cell r="M13" t="str">
            <v>ERS Price-responsive Demand (MW)</v>
          </cell>
          <cell r="N13" t="str">
            <v>PRS Week Ending</v>
          </cell>
          <cell r="O13" t="str">
            <v>PRS Price-responsive Demand (MW)</v>
          </cell>
          <cell r="P13" t="str">
            <v>ERS Imports</v>
          </cell>
          <cell r="Q13" t="str">
            <v>PRS Imports</v>
          </cell>
        </row>
        <row r="14">
          <cell r="B14">
            <v>20077</v>
          </cell>
          <cell r="C14">
            <v>31094</v>
          </cell>
          <cell r="D14">
            <v>6769</v>
          </cell>
          <cell r="E14">
            <v>24662.824408945686</v>
          </cell>
          <cell r="F14">
            <v>0</v>
          </cell>
          <cell r="G14">
            <v>38991</v>
          </cell>
          <cell r="H14">
            <v>20077</v>
          </cell>
          <cell r="I14">
            <v>31094</v>
          </cell>
          <cell r="J14">
            <v>6769</v>
          </cell>
          <cell r="K14">
            <v>24680.17840255591</v>
          </cell>
          <cell r="L14">
            <v>38991</v>
          </cell>
          <cell r="M14">
            <v>337.8244089456868</v>
          </cell>
          <cell r="N14">
            <v>38991</v>
          </cell>
          <cell r="O14">
            <v>355.17840255591045</v>
          </cell>
          <cell r="P14">
            <v>0</v>
          </cell>
          <cell r="Q14">
            <v>0</v>
          </cell>
        </row>
        <row r="15">
          <cell r="B15">
            <v>20045</v>
          </cell>
          <cell r="C15">
            <v>31094</v>
          </cell>
          <cell r="D15">
            <v>5187</v>
          </cell>
          <cell r="E15">
            <v>26244.824408945686</v>
          </cell>
          <cell r="F15">
            <v>0</v>
          </cell>
          <cell r="G15">
            <v>38998</v>
          </cell>
          <cell r="H15">
            <v>20045</v>
          </cell>
          <cell r="I15">
            <v>31094</v>
          </cell>
          <cell r="J15">
            <v>5187</v>
          </cell>
          <cell r="K15">
            <v>26262.17840255591</v>
          </cell>
          <cell r="L15">
            <v>38998</v>
          </cell>
          <cell r="M15">
            <v>337.8244089456868</v>
          </cell>
          <cell r="N15">
            <v>38998</v>
          </cell>
          <cell r="O15">
            <v>355.17840255591045</v>
          </cell>
          <cell r="P15">
            <v>0</v>
          </cell>
          <cell r="Q15">
            <v>0</v>
          </cell>
        </row>
        <row r="16">
          <cell r="B16">
            <v>20200</v>
          </cell>
          <cell r="C16">
            <v>31094</v>
          </cell>
          <cell r="D16">
            <v>6263</v>
          </cell>
          <cell r="E16">
            <v>25168.824408945686</v>
          </cell>
          <cell r="F16">
            <v>0</v>
          </cell>
          <cell r="G16">
            <v>39005</v>
          </cell>
          <cell r="H16">
            <v>20200</v>
          </cell>
          <cell r="I16">
            <v>31094</v>
          </cell>
          <cell r="J16">
            <v>6263</v>
          </cell>
          <cell r="K16">
            <v>25186.17840255591</v>
          </cell>
          <cell r="L16">
            <v>39005</v>
          </cell>
          <cell r="M16">
            <v>337.8244089456868</v>
          </cell>
          <cell r="N16">
            <v>39005</v>
          </cell>
          <cell r="O16">
            <v>355.17840255591045</v>
          </cell>
          <cell r="P16">
            <v>0</v>
          </cell>
          <cell r="Q16">
            <v>0</v>
          </cell>
        </row>
        <row r="17">
          <cell r="B17">
            <v>20672</v>
          </cell>
          <cell r="C17">
            <v>31094</v>
          </cell>
          <cell r="D17">
            <v>5768</v>
          </cell>
          <cell r="E17">
            <v>25663.824408945686</v>
          </cell>
          <cell r="F17">
            <v>0</v>
          </cell>
          <cell r="G17">
            <v>39012</v>
          </cell>
          <cell r="H17">
            <v>20672</v>
          </cell>
          <cell r="I17">
            <v>31094</v>
          </cell>
          <cell r="J17">
            <v>5768</v>
          </cell>
          <cell r="K17">
            <v>25681.17840255591</v>
          </cell>
          <cell r="L17">
            <v>39012</v>
          </cell>
          <cell r="M17">
            <v>337.8244089456868</v>
          </cell>
          <cell r="N17">
            <v>39012</v>
          </cell>
          <cell r="O17">
            <v>355.17840255591045</v>
          </cell>
          <cell r="P17">
            <v>0</v>
          </cell>
          <cell r="Q17">
            <v>0</v>
          </cell>
        </row>
        <row r="18">
          <cell r="B18">
            <v>20992</v>
          </cell>
          <cell r="C18">
            <v>31094</v>
          </cell>
          <cell r="D18">
            <v>7187</v>
          </cell>
          <cell r="E18">
            <v>24244.824408945686</v>
          </cell>
          <cell r="F18">
            <v>0</v>
          </cell>
          <cell r="G18">
            <v>39019</v>
          </cell>
          <cell r="H18">
            <v>20992</v>
          </cell>
          <cell r="I18">
            <v>31094</v>
          </cell>
          <cell r="J18">
            <v>7187</v>
          </cell>
          <cell r="K18">
            <v>24262.17840255591</v>
          </cell>
          <cell r="L18">
            <v>39019</v>
          </cell>
          <cell r="M18">
            <v>337.8244089456868</v>
          </cell>
          <cell r="N18">
            <v>39019</v>
          </cell>
          <cell r="O18">
            <v>355.17840255591045</v>
          </cell>
          <cell r="P18">
            <v>0</v>
          </cell>
          <cell r="Q18">
            <v>0</v>
          </cell>
        </row>
        <row r="19">
          <cell r="B19">
            <v>21655</v>
          </cell>
          <cell r="C19">
            <v>31099</v>
          </cell>
          <cell r="D19">
            <v>7834</v>
          </cell>
          <cell r="E19">
            <v>23602.824408945686</v>
          </cell>
          <cell r="F19">
            <v>0</v>
          </cell>
          <cell r="G19">
            <v>39026</v>
          </cell>
          <cell r="H19">
            <v>21655</v>
          </cell>
          <cell r="I19">
            <v>31189</v>
          </cell>
          <cell r="J19">
            <v>7924</v>
          </cell>
          <cell r="K19">
            <v>23678.025047923322</v>
          </cell>
          <cell r="L19">
            <v>39026</v>
          </cell>
          <cell r="M19">
            <v>337.8244089456868</v>
          </cell>
          <cell r="N19">
            <v>39026</v>
          </cell>
          <cell r="O19">
            <v>413.02504792332257</v>
          </cell>
          <cell r="P19">
            <v>0</v>
          </cell>
          <cell r="Q19">
            <v>0</v>
          </cell>
        </row>
        <row r="20">
          <cell r="B20">
            <v>21913</v>
          </cell>
          <cell r="C20">
            <v>31099</v>
          </cell>
          <cell r="D20">
            <v>6689</v>
          </cell>
          <cell r="E20">
            <v>24747.824408945686</v>
          </cell>
          <cell r="F20">
            <v>0</v>
          </cell>
          <cell r="G20">
            <v>39033</v>
          </cell>
          <cell r="H20">
            <v>21913</v>
          </cell>
          <cell r="I20">
            <v>31189</v>
          </cell>
          <cell r="J20">
            <v>6770</v>
          </cell>
          <cell r="K20">
            <v>24832.025047923322</v>
          </cell>
          <cell r="L20">
            <v>39033</v>
          </cell>
          <cell r="M20">
            <v>337.8244089456868</v>
          </cell>
          <cell r="N20">
            <v>39033</v>
          </cell>
          <cell r="O20">
            <v>413.02504792332257</v>
          </cell>
          <cell r="P20">
            <v>0</v>
          </cell>
          <cell r="Q20">
            <v>0</v>
          </cell>
        </row>
        <row r="21">
          <cell r="B21">
            <v>22622</v>
          </cell>
          <cell r="C21">
            <v>31099</v>
          </cell>
          <cell r="D21">
            <v>5384</v>
          </cell>
          <cell r="E21">
            <v>26052.824408945686</v>
          </cell>
          <cell r="F21">
            <v>0</v>
          </cell>
          <cell r="G21">
            <v>39040</v>
          </cell>
          <cell r="H21">
            <v>22622</v>
          </cell>
          <cell r="I21">
            <v>31189</v>
          </cell>
          <cell r="J21">
            <v>5465</v>
          </cell>
          <cell r="K21">
            <v>26137.025047923322</v>
          </cell>
          <cell r="L21">
            <v>39040</v>
          </cell>
          <cell r="M21">
            <v>337.8244089456868</v>
          </cell>
          <cell r="N21">
            <v>39040</v>
          </cell>
          <cell r="O21">
            <v>413.02504792332257</v>
          </cell>
          <cell r="P21">
            <v>0</v>
          </cell>
          <cell r="Q21">
            <v>0</v>
          </cell>
        </row>
        <row r="22">
          <cell r="B22">
            <v>23081</v>
          </cell>
          <cell r="C22">
            <v>31099</v>
          </cell>
          <cell r="D22">
            <v>6339</v>
          </cell>
          <cell r="E22">
            <v>25097.824408945686</v>
          </cell>
          <cell r="F22">
            <v>0</v>
          </cell>
          <cell r="G22">
            <v>39047</v>
          </cell>
          <cell r="H22">
            <v>23081</v>
          </cell>
          <cell r="I22">
            <v>31189</v>
          </cell>
          <cell r="J22">
            <v>6420</v>
          </cell>
          <cell r="K22">
            <v>25182.025047923322</v>
          </cell>
          <cell r="L22">
            <v>39047</v>
          </cell>
          <cell r="M22">
            <v>337.8244089456868</v>
          </cell>
          <cell r="N22">
            <v>39047</v>
          </cell>
          <cell r="O22">
            <v>413.02504792332257</v>
          </cell>
          <cell r="P22">
            <v>0</v>
          </cell>
          <cell r="Q22">
            <v>0</v>
          </cell>
        </row>
        <row r="23">
          <cell r="B23">
            <v>23072</v>
          </cell>
          <cell r="C23">
            <v>31099</v>
          </cell>
          <cell r="D23">
            <v>5179</v>
          </cell>
          <cell r="E23">
            <v>26257.824408945686</v>
          </cell>
          <cell r="F23">
            <v>0</v>
          </cell>
          <cell r="G23">
            <v>39054</v>
          </cell>
          <cell r="H23">
            <v>23072</v>
          </cell>
          <cell r="I23">
            <v>31189</v>
          </cell>
          <cell r="J23">
            <v>5260</v>
          </cell>
          <cell r="K23">
            <v>26356.486709265177</v>
          </cell>
          <cell r="L23">
            <v>39054</v>
          </cell>
          <cell r="M23">
            <v>337.8244089456868</v>
          </cell>
          <cell r="N23">
            <v>39054</v>
          </cell>
          <cell r="O23">
            <v>427.48670926517559</v>
          </cell>
          <cell r="P23">
            <v>0</v>
          </cell>
          <cell r="Q23">
            <v>0</v>
          </cell>
        </row>
        <row r="24">
          <cell r="B24">
            <v>23790</v>
          </cell>
          <cell r="C24">
            <v>31099</v>
          </cell>
          <cell r="D24">
            <v>5054</v>
          </cell>
          <cell r="E24">
            <v>26382.824408945686</v>
          </cell>
          <cell r="F24">
            <v>0</v>
          </cell>
          <cell r="G24">
            <v>39061</v>
          </cell>
          <cell r="H24">
            <v>23790</v>
          </cell>
          <cell r="I24">
            <v>31189</v>
          </cell>
          <cell r="J24">
            <v>5135</v>
          </cell>
          <cell r="K24">
            <v>26481.486709265177</v>
          </cell>
          <cell r="L24">
            <v>39061</v>
          </cell>
          <cell r="M24">
            <v>337.8244089456868</v>
          </cell>
          <cell r="N24">
            <v>39061</v>
          </cell>
          <cell r="O24">
            <v>427.48670926517559</v>
          </cell>
          <cell r="P24">
            <v>0</v>
          </cell>
          <cell r="Q24">
            <v>0</v>
          </cell>
        </row>
        <row r="25">
          <cell r="B25">
            <v>23856</v>
          </cell>
          <cell r="C25">
            <v>31099</v>
          </cell>
          <cell r="D25">
            <v>2644</v>
          </cell>
          <cell r="E25">
            <v>28792.824408945686</v>
          </cell>
          <cell r="F25">
            <v>0</v>
          </cell>
          <cell r="G25">
            <v>39068</v>
          </cell>
          <cell r="H25">
            <v>23856</v>
          </cell>
          <cell r="I25">
            <v>31189</v>
          </cell>
          <cell r="J25">
            <v>2725</v>
          </cell>
          <cell r="K25">
            <v>28891.486709265177</v>
          </cell>
          <cell r="L25">
            <v>39068</v>
          </cell>
          <cell r="M25">
            <v>337.8244089456868</v>
          </cell>
          <cell r="N25">
            <v>39068</v>
          </cell>
          <cell r="O25">
            <v>427.48670926517559</v>
          </cell>
          <cell r="P25">
            <v>0</v>
          </cell>
          <cell r="Q25">
            <v>0</v>
          </cell>
        </row>
        <row r="26">
          <cell r="B26">
            <v>24124</v>
          </cell>
          <cell r="C26">
            <v>31099</v>
          </cell>
          <cell r="D26">
            <v>2112</v>
          </cell>
          <cell r="E26">
            <v>29324.824408945686</v>
          </cell>
          <cell r="F26">
            <v>0</v>
          </cell>
          <cell r="G26">
            <v>39075</v>
          </cell>
          <cell r="H26">
            <v>24124</v>
          </cell>
          <cell r="I26">
            <v>31189</v>
          </cell>
          <cell r="J26">
            <v>2193</v>
          </cell>
          <cell r="K26">
            <v>29423.486709265177</v>
          </cell>
          <cell r="L26">
            <v>39075</v>
          </cell>
          <cell r="M26">
            <v>337.8244089456868</v>
          </cell>
          <cell r="N26">
            <v>39075</v>
          </cell>
          <cell r="O26">
            <v>427.48670926517559</v>
          </cell>
          <cell r="P26">
            <v>0</v>
          </cell>
          <cell r="Q26">
            <v>0</v>
          </cell>
        </row>
        <row r="27">
          <cell r="B27">
            <v>22459</v>
          </cell>
          <cell r="C27">
            <v>31099</v>
          </cell>
          <cell r="D27">
            <v>2291</v>
          </cell>
          <cell r="E27">
            <v>29145.824408945686</v>
          </cell>
          <cell r="F27">
            <v>0</v>
          </cell>
          <cell r="G27">
            <v>39082</v>
          </cell>
          <cell r="H27">
            <v>22459</v>
          </cell>
          <cell r="I27">
            <v>31189</v>
          </cell>
          <cell r="J27">
            <v>2372</v>
          </cell>
          <cell r="K27">
            <v>29244.486709265177</v>
          </cell>
          <cell r="L27">
            <v>39082</v>
          </cell>
          <cell r="M27">
            <v>337.8244089456868</v>
          </cell>
          <cell r="N27">
            <v>39082</v>
          </cell>
          <cell r="O27">
            <v>427.48670926517559</v>
          </cell>
          <cell r="P27">
            <v>0</v>
          </cell>
          <cell r="Q27">
            <v>0</v>
          </cell>
        </row>
        <row r="28">
          <cell r="B28">
            <v>23921</v>
          </cell>
          <cell r="C28">
            <v>31099</v>
          </cell>
          <cell r="D28">
            <v>2054</v>
          </cell>
          <cell r="E28">
            <v>29382.824408945686</v>
          </cell>
          <cell r="F28">
            <v>0</v>
          </cell>
          <cell r="G28">
            <v>39089</v>
          </cell>
          <cell r="H28">
            <v>23921</v>
          </cell>
          <cell r="I28">
            <v>31189</v>
          </cell>
          <cell r="J28">
            <v>2135</v>
          </cell>
          <cell r="K28">
            <v>29481.486709265177</v>
          </cell>
          <cell r="L28">
            <v>39089</v>
          </cell>
          <cell r="M28">
            <v>337.8244089456868</v>
          </cell>
          <cell r="N28">
            <v>39089</v>
          </cell>
          <cell r="O28">
            <v>427.48670926517559</v>
          </cell>
          <cell r="P28">
            <v>0</v>
          </cell>
          <cell r="Q28">
            <v>0</v>
          </cell>
        </row>
        <row r="29">
          <cell r="B29">
            <v>24257</v>
          </cell>
          <cell r="C29">
            <v>31099</v>
          </cell>
          <cell r="D29">
            <v>2043</v>
          </cell>
          <cell r="E29">
            <v>29393.824408945686</v>
          </cell>
          <cell r="F29">
            <v>0</v>
          </cell>
          <cell r="G29">
            <v>39096</v>
          </cell>
          <cell r="H29">
            <v>24257</v>
          </cell>
          <cell r="I29">
            <v>31189</v>
          </cell>
          <cell r="J29">
            <v>2124</v>
          </cell>
          <cell r="K29">
            <v>29492.486709265177</v>
          </cell>
          <cell r="L29">
            <v>39096</v>
          </cell>
          <cell r="M29">
            <v>337.8244089456868</v>
          </cell>
          <cell r="N29">
            <v>39096</v>
          </cell>
          <cell r="O29">
            <v>427.48670926517559</v>
          </cell>
          <cell r="P29">
            <v>0</v>
          </cell>
          <cell r="Q29">
            <v>0</v>
          </cell>
        </row>
        <row r="30">
          <cell r="B30">
            <v>24677</v>
          </cell>
          <cell r="C30">
            <v>31099</v>
          </cell>
          <cell r="D30">
            <v>2043</v>
          </cell>
          <cell r="E30">
            <v>29393.824408945686</v>
          </cell>
          <cell r="F30">
            <v>0</v>
          </cell>
          <cell r="G30">
            <v>39103</v>
          </cell>
          <cell r="H30">
            <v>24677</v>
          </cell>
          <cell r="I30">
            <v>31189</v>
          </cell>
          <cell r="J30">
            <v>2124</v>
          </cell>
          <cell r="K30">
            <v>29492.486709265177</v>
          </cell>
          <cell r="L30">
            <v>39103</v>
          </cell>
          <cell r="M30">
            <v>337.8244089456868</v>
          </cell>
          <cell r="N30">
            <v>39103</v>
          </cell>
          <cell r="O30">
            <v>427.48670926517559</v>
          </cell>
          <cell r="P30">
            <v>0</v>
          </cell>
          <cell r="Q30">
            <v>0</v>
          </cell>
        </row>
        <row r="31">
          <cell r="B31">
            <v>24420</v>
          </cell>
          <cell r="C31">
            <v>31099</v>
          </cell>
          <cell r="D31">
            <v>2875</v>
          </cell>
          <cell r="E31">
            <v>28561.824408945686</v>
          </cell>
          <cell r="F31">
            <v>0</v>
          </cell>
          <cell r="G31">
            <v>39110</v>
          </cell>
          <cell r="H31">
            <v>24420</v>
          </cell>
          <cell r="I31">
            <v>31189</v>
          </cell>
          <cell r="J31">
            <v>2956</v>
          </cell>
          <cell r="K31">
            <v>28660.486709265177</v>
          </cell>
          <cell r="L31">
            <v>39110</v>
          </cell>
          <cell r="M31">
            <v>337.8244089456868</v>
          </cell>
          <cell r="N31">
            <v>39110</v>
          </cell>
          <cell r="O31">
            <v>427.48670926517559</v>
          </cell>
          <cell r="P31">
            <v>0</v>
          </cell>
          <cell r="Q31">
            <v>0</v>
          </cell>
        </row>
        <row r="32">
          <cell r="B32">
            <v>24289</v>
          </cell>
          <cell r="C32">
            <v>31099</v>
          </cell>
          <cell r="D32">
            <v>2935</v>
          </cell>
          <cell r="E32">
            <v>28501.824408945686</v>
          </cell>
          <cell r="F32">
            <v>0</v>
          </cell>
          <cell r="G32">
            <v>39117</v>
          </cell>
          <cell r="H32">
            <v>24289</v>
          </cell>
          <cell r="I32">
            <v>31189</v>
          </cell>
          <cell r="J32">
            <v>3016</v>
          </cell>
          <cell r="K32">
            <v>28600.486709265177</v>
          </cell>
          <cell r="L32">
            <v>39117</v>
          </cell>
          <cell r="M32">
            <v>337.8244089456868</v>
          </cell>
          <cell r="N32">
            <v>39117</v>
          </cell>
          <cell r="O32">
            <v>427.48670926517559</v>
          </cell>
          <cell r="P32">
            <v>0</v>
          </cell>
          <cell r="Q32">
            <v>0</v>
          </cell>
        </row>
        <row r="33">
          <cell r="B33">
            <v>24143</v>
          </cell>
          <cell r="C33">
            <v>31099</v>
          </cell>
          <cell r="D33">
            <v>2950</v>
          </cell>
          <cell r="E33">
            <v>28486.824408945686</v>
          </cell>
          <cell r="F33">
            <v>0</v>
          </cell>
          <cell r="G33">
            <v>39124</v>
          </cell>
          <cell r="H33">
            <v>24143</v>
          </cell>
          <cell r="I33">
            <v>31194</v>
          </cell>
          <cell r="J33">
            <v>3036</v>
          </cell>
          <cell r="K33">
            <v>28585.486709265177</v>
          </cell>
          <cell r="L33">
            <v>39124</v>
          </cell>
          <cell r="M33">
            <v>337.8244089456868</v>
          </cell>
          <cell r="N33">
            <v>39124</v>
          </cell>
          <cell r="O33">
            <v>427.48670926517559</v>
          </cell>
          <cell r="P33">
            <v>0</v>
          </cell>
          <cell r="Q33">
            <v>0</v>
          </cell>
        </row>
        <row r="34">
          <cell r="B34">
            <v>23815</v>
          </cell>
          <cell r="C34">
            <v>31099</v>
          </cell>
          <cell r="D34">
            <v>3408</v>
          </cell>
          <cell r="E34">
            <v>28028.824408945686</v>
          </cell>
          <cell r="F34">
            <v>0</v>
          </cell>
          <cell r="G34">
            <v>39131</v>
          </cell>
          <cell r="H34">
            <v>23815</v>
          </cell>
          <cell r="I34">
            <v>31194</v>
          </cell>
          <cell r="J34">
            <v>3494</v>
          </cell>
          <cell r="K34">
            <v>28127.486709265177</v>
          </cell>
          <cell r="L34">
            <v>39131</v>
          </cell>
          <cell r="M34">
            <v>337.8244089456868</v>
          </cell>
          <cell r="N34">
            <v>39131</v>
          </cell>
          <cell r="O34">
            <v>427.48670926517559</v>
          </cell>
          <cell r="P34">
            <v>0</v>
          </cell>
          <cell r="Q34">
            <v>0</v>
          </cell>
        </row>
        <row r="35">
          <cell r="B35">
            <v>23392</v>
          </cell>
          <cell r="C35">
            <v>31099</v>
          </cell>
          <cell r="D35">
            <v>3425</v>
          </cell>
          <cell r="E35">
            <v>28011.824408945686</v>
          </cell>
          <cell r="F35">
            <v>0</v>
          </cell>
          <cell r="G35">
            <v>39138</v>
          </cell>
          <cell r="H35">
            <v>23392</v>
          </cell>
          <cell r="I35">
            <v>31194</v>
          </cell>
          <cell r="J35">
            <v>3511</v>
          </cell>
          <cell r="K35">
            <v>28110.486709265177</v>
          </cell>
          <cell r="L35">
            <v>39138</v>
          </cell>
          <cell r="M35">
            <v>337.8244089456868</v>
          </cell>
          <cell r="N35">
            <v>39138</v>
          </cell>
          <cell r="O35">
            <v>427.48670926517559</v>
          </cell>
          <cell r="P35">
            <v>0</v>
          </cell>
          <cell r="Q35">
            <v>0</v>
          </cell>
        </row>
        <row r="36">
          <cell r="B36">
            <v>23131</v>
          </cell>
          <cell r="C36">
            <v>31099</v>
          </cell>
          <cell r="D36">
            <v>4819</v>
          </cell>
          <cell r="E36">
            <v>26617.824408945686</v>
          </cell>
          <cell r="F36">
            <v>0</v>
          </cell>
          <cell r="G36">
            <v>39145</v>
          </cell>
          <cell r="H36">
            <v>23131</v>
          </cell>
          <cell r="I36">
            <v>31194</v>
          </cell>
          <cell r="J36">
            <v>4905</v>
          </cell>
          <cell r="K36">
            <v>26716.486709265177</v>
          </cell>
          <cell r="L36">
            <v>39145</v>
          </cell>
          <cell r="M36">
            <v>337.8244089456868</v>
          </cell>
          <cell r="N36">
            <v>39145</v>
          </cell>
          <cell r="O36">
            <v>427.48670926517559</v>
          </cell>
          <cell r="P36">
            <v>0</v>
          </cell>
          <cell r="Q36">
            <v>0</v>
          </cell>
        </row>
        <row r="37">
          <cell r="B37">
            <v>22992</v>
          </cell>
          <cell r="C37">
            <v>31099</v>
          </cell>
          <cell r="D37">
            <v>6192</v>
          </cell>
          <cell r="E37">
            <v>25244.824408945686</v>
          </cell>
          <cell r="F37">
            <v>0</v>
          </cell>
          <cell r="G37">
            <v>39152</v>
          </cell>
          <cell r="H37">
            <v>22992</v>
          </cell>
          <cell r="I37">
            <v>31194</v>
          </cell>
          <cell r="J37">
            <v>6278</v>
          </cell>
          <cell r="K37">
            <v>25343.486709265177</v>
          </cell>
          <cell r="L37">
            <v>39152</v>
          </cell>
          <cell r="M37">
            <v>337.8244089456868</v>
          </cell>
          <cell r="N37">
            <v>39152</v>
          </cell>
          <cell r="O37">
            <v>427.48670926517559</v>
          </cell>
          <cell r="P37">
            <v>0</v>
          </cell>
          <cell r="Q37">
            <v>0</v>
          </cell>
        </row>
        <row r="38">
          <cell r="B38">
            <v>21961</v>
          </cell>
          <cell r="C38">
            <v>31099</v>
          </cell>
          <cell r="D38">
            <v>6947</v>
          </cell>
          <cell r="E38">
            <v>24489.824408945686</v>
          </cell>
          <cell r="F38">
            <v>0</v>
          </cell>
          <cell r="G38">
            <v>39159</v>
          </cell>
          <cell r="H38">
            <v>21961</v>
          </cell>
          <cell r="I38">
            <v>31194</v>
          </cell>
          <cell r="J38">
            <v>7033</v>
          </cell>
          <cell r="K38">
            <v>24588.486709265177</v>
          </cell>
          <cell r="L38">
            <v>39159</v>
          </cell>
          <cell r="M38">
            <v>337.8244089456868</v>
          </cell>
          <cell r="N38">
            <v>39159</v>
          </cell>
          <cell r="O38">
            <v>427.48670926517559</v>
          </cell>
          <cell r="P38">
            <v>0</v>
          </cell>
          <cell r="Q38">
            <v>0</v>
          </cell>
        </row>
        <row r="39">
          <cell r="B39">
            <v>21619</v>
          </cell>
          <cell r="C39">
            <v>31099</v>
          </cell>
          <cell r="D39">
            <v>6947</v>
          </cell>
          <cell r="E39">
            <v>24489.824408945686</v>
          </cell>
          <cell r="F39">
            <v>0</v>
          </cell>
          <cell r="G39">
            <v>39166</v>
          </cell>
          <cell r="H39">
            <v>21619</v>
          </cell>
          <cell r="I39">
            <v>31194</v>
          </cell>
          <cell r="J39">
            <v>7033</v>
          </cell>
          <cell r="K39">
            <v>24588.486709265177</v>
          </cell>
          <cell r="L39">
            <v>39166</v>
          </cell>
          <cell r="M39">
            <v>337.8244089456868</v>
          </cell>
          <cell r="N39">
            <v>39166</v>
          </cell>
          <cell r="O39">
            <v>427.48670926517559</v>
          </cell>
          <cell r="P39">
            <v>0</v>
          </cell>
          <cell r="Q39">
            <v>0</v>
          </cell>
        </row>
        <row r="40">
          <cell r="B40">
            <v>20926</v>
          </cell>
          <cell r="C40">
            <v>31099</v>
          </cell>
          <cell r="D40">
            <v>7452</v>
          </cell>
          <cell r="E40">
            <v>23984.824408945686</v>
          </cell>
          <cell r="F40">
            <v>0</v>
          </cell>
          <cell r="G40">
            <v>39173</v>
          </cell>
          <cell r="H40">
            <v>20926</v>
          </cell>
          <cell r="I40">
            <v>31194</v>
          </cell>
          <cell r="J40">
            <v>7538</v>
          </cell>
          <cell r="K40">
            <v>24083.486709265177</v>
          </cell>
          <cell r="L40">
            <v>39173</v>
          </cell>
          <cell r="M40">
            <v>337.8244089456868</v>
          </cell>
          <cell r="N40">
            <v>39173</v>
          </cell>
          <cell r="O40">
            <v>427.48670926517559</v>
          </cell>
          <cell r="P40">
            <v>0</v>
          </cell>
          <cell r="Q40">
            <v>0</v>
          </cell>
        </row>
        <row r="41">
          <cell r="B41">
            <v>20974</v>
          </cell>
          <cell r="C41">
            <v>31099</v>
          </cell>
          <cell r="D41">
            <v>7652</v>
          </cell>
          <cell r="E41">
            <v>23784.824408945686</v>
          </cell>
          <cell r="F41">
            <v>0</v>
          </cell>
          <cell r="G41">
            <v>39180</v>
          </cell>
          <cell r="H41">
            <v>20974</v>
          </cell>
          <cell r="I41">
            <v>31194</v>
          </cell>
          <cell r="J41">
            <v>7738</v>
          </cell>
          <cell r="K41">
            <v>23883.486709265177</v>
          </cell>
          <cell r="L41">
            <v>39180</v>
          </cell>
          <cell r="M41">
            <v>337.8244089456868</v>
          </cell>
          <cell r="N41">
            <v>39180</v>
          </cell>
          <cell r="O41">
            <v>427.48670926517559</v>
          </cell>
          <cell r="P41">
            <v>0</v>
          </cell>
          <cell r="Q41">
            <v>0</v>
          </cell>
        </row>
        <row r="42">
          <cell r="B42">
            <v>20506</v>
          </cell>
          <cell r="C42">
            <v>31099</v>
          </cell>
          <cell r="D42">
            <v>7652</v>
          </cell>
          <cell r="E42">
            <v>23784.824408945686</v>
          </cell>
          <cell r="F42">
            <v>0</v>
          </cell>
          <cell r="G42">
            <v>39187</v>
          </cell>
          <cell r="H42">
            <v>20506</v>
          </cell>
          <cell r="I42">
            <v>31194</v>
          </cell>
          <cell r="J42">
            <v>7738</v>
          </cell>
          <cell r="K42">
            <v>23883.486709265177</v>
          </cell>
          <cell r="L42">
            <v>39187</v>
          </cell>
          <cell r="M42">
            <v>337.8244089456868</v>
          </cell>
          <cell r="N42">
            <v>39187</v>
          </cell>
          <cell r="O42">
            <v>427.48670926517559</v>
          </cell>
          <cell r="P42">
            <v>0</v>
          </cell>
          <cell r="Q42">
            <v>0</v>
          </cell>
        </row>
        <row r="43">
          <cell r="B43">
            <v>20324</v>
          </cell>
          <cell r="C43">
            <v>31099</v>
          </cell>
          <cell r="D43">
            <v>6900</v>
          </cell>
          <cell r="E43">
            <v>24536.824408945686</v>
          </cell>
          <cell r="F43">
            <v>0</v>
          </cell>
          <cell r="G43">
            <v>39194</v>
          </cell>
          <cell r="H43">
            <v>20324</v>
          </cell>
          <cell r="I43">
            <v>31194</v>
          </cell>
          <cell r="J43">
            <v>6986</v>
          </cell>
          <cell r="K43">
            <v>24635.486709265177</v>
          </cell>
          <cell r="L43">
            <v>39194</v>
          </cell>
          <cell r="M43">
            <v>337.8244089456868</v>
          </cell>
          <cell r="N43">
            <v>39194</v>
          </cell>
          <cell r="O43">
            <v>427.48670926517559</v>
          </cell>
          <cell r="P43">
            <v>0</v>
          </cell>
          <cell r="Q43">
            <v>0</v>
          </cell>
        </row>
        <row r="44">
          <cell r="B44">
            <v>19969</v>
          </cell>
          <cell r="C44">
            <v>31099</v>
          </cell>
          <cell r="D44">
            <v>6996</v>
          </cell>
          <cell r="E44">
            <v>24440.824408945686</v>
          </cell>
          <cell r="F44">
            <v>0</v>
          </cell>
          <cell r="G44">
            <v>39201</v>
          </cell>
          <cell r="H44">
            <v>19969</v>
          </cell>
          <cell r="I44">
            <v>31194</v>
          </cell>
          <cell r="J44">
            <v>7082</v>
          </cell>
          <cell r="K44">
            <v>24539.486709265177</v>
          </cell>
          <cell r="L44">
            <v>39201</v>
          </cell>
          <cell r="M44">
            <v>337.8244089456868</v>
          </cell>
          <cell r="N44">
            <v>39201</v>
          </cell>
          <cell r="O44">
            <v>427.48670926517559</v>
          </cell>
          <cell r="P44">
            <v>0</v>
          </cell>
          <cell r="Q44">
            <v>0</v>
          </cell>
        </row>
        <row r="45">
          <cell r="B45">
            <v>19858</v>
          </cell>
          <cell r="C45">
            <v>31099</v>
          </cell>
          <cell r="D45">
            <v>7275</v>
          </cell>
          <cell r="E45">
            <v>24161.824408945686</v>
          </cell>
          <cell r="F45">
            <v>0</v>
          </cell>
          <cell r="G45">
            <v>39208</v>
          </cell>
          <cell r="H45">
            <v>19858</v>
          </cell>
          <cell r="I45">
            <v>31194</v>
          </cell>
          <cell r="J45">
            <v>7361</v>
          </cell>
          <cell r="K45">
            <v>24260.486709265177</v>
          </cell>
          <cell r="L45">
            <v>39208</v>
          </cell>
          <cell r="M45">
            <v>337.8244089456868</v>
          </cell>
          <cell r="N45">
            <v>39208</v>
          </cell>
          <cell r="O45">
            <v>427.48670926517559</v>
          </cell>
          <cell r="P45">
            <v>0</v>
          </cell>
          <cell r="Q45">
            <v>0</v>
          </cell>
        </row>
        <row r="46">
          <cell r="B46">
            <v>19651</v>
          </cell>
          <cell r="C46">
            <v>31099</v>
          </cell>
          <cell r="D46">
            <v>7197</v>
          </cell>
          <cell r="E46">
            <v>24239.824408945686</v>
          </cell>
          <cell r="F46">
            <v>0</v>
          </cell>
          <cell r="G46">
            <v>39215</v>
          </cell>
          <cell r="H46">
            <v>19651</v>
          </cell>
          <cell r="I46">
            <v>31194</v>
          </cell>
          <cell r="J46">
            <v>7283</v>
          </cell>
          <cell r="K46">
            <v>24338.486709265177</v>
          </cell>
          <cell r="L46">
            <v>39215</v>
          </cell>
          <cell r="M46">
            <v>337.8244089456868</v>
          </cell>
          <cell r="N46">
            <v>39215</v>
          </cell>
          <cell r="O46">
            <v>427.48670926517559</v>
          </cell>
          <cell r="P46">
            <v>0</v>
          </cell>
          <cell r="Q46">
            <v>0</v>
          </cell>
        </row>
        <row r="47">
          <cell r="B47">
            <v>21330</v>
          </cell>
          <cell r="C47">
            <v>31099</v>
          </cell>
          <cell r="D47">
            <v>7129</v>
          </cell>
          <cell r="E47">
            <v>24307.824408945686</v>
          </cell>
          <cell r="F47">
            <v>0</v>
          </cell>
          <cell r="G47">
            <v>39222</v>
          </cell>
          <cell r="H47">
            <v>21330</v>
          </cell>
          <cell r="I47">
            <v>31194</v>
          </cell>
          <cell r="J47">
            <v>7215</v>
          </cell>
          <cell r="K47">
            <v>24406.486709265177</v>
          </cell>
          <cell r="L47">
            <v>39222</v>
          </cell>
          <cell r="M47">
            <v>337.8244089456868</v>
          </cell>
          <cell r="N47">
            <v>39222</v>
          </cell>
          <cell r="O47">
            <v>427.48670926517559</v>
          </cell>
          <cell r="P47">
            <v>0</v>
          </cell>
          <cell r="Q47">
            <v>0</v>
          </cell>
        </row>
        <row r="48">
          <cell r="B48">
            <v>21394</v>
          </cell>
          <cell r="C48">
            <v>31099</v>
          </cell>
          <cell r="D48">
            <v>5685</v>
          </cell>
          <cell r="E48">
            <v>25751.824408945686</v>
          </cell>
          <cell r="F48">
            <v>0</v>
          </cell>
          <cell r="G48">
            <v>39229</v>
          </cell>
          <cell r="H48">
            <v>21394</v>
          </cell>
          <cell r="I48">
            <v>31194</v>
          </cell>
          <cell r="J48">
            <v>5771</v>
          </cell>
          <cell r="K48">
            <v>25850.486709265177</v>
          </cell>
          <cell r="L48">
            <v>39229</v>
          </cell>
          <cell r="M48">
            <v>337.8244089456868</v>
          </cell>
          <cell r="N48">
            <v>39229</v>
          </cell>
          <cell r="O48">
            <v>427.48670926517559</v>
          </cell>
          <cell r="P48">
            <v>0</v>
          </cell>
          <cell r="Q48">
            <v>0</v>
          </cell>
        </row>
        <row r="49">
          <cell r="B49">
            <v>21866</v>
          </cell>
          <cell r="C49">
            <v>31099</v>
          </cell>
          <cell r="D49">
            <v>5736</v>
          </cell>
          <cell r="E49">
            <v>25700.824408945686</v>
          </cell>
          <cell r="F49">
            <v>0</v>
          </cell>
          <cell r="G49">
            <v>39236</v>
          </cell>
          <cell r="H49">
            <v>21866</v>
          </cell>
          <cell r="I49">
            <v>31194</v>
          </cell>
          <cell r="J49">
            <v>5822</v>
          </cell>
          <cell r="K49">
            <v>25799.486709265177</v>
          </cell>
          <cell r="L49">
            <v>39236</v>
          </cell>
          <cell r="M49">
            <v>337.8244089456868</v>
          </cell>
          <cell r="N49">
            <v>39236</v>
          </cell>
          <cell r="O49">
            <v>427.48670926517559</v>
          </cell>
          <cell r="P49">
            <v>0</v>
          </cell>
          <cell r="Q49">
            <v>0</v>
          </cell>
        </row>
        <row r="50">
          <cell r="B50">
            <v>22252</v>
          </cell>
          <cell r="C50">
            <v>31099</v>
          </cell>
          <cell r="D50">
            <v>4759</v>
          </cell>
          <cell r="E50">
            <v>26677.824408945686</v>
          </cell>
          <cell r="F50">
            <v>0</v>
          </cell>
          <cell r="G50">
            <v>39243</v>
          </cell>
          <cell r="H50">
            <v>22252</v>
          </cell>
          <cell r="I50">
            <v>31194</v>
          </cell>
          <cell r="J50">
            <v>4845</v>
          </cell>
          <cell r="K50">
            <v>26776.486709265177</v>
          </cell>
          <cell r="L50">
            <v>39243</v>
          </cell>
          <cell r="M50">
            <v>337.8244089456868</v>
          </cell>
          <cell r="N50">
            <v>39243</v>
          </cell>
          <cell r="O50">
            <v>427.48670926517559</v>
          </cell>
          <cell r="P50">
            <v>0</v>
          </cell>
          <cell r="Q50">
            <v>0</v>
          </cell>
        </row>
        <row r="51">
          <cell r="B51">
            <v>23642</v>
          </cell>
          <cell r="C51">
            <v>31099</v>
          </cell>
          <cell r="D51">
            <v>3513</v>
          </cell>
          <cell r="E51">
            <v>27923.824408945686</v>
          </cell>
          <cell r="F51">
            <v>0</v>
          </cell>
          <cell r="G51">
            <v>39250</v>
          </cell>
          <cell r="H51">
            <v>23642</v>
          </cell>
          <cell r="I51">
            <v>31194</v>
          </cell>
          <cell r="J51">
            <v>3599</v>
          </cell>
          <cell r="K51">
            <v>28022.486709265177</v>
          </cell>
          <cell r="L51">
            <v>39250</v>
          </cell>
          <cell r="M51">
            <v>337.8244089456868</v>
          </cell>
          <cell r="N51">
            <v>39250</v>
          </cell>
          <cell r="O51">
            <v>427.48670926517559</v>
          </cell>
          <cell r="P51">
            <v>0</v>
          </cell>
          <cell r="Q51">
            <v>0</v>
          </cell>
        </row>
        <row r="52">
          <cell r="B52">
            <v>24727</v>
          </cell>
          <cell r="C52">
            <v>31099</v>
          </cell>
          <cell r="D52">
            <v>3665</v>
          </cell>
          <cell r="E52">
            <v>27771.824408945686</v>
          </cell>
          <cell r="F52">
            <v>0</v>
          </cell>
          <cell r="G52">
            <v>39257</v>
          </cell>
          <cell r="H52">
            <v>24727</v>
          </cell>
          <cell r="I52">
            <v>31679</v>
          </cell>
          <cell r="J52">
            <v>3752</v>
          </cell>
          <cell r="K52">
            <v>28354.486709265177</v>
          </cell>
          <cell r="L52">
            <v>39257</v>
          </cell>
          <cell r="M52">
            <v>337.8244089456868</v>
          </cell>
          <cell r="N52">
            <v>39257</v>
          </cell>
          <cell r="O52">
            <v>427.48670926517559</v>
          </cell>
          <cell r="P52">
            <v>0</v>
          </cell>
          <cell r="Q52">
            <v>0</v>
          </cell>
        </row>
        <row r="53">
          <cell r="B53">
            <v>24352</v>
          </cell>
          <cell r="C53">
            <v>31099</v>
          </cell>
          <cell r="D53">
            <v>2844</v>
          </cell>
          <cell r="E53">
            <v>28592.824408945686</v>
          </cell>
          <cell r="F53">
            <v>0</v>
          </cell>
          <cell r="G53">
            <v>39264</v>
          </cell>
          <cell r="H53">
            <v>24352</v>
          </cell>
          <cell r="I53">
            <v>31679</v>
          </cell>
          <cell r="J53">
            <v>2931</v>
          </cell>
          <cell r="K53">
            <v>29175.486709265177</v>
          </cell>
          <cell r="L53">
            <v>39264</v>
          </cell>
          <cell r="M53">
            <v>337.8244089456868</v>
          </cell>
          <cell r="N53">
            <v>39264</v>
          </cell>
          <cell r="O53">
            <v>427.48670926517559</v>
          </cell>
          <cell r="P53">
            <v>0</v>
          </cell>
          <cell r="Q53">
            <v>0</v>
          </cell>
        </row>
        <row r="54">
          <cell r="B54">
            <v>24436</v>
          </cell>
          <cell r="C54">
            <v>31099</v>
          </cell>
          <cell r="D54">
            <v>2917</v>
          </cell>
          <cell r="E54">
            <v>28519.824408945686</v>
          </cell>
          <cell r="F54">
            <v>0</v>
          </cell>
          <cell r="G54">
            <v>39271</v>
          </cell>
          <cell r="H54">
            <v>24436</v>
          </cell>
          <cell r="I54">
            <v>31878.65</v>
          </cell>
          <cell r="J54">
            <v>3183</v>
          </cell>
          <cell r="K54">
            <v>29123.136709265178</v>
          </cell>
          <cell r="L54">
            <v>39271</v>
          </cell>
          <cell r="M54">
            <v>337.8244089456868</v>
          </cell>
          <cell r="N54">
            <v>39271</v>
          </cell>
          <cell r="O54">
            <v>427.48670926517559</v>
          </cell>
          <cell r="P54">
            <v>0</v>
          </cell>
          <cell r="Q54">
            <v>0</v>
          </cell>
        </row>
        <row r="55">
          <cell r="B55">
            <v>25615</v>
          </cell>
          <cell r="C55">
            <v>31099</v>
          </cell>
          <cell r="D55">
            <v>2917</v>
          </cell>
          <cell r="E55">
            <v>28519.824408945686</v>
          </cell>
          <cell r="F55">
            <v>0</v>
          </cell>
          <cell r="G55">
            <v>39278</v>
          </cell>
          <cell r="H55">
            <v>25615</v>
          </cell>
          <cell r="I55">
            <v>31878.65</v>
          </cell>
          <cell r="J55">
            <v>3183</v>
          </cell>
          <cell r="K55">
            <v>29123.136709265178</v>
          </cell>
          <cell r="L55">
            <v>39278</v>
          </cell>
          <cell r="M55">
            <v>337.8244089456868</v>
          </cell>
          <cell r="N55">
            <v>39278</v>
          </cell>
          <cell r="O55">
            <v>427.48670926517559</v>
          </cell>
          <cell r="P55">
            <v>0</v>
          </cell>
          <cell r="Q55">
            <v>0</v>
          </cell>
        </row>
        <row r="56">
          <cell r="B56">
            <v>25055</v>
          </cell>
          <cell r="C56">
            <v>31099</v>
          </cell>
          <cell r="D56">
            <v>2706</v>
          </cell>
          <cell r="E56">
            <v>28730.824408945686</v>
          </cell>
          <cell r="F56">
            <v>0</v>
          </cell>
          <cell r="G56">
            <v>39285</v>
          </cell>
          <cell r="H56">
            <v>25055</v>
          </cell>
          <cell r="I56">
            <v>31878.65</v>
          </cell>
          <cell r="J56">
            <v>2972</v>
          </cell>
          <cell r="K56">
            <v>29334.136709265178</v>
          </cell>
          <cell r="L56">
            <v>39285</v>
          </cell>
          <cell r="M56">
            <v>337.8244089456868</v>
          </cell>
          <cell r="N56">
            <v>39285</v>
          </cell>
          <cell r="O56">
            <v>427.48670926517559</v>
          </cell>
          <cell r="P56">
            <v>0</v>
          </cell>
          <cell r="Q56">
            <v>0</v>
          </cell>
        </row>
        <row r="57">
          <cell r="B57">
            <v>24790</v>
          </cell>
          <cell r="C57">
            <v>31099</v>
          </cell>
          <cell r="D57">
            <v>2706</v>
          </cell>
          <cell r="E57">
            <v>28730.824408945686</v>
          </cell>
          <cell r="F57">
            <v>0</v>
          </cell>
          <cell r="G57">
            <v>39292</v>
          </cell>
          <cell r="H57">
            <v>24790</v>
          </cell>
          <cell r="I57">
            <v>31878.65</v>
          </cell>
          <cell r="J57">
            <v>2972</v>
          </cell>
          <cell r="K57">
            <v>29334.136709265178</v>
          </cell>
          <cell r="L57">
            <v>39292</v>
          </cell>
          <cell r="M57">
            <v>337.8244089456868</v>
          </cell>
          <cell r="N57">
            <v>39292</v>
          </cell>
          <cell r="O57">
            <v>427.48670926517559</v>
          </cell>
          <cell r="P57">
            <v>0</v>
          </cell>
          <cell r="Q57">
            <v>0</v>
          </cell>
        </row>
        <row r="58">
          <cell r="B58">
            <v>24645</v>
          </cell>
          <cell r="C58">
            <v>31126</v>
          </cell>
          <cell r="D58">
            <v>3152</v>
          </cell>
          <cell r="E58">
            <v>28311.824408945686</v>
          </cell>
          <cell r="F58">
            <v>0</v>
          </cell>
          <cell r="G58">
            <v>39299</v>
          </cell>
          <cell r="H58">
            <v>24645</v>
          </cell>
          <cell r="I58">
            <v>31905.65</v>
          </cell>
          <cell r="J58">
            <v>3418</v>
          </cell>
          <cell r="K58">
            <v>28915.136709265178</v>
          </cell>
          <cell r="L58">
            <v>39299</v>
          </cell>
          <cell r="M58">
            <v>337.8244089456868</v>
          </cell>
          <cell r="N58">
            <v>39299</v>
          </cell>
          <cell r="O58">
            <v>427.48670926517559</v>
          </cell>
          <cell r="P58">
            <v>0</v>
          </cell>
          <cell r="Q58">
            <v>0</v>
          </cell>
        </row>
        <row r="59">
          <cell r="B59">
            <v>25021</v>
          </cell>
          <cell r="C59">
            <v>31126</v>
          </cell>
          <cell r="D59">
            <v>3152</v>
          </cell>
          <cell r="E59">
            <v>28311.824408945686</v>
          </cell>
          <cell r="F59">
            <v>0</v>
          </cell>
          <cell r="G59">
            <v>39306</v>
          </cell>
          <cell r="H59">
            <v>25021</v>
          </cell>
          <cell r="I59">
            <v>31905.65</v>
          </cell>
          <cell r="J59">
            <v>3418</v>
          </cell>
          <cell r="K59">
            <v>28915.136709265178</v>
          </cell>
          <cell r="L59">
            <v>39306</v>
          </cell>
          <cell r="M59">
            <v>337.8244089456868</v>
          </cell>
          <cell r="N59">
            <v>39306</v>
          </cell>
          <cell r="O59">
            <v>427.48670926517559</v>
          </cell>
          <cell r="P59">
            <v>0</v>
          </cell>
          <cell r="Q59">
            <v>0</v>
          </cell>
        </row>
        <row r="60">
          <cell r="B60">
            <v>24551</v>
          </cell>
          <cell r="C60">
            <v>31126</v>
          </cell>
          <cell r="D60">
            <v>3152</v>
          </cell>
          <cell r="E60">
            <v>28311.824408945686</v>
          </cell>
          <cell r="F60">
            <v>0</v>
          </cell>
          <cell r="G60">
            <v>39313</v>
          </cell>
          <cell r="H60">
            <v>24551</v>
          </cell>
          <cell r="I60">
            <v>31905.65</v>
          </cell>
          <cell r="J60">
            <v>3418</v>
          </cell>
          <cell r="K60">
            <v>28915.136709265178</v>
          </cell>
          <cell r="L60">
            <v>39313</v>
          </cell>
          <cell r="M60">
            <v>337.8244089456868</v>
          </cell>
          <cell r="N60">
            <v>39313</v>
          </cell>
          <cell r="O60">
            <v>427.48670926517559</v>
          </cell>
          <cell r="P60">
            <v>0</v>
          </cell>
          <cell r="Q60">
            <v>0</v>
          </cell>
        </row>
        <row r="61">
          <cell r="B61">
            <v>23837</v>
          </cell>
          <cell r="C61">
            <v>31126</v>
          </cell>
          <cell r="D61">
            <v>3152</v>
          </cell>
          <cell r="E61">
            <v>28311.824408945686</v>
          </cell>
          <cell r="F61">
            <v>0</v>
          </cell>
          <cell r="G61">
            <v>39320</v>
          </cell>
          <cell r="H61">
            <v>23837</v>
          </cell>
          <cell r="I61">
            <v>31905.65</v>
          </cell>
          <cell r="J61">
            <v>3418</v>
          </cell>
          <cell r="K61">
            <v>28915.136709265178</v>
          </cell>
          <cell r="L61">
            <v>39320</v>
          </cell>
          <cell r="M61">
            <v>337.8244089456868</v>
          </cell>
          <cell r="N61">
            <v>39320</v>
          </cell>
          <cell r="O61">
            <v>427.48670926517559</v>
          </cell>
          <cell r="P61">
            <v>0</v>
          </cell>
          <cell r="Q61">
            <v>0</v>
          </cell>
        </row>
        <row r="62">
          <cell r="B62">
            <v>24060</v>
          </cell>
          <cell r="C62">
            <v>31126</v>
          </cell>
          <cell r="D62">
            <v>3687</v>
          </cell>
          <cell r="E62">
            <v>27776.824408945686</v>
          </cell>
          <cell r="F62">
            <v>0</v>
          </cell>
          <cell r="G62">
            <v>39327</v>
          </cell>
          <cell r="H62">
            <v>24060</v>
          </cell>
          <cell r="I62">
            <v>31905.65</v>
          </cell>
          <cell r="J62">
            <v>3953</v>
          </cell>
          <cell r="K62">
            <v>28380.136709265178</v>
          </cell>
          <cell r="L62">
            <v>39327</v>
          </cell>
          <cell r="M62">
            <v>337.8244089456868</v>
          </cell>
          <cell r="N62">
            <v>39327</v>
          </cell>
          <cell r="O62">
            <v>427.48670926517559</v>
          </cell>
          <cell r="P62">
            <v>0</v>
          </cell>
          <cell r="Q62">
            <v>0</v>
          </cell>
        </row>
        <row r="63">
          <cell r="B63">
            <v>23794</v>
          </cell>
          <cell r="C63">
            <v>31126</v>
          </cell>
          <cell r="D63">
            <v>4678</v>
          </cell>
          <cell r="E63">
            <v>26785.824408945686</v>
          </cell>
          <cell r="F63">
            <v>0</v>
          </cell>
          <cell r="G63">
            <v>39334</v>
          </cell>
          <cell r="H63">
            <v>23794</v>
          </cell>
          <cell r="I63">
            <v>31905.65</v>
          </cell>
          <cell r="J63">
            <v>4944</v>
          </cell>
          <cell r="K63">
            <v>27389.136709265178</v>
          </cell>
          <cell r="L63">
            <v>39334</v>
          </cell>
          <cell r="M63">
            <v>337.8244089456868</v>
          </cell>
          <cell r="N63">
            <v>39334</v>
          </cell>
          <cell r="O63">
            <v>427.48670926517559</v>
          </cell>
          <cell r="P63">
            <v>0</v>
          </cell>
          <cell r="Q63">
            <v>0</v>
          </cell>
        </row>
        <row r="64">
          <cell r="B64">
            <v>22822</v>
          </cell>
          <cell r="C64">
            <v>31126</v>
          </cell>
          <cell r="D64">
            <v>5669</v>
          </cell>
          <cell r="E64">
            <v>25794.824408945686</v>
          </cell>
          <cell r="F64">
            <v>0</v>
          </cell>
          <cell r="G64">
            <v>39341</v>
          </cell>
          <cell r="H64">
            <v>22822</v>
          </cell>
          <cell r="I64">
            <v>31905.65</v>
          </cell>
          <cell r="J64">
            <v>5935</v>
          </cell>
          <cell r="K64">
            <v>26398.136709265178</v>
          </cell>
          <cell r="L64">
            <v>39341</v>
          </cell>
          <cell r="M64">
            <v>337.8244089456868</v>
          </cell>
          <cell r="N64">
            <v>39341</v>
          </cell>
          <cell r="O64">
            <v>427.48670926517559</v>
          </cell>
          <cell r="P64">
            <v>0</v>
          </cell>
          <cell r="Q64">
            <v>0</v>
          </cell>
        </row>
        <row r="65">
          <cell r="B65">
            <v>21693</v>
          </cell>
          <cell r="C65">
            <v>31126</v>
          </cell>
          <cell r="D65">
            <v>6415</v>
          </cell>
          <cell r="E65">
            <v>25048.824408945686</v>
          </cell>
          <cell r="F65">
            <v>0</v>
          </cell>
          <cell r="G65">
            <v>39348</v>
          </cell>
          <cell r="H65">
            <v>21693</v>
          </cell>
          <cell r="I65">
            <v>31905.65</v>
          </cell>
          <cell r="J65">
            <v>6681</v>
          </cell>
          <cell r="K65">
            <v>25652.136709265178</v>
          </cell>
          <cell r="L65">
            <v>39348</v>
          </cell>
          <cell r="M65">
            <v>337.8244089456868</v>
          </cell>
          <cell r="N65">
            <v>39348</v>
          </cell>
          <cell r="O65">
            <v>427.48670926517559</v>
          </cell>
          <cell r="P65">
            <v>0</v>
          </cell>
          <cell r="Q65">
            <v>0</v>
          </cell>
        </row>
        <row r="66">
          <cell r="B66">
            <v>20362</v>
          </cell>
          <cell r="C66">
            <v>31126</v>
          </cell>
          <cell r="D66">
            <v>6671</v>
          </cell>
          <cell r="E66">
            <v>24792.824408945686</v>
          </cell>
          <cell r="F66">
            <v>0</v>
          </cell>
          <cell r="G66">
            <v>39355</v>
          </cell>
          <cell r="H66">
            <v>20362</v>
          </cell>
          <cell r="I66">
            <v>31905.65</v>
          </cell>
          <cell r="J66">
            <v>6937</v>
          </cell>
          <cell r="K66">
            <v>25396.136709265178</v>
          </cell>
          <cell r="L66">
            <v>39355</v>
          </cell>
          <cell r="M66">
            <v>337.8244089456868</v>
          </cell>
          <cell r="N66">
            <v>39355</v>
          </cell>
          <cell r="O66">
            <v>427.48670926517559</v>
          </cell>
          <cell r="P66">
            <v>0</v>
          </cell>
          <cell r="Q66">
            <v>0</v>
          </cell>
        </row>
        <row r="67">
          <cell r="B67">
            <v>20247</v>
          </cell>
          <cell r="C67">
            <v>31126</v>
          </cell>
          <cell r="D67">
            <v>5836</v>
          </cell>
          <cell r="E67">
            <v>25627.824408945686</v>
          </cell>
          <cell r="F67">
            <v>0</v>
          </cell>
          <cell r="G67">
            <v>39362</v>
          </cell>
          <cell r="H67">
            <v>20247</v>
          </cell>
          <cell r="I67">
            <v>31981.65</v>
          </cell>
          <cell r="J67">
            <v>6171</v>
          </cell>
          <cell r="K67">
            <v>26238.136709265178</v>
          </cell>
          <cell r="L67">
            <v>39362</v>
          </cell>
          <cell r="M67">
            <v>337.8244089456868</v>
          </cell>
          <cell r="N67">
            <v>39362</v>
          </cell>
          <cell r="O67">
            <v>427.48670926517559</v>
          </cell>
          <cell r="P67">
            <v>0</v>
          </cell>
          <cell r="Q67">
            <v>0</v>
          </cell>
        </row>
        <row r="68">
          <cell r="B68">
            <v>20402</v>
          </cell>
          <cell r="C68">
            <v>31126</v>
          </cell>
          <cell r="D68">
            <v>7189</v>
          </cell>
          <cell r="E68">
            <v>24274.824408945686</v>
          </cell>
          <cell r="F68">
            <v>0</v>
          </cell>
          <cell r="G68">
            <v>39369</v>
          </cell>
          <cell r="H68">
            <v>20402</v>
          </cell>
          <cell r="I68">
            <v>31981.65</v>
          </cell>
          <cell r="J68">
            <v>7524</v>
          </cell>
          <cell r="K68">
            <v>24885.136709265178</v>
          </cell>
          <cell r="L68">
            <v>39369</v>
          </cell>
          <cell r="M68">
            <v>337.8244089456868</v>
          </cell>
          <cell r="N68">
            <v>39369</v>
          </cell>
          <cell r="O68">
            <v>427.48670926517559</v>
          </cell>
          <cell r="P68">
            <v>0</v>
          </cell>
          <cell r="Q68">
            <v>0</v>
          </cell>
        </row>
        <row r="69">
          <cell r="B69">
            <v>20870</v>
          </cell>
          <cell r="C69">
            <v>31126</v>
          </cell>
          <cell r="D69">
            <v>7189</v>
          </cell>
          <cell r="E69">
            <v>24274.824408945686</v>
          </cell>
          <cell r="F69">
            <v>0</v>
          </cell>
          <cell r="G69">
            <v>39376</v>
          </cell>
          <cell r="H69">
            <v>20870</v>
          </cell>
          <cell r="I69">
            <v>31981.65</v>
          </cell>
          <cell r="J69">
            <v>7524</v>
          </cell>
          <cell r="K69">
            <v>24885.136709265178</v>
          </cell>
          <cell r="L69">
            <v>39376</v>
          </cell>
          <cell r="M69">
            <v>337.8244089456868</v>
          </cell>
          <cell r="N69">
            <v>39376</v>
          </cell>
          <cell r="O69">
            <v>427.48670926517559</v>
          </cell>
          <cell r="P69">
            <v>0</v>
          </cell>
          <cell r="Q69">
            <v>0</v>
          </cell>
        </row>
        <row r="70">
          <cell r="B70">
            <v>21194</v>
          </cell>
          <cell r="C70">
            <v>31126</v>
          </cell>
          <cell r="D70">
            <v>6673</v>
          </cell>
          <cell r="E70">
            <v>24790.824408945686</v>
          </cell>
          <cell r="F70">
            <v>0</v>
          </cell>
          <cell r="G70">
            <v>39383</v>
          </cell>
          <cell r="H70">
            <v>21194</v>
          </cell>
          <cell r="I70">
            <v>31981.65</v>
          </cell>
          <cell r="J70">
            <v>7008</v>
          </cell>
          <cell r="K70">
            <v>25401.136709265178</v>
          </cell>
          <cell r="L70">
            <v>39383</v>
          </cell>
          <cell r="M70">
            <v>337.8244089456868</v>
          </cell>
          <cell r="N70">
            <v>39383</v>
          </cell>
          <cell r="O70">
            <v>427.48670926517559</v>
          </cell>
          <cell r="P70">
            <v>0</v>
          </cell>
          <cell r="Q70">
            <v>0</v>
          </cell>
        </row>
        <row r="71">
          <cell r="B71">
            <v>21695</v>
          </cell>
          <cell r="C71">
            <v>31126</v>
          </cell>
          <cell r="D71">
            <v>7111</v>
          </cell>
          <cell r="E71">
            <v>24352.824408945686</v>
          </cell>
          <cell r="F71">
            <v>0</v>
          </cell>
          <cell r="G71">
            <v>39390</v>
          </cell>
          <cell r="H71">
            <v>21695</v>
          </cell>
          <cell r="I71">
            <v>31981.65</v>
          </cell>
          <cell r="J71">
            <v>7445</v>
          </cell>
          <cell r="K71">
            <v>24964.136709265178</v>
          </cell>
          <cell r="L71">
            <v>39390</v>
          </cell>
          <cell r="M71">
            <v>337.8244089456868</v>
          </cell>
          <cell r="N71">
            <v>39390</v>
          </cell>
          <cell r="O71">
            <v>427.48670926517559</v>
          </cell>
          <cell r="P71">
            <v>0</v>
          </cell>
          <cell r="Q71">
            <v>0</v>
          </cell>
        </row>
        <row r="72">
          <cell r="B72">
            <v>22124</v>
          </cell>
          <cell r="C72">
            <v>31126</v>
          </cell>
          <cell r="D72">
            <v>6541</v>
          </cell>
          <cell r="E72">
            <v>24922.824408945686</v>
          </cell>
          <cell r="F72">
            <v>0</v>
          </cell>
          <cell r="G72">
            <v>39397</v>
          </cell>
          <cell r="H72">
            <v>22124</v>
          </cell>
          <cell r="I72">
            <v>31981.65</v>
          </cell>
          <cell r="J72">
            <v>6875</v>
          </cell>
          <cell r="K72">
            <v>25534.136709265178</v>
          </cell>
          <cell r="L72">
            <v>39397</v>
          </cell>
          <cell r="M72">
            <v>337.8244089456868</v>
          </cell>
          <cell r="N72">
            <v>39397</v>
          </cell>
          <cell r="O72">
            <v>427.48670926517559</v>
          </cell>
          <cell r="P72">
            <v>0</v>
          </cell>
          <cell r="Q72">
            <v>0</v>
          </cell>
        </row>
        <row r="73">
          <cell r="B73">
            <v>22818</v>
          </cell>
          <cell r="C73">
            <v>31126</v>
          </cell>
          <cell r="D73">
            <v>6025</v>
          </cell>
          <cell r="E73">
            <v>25438.824408945686</v>
          </cell>
          <cell r="F73">
            <v>0</v>
          </cell>
          <cell r="G73">
            <v>39404</v>
          </cell>
          <cell r="H73">
            <v>22818</v>
          </cell>
          <cell r="I73">
            <v>31981.65</v>
          </cell>
          <cell r="J73">
            <v>6359</v>
          </cell>
          <cell r="K73">
            <v>26050.136709265178</v>
          </cell>
          <cell r="L73">
            <v>39404</v>
          </cell>
          <cell r="M73">
            <v>337.8244089456868</v>
          </cell>
          <cell r="N73">
            <v>39404</v>
          </cell>
          <cell r="O73">
            <v>427.48670926517559</v>
          </cell>
          <cell r="P73">
            <v>0</v>
          </cell>
          <cell r="Q73">
            <v>0</v>
          </cell>
        </row>
        <row r="74">
          <cell r="B74">
            <v>23277</v>
          </cell>
          <cell r="C74">
            <v>31126</v>
          </cell>
          <cell r="D74">
            <v>6025</v>
          </cell>
          <cell r="E74">
            <v>25438.824408945686</v>
          </cell>
          <cell r="F74">
            <v>0</v>
          </cell>
          <cell r="G74">
            <v>39411</v>
          </cell>
          <cell r="H74">
            <v>23277</v>
          </cell>
          <cell r="I74">
            <v>31981.65</v>
          </cell>
          <cell r="J74">
            <v>6359</v>
          </cell>
          <cell r="K74">
            <v>26050.136709265178</v>
          </cell>
          <cell r="L74">
            <v>39411</v>
          </cell>
          <cell r="M74">
            <v>337.8244089456868</v>
          </cell>
          <cell r="N74">
            <v>39411</v>
          </cell>
          <cell r="O74">
            <v>427.48670926517559</v>
          </cell>
          <cell r="P74">
            <v>0</v>
          </cell>
          <cell r="Q74">
            <v>0</v>
          </cell>
        </row>
        <row r="75">
          <cell r="B75">
            <v>23296</v>
          </cell>
          <cell r="C75">
            <v>31126</v>
          </cell>
          <cell r="D75">
            <v>5912</v>
          </cell>
          <cell r="E75">
            <v>25551.824408945686</v>
          </cell>
          <cell r="F75">
            <v>0</v>
          </cell>
          <cell r="G75">
            <v>39418</v>
          </cell>
          <cell r="H75">
            <v>23296</v>
          </cell>
          <cell r="I75">
            <v>31981.65</v>
          </cell>
          <cell r="J75">
            <v>6246</v>
          </cell>
          <cell r="K75">
            <v>26163.136709265178</v>
          </cell>
          <cell r="L75">
            <v>39418</v>
          </cell>
          <cell r="M75">
            <v>337.8244089456868</v>
          </cell>
          <cell r="N75">
            <v>39418</v>
          </cell>
          <cell r="O75">
            <v>427.48670926517559</v>
          </cell>
          <cell r="P75">
            <v>0</v>
          </cell>
          <cell r="Q75">
            <v>0</v>
          </cell>
        </row>
        <row r="76">
          <cell r="B76">
            <v>24011</v>
          </cell>
          <cell r="C76">
            <v>31126</v>
          </cell>
          <cell r="D76">
            <v>5820</v>
          </cell>
          <cell r="E76">
            <v>25643.824408945686</v>
          </cell>
          <cell r="F76">
            <v>0</v>
          </cell>
          <cell r="G76">
            <v>39425</v>
          </cell>
          <cell r="H76">
            <v>24011</v>
          </cell>
          <cell r="I76">
            <v>31981.65</v>
          </cell>
          <cell r="J76">
            <v>6154</v>
          </cell>
          <cell r="K76">
            <v>26255.136709265178</v>
          </cell>
          <cell r="L76">
            <v>39425</v>
          </cell>
          <cell r="M76">
            <v>337.8244089456868</v>
          </cell>
          <cell r="N76">
            <v>39425</v>
          </cell>
          <cell r="O76">
            <v>427.48670926517559</v>
          </cell>
          <cell r="P76">
            <v>0</v>
          </cell>
          <cell r="Q76">
            <v>0</v>
          </cell>
        </row>
        <row r="77">
          <cell r="B77">
            <v>24078</v>
          </cell>
          <cell r="C77">
            <v>31126</v>
          </cell>
          <cell r="D77">
            <v>5287</v>
          </cell>
          <cell r="E77">
            <v>26176.824408945686</v>
          </cell>
          <cell r="F77">
            <v>0</v>
          </cell>
          <cell r="G77">
            <v>39432</v>
          </cell>
          <cell r="H77">
            <v>24078</v>
          </cell>
          <cell r="I77">
            <v>31981.65</v>
          </cell>
          <cell r="J77">
            <v>5622</v>
          </cell>
          <cell r="K77">
            <v>26787.136709265178</v>
          </cell>
          <cell r="L77">
            <v>39432</v>
          </cell>
          <cell r="M77">
            <v>337.8244089456868</v>
          </cell>
          <cell r="N77">
            <v>39432</v>
          </cell>
          <cell r="O77">
            <v>427.48670926517559</v>
          </cell>
          <cell r="P77">
            <v>0</v>
          </cell>
          <cell r="Q77">
            <v>0</v>
          </cell>
        </row>
        <row r="78">
          <cell r="B78">
            <v>24373</v>
          </cell>
          <cell r="C78">
            <v>31126</v>
          </cell>
          <cell r="D78">
            <v>4315</v>
          </cell>
          <cell r="E78">
            <v>27148.824408945686</v>
          </cell>
          <cell r="F78">
            <v>0</v>
          </cell>
          <cell r="G78">
            <v>39439</v>
          </cell>
          <cell r="H78">
            <v>24373</v>
          </cell>
          <cell r="I78">
            <v>31981.65</v>
          </cell>
          <cell r="J78">
            <v>4649</v>
          </cell>
          <cell r="K78">
            <v>27760.136709265178</v>
          </cell>
          <cell r="L78">
            <v>39439</v>
          </cell>
          <cell r="M78">
            <v>337.8244089456868</v>
          </cell>
          <cell r="N78">
            <v>39439</v>
          </cell>
          <cell r="O78">
            <v>427.48670926517559</v>
          </cell>
          <cell r="P78">
            <v>0</v>
          </cell>
          <cell r="Q78">
            <v>0</v>
          </cell>
        </row>
        <row r="79">
          <cell r="B79">
            <v>22906</v>
          </cell>
          <cell r="C79">
            <v>31126</v>
          </cell>
          <cell r="D79">
            <v>3441</v>
          </cell>
          <cell r="E79">
            <v>28022.824408945686</v>
          </cell>
          <cell r="F79">
            <v>0</v>
          </cell>
          <cell r="G79">
            <v>39446</v>
          </cell>
          <cell r="H79">
            <v>22906</v>
          </cell>
          <cell r="I79">
            <v>31981.65</v>
          </cell>
          <cell r="J79">
            <v>3776</v>
          </cell>
          <cell r="K79">
            <v>28633.136709265178</v>
          </cell>
          <cell r="L79">
            <v>39446</v>
          </cell>
          <cell r="M79">
            <v>337.8244089456868</v>
          </cell>
          <cell r="N79">
            <v>39446</v>
          </cell>
          <cell r="O79">
            <v>427.48670926517559</v>
          </cell>
          <cell r="P79">
            <v>0</v>
          </cell>
          <cell r="Q79">
            <v>0</v>
          </cell>
        </row>
        <row r="80">
          <cell r="B80">
            <v>24173</v>
          </cell>
          <cell r="C80">
            <v>31126</v>
          </cell>
          <cell r="D80">
            <v>3455</v>
          </cell>
          <cell r="E80">
            <v>28008.824408945686</v>
          </cell>
          <cell r="F80">
            <v>0</v>
          </cell>
          <cell r="G80">
            <v>39453</v>
          </cell>
          <cell r="H80">
            <v>24173</v>
          </cell>
          <cell r="I80">
            <v>31981.65</v>
          </cell>
          <cell r="J80">
            <v>3790</v>
          </cell>
          <cell r="K80">
            <v>28624.921373801917</v>
          </cell>
          <cell r="L80">
            <v>39453</v>
          </cell>
          <cell r="M80">
            <v>337.8244089456868</v>
          </cell>
          <cell r="N80">
            <v>39453</v>
          </cell>
          <cell r="O80">
            <v>433.27137380191675</v>
          </cell>
          <cell r="P80">
            <v>0</v>
          </cell>
          <cell r="Q80">
            <v>0</v>
          </cell>
        </row>
        <row r="81">
          <cell r="B81">
            <v>24513</v>
          </cell>
          <cell r="C81">
            <v>31126</v>
          </cell>
          <cell r="D81">
            <v>2556</v>
          </cell>
          <cell r="E81">
            <v>28907.824408945686</v>
          </cell>
          <cell r="F81">
            <v>0</v>
          </cell>
          <cell r="G81">
            <v>39460</v>
          </cell>
          <cell r="H81">
            <v>24513</v>
          </cell>
          <cell r="I81">
            <v>31981.65</v>
          </cell>
          <cell r="J81">
            <v>2890</v>
          </cell>
          <cell r="K81">
            <v>29524.921373801917</v>
          </cell>
          <cell r="L81">
            <v>39460</v>
          </cell>
          <cell r="M81">
            <v>337.8244089456868</v>
          </cell>
          <cell r="N81">
            <v>39460</v>
          </cell>
          <cell r="O81">
            <v>433.27137380191675</v>
          </cell>
          <cell r="P81">
            <v>0</v>
          </cell>
          <cell r="Q81">
            <v>0</v>
          </cell>
        </row>
        <row r="82">
          <cell r="B82">
            <v>24910</v>
          </cell>
          <cell r="C82">
            <v>31126</v>
          </cell>
          <cell r="D82">
            <v>2549</v>
          </cell>
          <cell r="E82">
            <v>28914.824408945686</v>
          </cell>
          <cell r="F82">
            <v>0</v>
          </cell>
          <cell r="G82">
            <v>39467</v>
          </cell>
          <cell r="H82">
            <v>24910</v>
          </cell>
          <cell r="I82">
            <v>31981.65</v>
          </cell>
          <cell r="J82">
            <v>2884</v>
          </cell>
          <cell r="K82">
            <v>29530.921373801917</v>
          </cell>
          <cell r="L82">
            <v>39467</v>
          </cell>
          <cell r="M82">
            <v>337.8244089456868</v>
          </cell>
          <cell r="N82">
            <v>39467</v>
          </cell>
          <cell r="O82">
            <v>433.27137380191675</v>
          </cell>
          <cell r="P82">
            <v>0</v>
          </cell>
          <cell r="Q82">
            <v>0</v>
          </cell>
        </row>
        <row r="83">
          <cell r="B83">
            <v>24653</v>
          </cell>
          <cell r="C83">
            <v>31126</v>
          </cell>
          <cell r="D83">
            <v>2568</v>
          </cell>
          <cell r="E83">
            <v>28895.824408945686</v>
          </cell>
          <cell r="F83">
            <v>0</v>
          </cell>
          <cell r="G83">
            <v>39474</v>
          </cell>
          <cell r="H83">
            <v>24653</v>
          </cell>
          <cell r="I83">
            <v>31981.65</v>
          </cell>
          <cell r="J83">
            <v>2902</v>
          </cell>
          <cell r="K83">
            <v>29512.921373801917</v>
          </cell>
          <cell r="L83">
            <v>39474</v>
          </cell>
          <cell r="M83">
            <v>337.8244089456868</v>
          </cell>
          <cell r="N83">
            <v>39474</v>
          </cell>
          <cell r="O83">
            <v>433.27137380191675</v>
          </cell>
          <cell r="P83">
            <v>0</v>
          </cell>
          <cell r="Q83">
            <v>0</v>
          </cell>
        </row>
        <row r="84">
          <cell r="B84">
            <v>24527</v>
          </cell>
          <cell r="C84">
            <v>31126</v>
          </cell>
          <cell r="D84">
            <v>3454</v>
          </cell>
          <cell r="E84">
            <v>28009.824408945686</v>
          </cell>
          <cell r="F84">
            <v>0</v>
          </cell>
          <cell r="G84">
            <v>39481</v>
          </cell>
          <cell r="H84">
            <v>24527</v>
          </cell>
          <cell r="I84">
            <v>31981.65</v>
          </cell>
          <cell r="J84">
            <v>3788</v>
          </cell>
          <cell r="K84">
            <v>28626.921373801917</v>
          </cell>
          <cell r="L84">
            <v>39481</v>
          </cell>
          <cell r="M84">
            <v>337.8244089456868</v>
          </cell>
          <cell r="N84">
            <v>39481</v>
          </cell>
          <cell r="O84">
            <v>433.27137380191675</v>
          </cell>
          <cell r="P84">
            <v>0</v>
          </cell>
          <cell r="Q84">
            <v>0</v>
          </cell>
        </row>
        <row r="85">
          <cell r="B85">
            <v>24376</v>
          </cell>
          <cell r="C85">
            <v>31126</v>
          </cell>
          <cell r="D85">
            <v>3468</v>
          </cell>
          <cell r="E85">
            <v>27995.824408945686</v>
          </cell>
          <cell r="F85">
            <v>0</v>
          </cell>
          <cell r="G85">
            <v>39488</v>
          </cell>
          <cell r="H85">
            <v>24376</v>
          </cell>
          <cell r="I85">
            <v>31981.65</v>
          </cell>
          <cell r="J85">
            <v>3803</v>
          </cell>
          <cell r="K85">
            <v>28611.921373801917</v>
          </cell>
          <cell r="L85">
            <v>39488</v>
          </cell>
          <cell r="M85">
            <v>337.8244089456868</v>
          </cell>
          <cell r="N85">
            <v>39488</v>
          </cell>
          <cell r="O85">
            <v>433.27137380191675</v>
          </cell>
          <cell r="P85">
            <v>0</v>
          </cell>
          <cell r="Q85">
            <v>0</v>
          </cell>
        </row>
        <row r="86">
          <cell r="B86">
            <v>24056</v>
          </cell>
          <cell r="C86">
            <v>31126</v>
          </cell>
          <cell r="D86">
            <v>2938</v>
          </cell>
          <cell r="E86">
            <v>28525.824408945686</v>
          </cell>
          <cell r="F86">
            <v>0</v>
          </cell>
          <cell r="G86">
            <v>39495</v>
          </cell>
          <cell r="H86">
            <v>24056</v>
          </cell>
          <cell r="I86">
            <v>31981.65</v>
          </cell>
          <cell r="J86">
            <v>3272</v>
          </cell>
          <cell r="K86">
            <v>29142.921373801917</v>
          </cell>
          <cell r="L86">
            <v>39495</v>
          </cell>
          <cell r="M86">
            <v>337.8244089456868</v>
          </cell>
          <cell r="N86">
            <v>39495</v>
          </cell>
          <cell r="O86">
            <v>433.27137380191675</v>
          </cell>
          <cell r="P86">
            <v>0</v>
          </cell>
          <cell r="Q86">
            <v>0</v>
          </cell>
        </row>
        <row r="87">
          <cell r="B87">
            <v>23624</v>
          </cell>
          <cell r="C87">
            <v>31126</v>
          </cell>
          <cell r="D87">
            <v>4069</v>
          </cell>
          <cell r="E87">
            <v>27394.824408945686</v>
          </cell>
          <cell r="F87">
            <v>0</v>
          </cell>
          <cell r="G87">
            <v>39502</v>
          </cell>
          <cell r="H87">
            <v>23624</v>
          </cell>
          <cell r="I87">
            <v>31981.65</v>
          </cell>
          <cell r="J87">
            <v>4403</v>
          </cell>
          <cell r="K87">
            <v>28011.921373801917</v>
          </cell>
          <cell r="L87">
            <v>39502</v>
          </cell>
          <cell r="M87">
            <v>337.8244089456868</v>
          </cell>
          <cell r="N87">
            <v>39502</v>
          </cell>
          <cell r="O87">
            <v>433.27137380191675</v>
          </cell>
          <cell r="P87">
            <v>0</v>
          </cell>
          <cell r="Q87">
            <v>0</v>
          </cell>
        </row>
        <row r="88">
          <cell r="B88">
            <v>23374</v>
          </cell>
          <cell r="C88">
            <v>31126</v>
          </cell>
          <cell r="D88">
            <v>4069</v>
          </cell>
          <cell r="E88">
            <v>27394.824408945686</v>
          </cell>
          <cell r="F88">
            <v>0</v>
          </cell>
          <cell r="G88">
            <v>39509</v>
          </cell>
          <cell r="H88">
            <v>23374</v>
          </cell>
          <cell r="I88">
            <v>31981.65</v>
          </cell>
          <cell r="J88">
            <v>4403</v>
          </cell>
          <cell r="K88">
            <v>28011.921373801917</v>
          </cell>
          <cell r="L88">
            <v>39509</v>
          </cell>
          <cell r="M88">
            <v>337.8244089456868</v>
          </cell>
          <cell r="N88">
            <v>39509</v>
          </cell>
          <cell r="O88">
            <v>433.27137380191675</v>
          </cell>
          <cell r="P88">
            <v>0</v>
          </cell>
          <cell r="Q88">
            <v>0</v>
          </cell>
        </row>
        <row r="89">
          <cell r="B89">
            <v>23236</v>
          </cell>
          <cell r="C89">
            <v>31126</v>
          </cell>
          <cell r="D89">
            <v>5327</v>
          </cell>
          <cell r="E89">
            <v>26136.824408945686</v>
          </cell>
          <cell r="F89">
            <v>0</v>
          </cell>
          <cell r="G89">
            <v>39516</v>
          </cell>
          <cell r="H89">
            <v>23236</v>
          </cell>
          <cell r="I89">
            <v>31981.65</v>
          </cell>
          <cell r="J89">
            <v>5661</v>
          </cell>
          <cell r="K89">
            <v>26753.921373801917</v>
          </cell>
          <cell r="L89">
            <v>39516</v>
          </cell>
          <cell r="M89">
            <v>337.8244089456868</v>
          </cell>
          <cell r="N89">
            <v>39516</v>
          </cell>
          <cell r="O89">
            <v>433.27137380191675</v>
          </cell>
          <cell r="P89">
            <v>0</v>
          </cell>
          <cell r="Q89">
            <v>0</v>
          </cell>
        </row>
        <row r="90">
          <cell r="B90">
            <v>22189</v>
          </cell>
          <cell r="C90">
            <v>31126</v>
          </cell>
          <cell r="D90">
            <v>5330</v>
          </cell>
          <cell r="E90">
            <v>26133.824408945686</v>
          </cell>
          <cell r="F90">
            <v>0</v>
          </cell>
          <cell r="G90">
            <v>39523</v>
          </cell>
          <cell r="H90">
            <v>22189</v>
          </cell>
          <cell r="I90">
            <v>31981.65</v>
          </cell>
          <cell r="J90">
            <v>5664</v>
          </cell>
          <cell r="K90">
            <v>26750.921373801917</v>
          </cell>
          <cell r="L90">
            <v>39523</v>
          </cell>
          <cell r="M90">
            <v>337.8244089456868</v>
          </cell>
          <cell r="N90">
            <v>39523</v>
          </cell>
          <cell r="O90">
            <v>433.27137380191675</v>
          </cell>
          <cell r="P90">
            <v>0</v>
          </cell>
          <cell r="Q90">
            <v>0</v>
          </cell>
        </row>
        <row r="91">
          <cell r="B91">
            <v>22047</v>
          </cell>
          <cell r="C91">
            <v>31126</v>
          </cell>
          <cell r="D91">
            <v>5322</v>
          </cell>
          <cell r="E91">
            <v>26141.824408945686</v>
          </cell>
          <cell r="F91">
            <v>0</v>
          </cell>
          <cell r="G91">
            <v>39530</v>
          </cell>
          <cell r="H91">
            <v>22047</v>
          </cell>
          <cell r="I91">
            <v>31981.65</v>
          </cell>
          <cell r="J91">
            <v>5656</v>
          </cell>
          <cell r="K91">
            <v>26758.921373801917</v>
          </cell>
          <cell r="L91">
            <v>39530</v>
          </cell>
          <cell r="M91">
            <v>337.8244089456868</v>
          </cell>
          <cell r="N91">
            <v>39530</v>
          </cell>
          <cell r="O91">
            <v>433.27137380191675</v>
          </cell>
          <cell r="P91">
            <v>0</v>
          </cell>
          <cell r="Q91">
            <v>0</v>
          </cell>
        </row>
        <row r="92">
          <cell r="B92">
            <v>21158</v>
          </cell>
          <cell r="C92">
            <v>31126</v>
          </cell>
          <cell r="D92">
            <v>7101</v>
          </cell>
          <cell r="E92">
            <v>24362.824408945686</v>
          </cell>
          <cell r="F92">
            <v>0</v>
          </cell>
          <cell r="G92">
            <v>39537</v>
          </cell>
          <cell r="H92">
            <v>21158</v>
          </cell>
          <cell r="I92">
            <v>31981.65</v>
          </cell>
          <cell r="J92">
            <v>7435</v>
          </cell>
          <cell r="K92">
            <v>24979.921373801917</v>
          </cell>
          <cell r="L92">
            <v>39537</v>
          </cell>
          <cell r="M92">
            <v>337.8244089456868</v>
          </cell>
          <cell r="N92">
            <v>39537</v>
          </cell>
          <cell r="O92">
            <v>433.27137380191675</v>
          </cell>
          <cell r="P92">
            <v>0</v>
          </cell>
          <cell r="Q92">
            <v>0</v>
          </cell>
        </row>
        <row r="93">
          <cell r="B93">
            <v>0</v>
          </cell>
          <cell r="C93">
            <v>0</v>
          </cell>
          <cell r="D93">
            <v>0</v>
          </cell>
          <cell r="E93">
            <v>0</v>
          </cell>
          <cell r="F93">
            <v>0</v>
          </cell>
          <cell r="G93">
            <v>0</v>
          </cell>
          <cell r="H93">
            <v>0</v>
          </cell>
          <cell r="I93">
            <v>0</v>
          </cell>
          <cell r="J93">
            <v>0</v>
          </cell>
          <cell r="K93">
            <v>0</v>
          </cell>
          <cell r="L93">
            <v>0</v>
          </cell>
          <cell r="M93">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tabSelected="1" workbookViewId="0">
      <selection activeCell="J18" sqref="J17:J18"/>
    </sheetView>
  </sheetViews>
  <sheetFormatPr defaultRowHeight="15" x14ac:dyDescent="0.2"/>
  <cols>
    <col min="1" max="1" width="48.33203125" customWidth="1"/>
    <col min="2" max="6" width="9.88671875" customWidth="1"/>
    <col min="7" max="7" width="9.77734375" customWidth="1"/>
  </cols>
  <sheetData>
    <row r="1" spans="1:7" x14ac:dyDescent="0.2">
      <c r="F1" s="52" t="s">
        <v>106</v>
      </c>
      <c r="G1" s="53" t="s">
        <v>113</v>
      </c>
    </row>
    <row r="2" spans="1:7" x14ac:dyDescent="0.2">
      <c r="F2" s="52" t="s">
        <v>107</v>
      </c>
      <c r="G2" s="54">
        <v>2</v>
      </c>
    </row>
    <row r="3" spans="1:7" x14ac:dyDescent="0.2">
      <c r="F3" s="52" t="s">
        <v>108</v>
      </c>
      <c r="G3" s="54">
        <v>5</v>
      </c>
    </row>
    <row r="4" spans="1:7" x14ac:dyDescent="0.2">
      <c r="F4" s="52" t="s">
        <v>109</v>
      </c>
      <c r="G4" s="54">
        <v>2</v>
      </c>
    </row>
    <row r="5" spans="1:7" x14ac:dyDescent="0.2">
      <c r="F5" s="52" t="s">
        <v>110</v>
      </c>
      <c r="G5" s="55" t="s">
        <v>111</v>
      </c>
    </row>
    <row r="6" spans="1:7" x14ac:dyDescent="0.2">
      <c r="F6" s="52"/>
      <c r="G6" s="53"/>
    </row>
    <row r="7" spans="1:7" x14ac:dyDescent="0.2">
      <c r="F7" s="52" t="s">
        <v>112</v>
      </c>
      <c r="G7" s="56">
        <v>41702</v>
      </c>
    </row>
    <row r="9" spans="1:7" ht="18" x14ac:dyDescent="0.2">
      <c r="A9" s="783" t="s">
        <v>34</v>
      </c>
      <c r="B9" s="783"/>
      <c r="C9" s="783"/>
      <c r="D9" s="783"/>
      <c r="E9" s="783"/>
      <c r="F9" s="783"/>
      <c r="G9" s="783"/>
    </row>
    <row r="10" spans="1:7" ht="18" x14ac:dyDescent="0.2">
      <c r="A10" s="784" t="s">
        <v>35</v>
      </c>
      <c r="B10" s="784"/>
      <c r="C10" s="784"/>
      <c r="D10" s="784"/>
      <c r="E10" s="784"/>
      <c r="F10" s="784"/>
      <c r="G10" s="784"/>
    </row>
    <row r="12" spans="1:7" ht="15.75" thickBot="1" x14ac:dyDescent="0.25">
      <c r="A12" s="785"/>
      <c r="B12" s="785"/>
      <c r="C12" s="785"/>
      <c r="D12" s="785"/>
      <c r="E12" s="785"/>
      <c r="F12" s="785"/>
      <c r="G12" s="785"/>
    </row>
    <row r="13" spans="1:7" ht="51" x14ac:dyDescent="0.2">
      <c r="A13" s="27" t="s">
        <v>36</v>
      </c>
      <c r="B13" s="28">
        <v>2009</v>
      </c>
      <c r="C13" s="28">
        <v>2010</v>
      </c>
      <c r="D13" s="28">
        <v>2011</v>
      </c>
      <c r="E13" s="28">
        <v>2012</v>
      </c>
      <c r="F13" s="28" t="s">
        <v>37</v>
      </c>
      <c r="G13" s="28" t="s">
        <v>38</v>
      </c>
    </row>
    <row r="14" spans="1:7" x14ac:dyDescent="0.2">
      <c r="A14" s="29" t="s">
        <v>4</v>
      </c>
      <c r="B14" s="30" t="s">
        <v>5</v>
      </c>
      <c r="C14" s="30" t="s">
        <v>5</v>
      </c>
      <c r="D14" s="30" t="s">
        <v>5</v>
      </c>
      <c r="E14" s="30" t="s">
        <v>5</v>
      </c>
      <c r="F14" s="30" t="s">
        <v>5</v>
      </c>
      <c r="G14" s="30" t="s">
        <v>5</v>
      </c>
    </row>
    <row r="15" spans="1:7" ht="15.75" x14ac:dyDescent="0.25">
      <c r="A15" s="57" t="s">
        <v>39</v>
      </c>
      <c r="B15" s="32"/>
      <c r="C15" s="32"/>
      <c r="D15" s="32"/>
      <c r="E15" s="32"/>
      <c r="F15" s="32"/>
      <c r="G15" s="32"/>
    </row>
    <row r="16" spans="1:7" x14ac:dyDescent="0.2">
      <c r="A16" s="31" t="s">
        <v>40</v>
      </c>
      <c r="B16" s="34"/>
      <c r="C16" s="34"/>
      <c r="D16" s="34"/>
      <c r="E16" s="34"/>
      <c r="F16" s="34"/>
      <c r="G16" s="34">
        <v>153000</v>
      </c>
    </row>
    <row r="17" spans="1:7" x14ac:dyDescent="0.2">
      <c r="A17" s="31" t="s">
        <v>41</v>
      </c>
      <c r="B17" s="34"/>
      <c r="C17" s="34"/>
      <c r="D17" s="34"/>
      <c r="E17" s="34"/>
      <c r="F17" s="34">
        <v>29835</v>
      </c>
      <c r="G17" s="34">
        <v>441675</v>
      </c>
    </row>
    <row r="18" spans="1:7" x14ac:dyDescent="0.2">
      <c r="A18" s="31" t="s">
        <v>42</v>
      </c>
      <c r="B18" s="35"/>
      <c r="C18" s="35"/>
      <c r="D18" s="35"/>
      <c r="E18" s="35"/>
      <c r="F18" s="35"/>
      <c r="G18" s="35">
        <v>107000</v>
      </c>
    </row>
    <row r="19" spans="1:7" x14ac:dyDescent="0.2">
      <c r="A19" s="31" t="s">
        <v>43</v>
      </c>
      <c r="B19" s="35"/>
      <c r="C19" s="35"/>
      <c r="D19" s="35"/>
      <c r="E19" s="35"/>
      <c r="F19" s="35"/>
      <c r="G19" s="35">
        <v>20000</v>
      </c>
    </row>
    <row r="20" spans="1:7" x14ac:dyDescent="0.2">
      <c r="A20" s="31" t="s">
        <v>44</v>
      </c>
      <c r="B20" s="35">
        <v>102000</v>
      </c>
      <c r="C20" s="35">
        <v>125000</v>
      </c>
      <c r="D20" s="35">
        <v>172000</v>
      </c>
      <c r="E20" s="35">
        <v>132000</v>
      </c>
      <c r="F20" s="35">
        <v>328565</v>
      </c>
      <c r="G20" s="35">
        <v>248000</v>
      </c>
    </row>
    <row r="21" spans="1:7" x14ac:dyDescent="0.2">
      <c r="A21" s="36" t="s">
        <v>45</v>
      </c>
      <c r="B21" s="34">
        <v>362000</v>
      </c>
      <c r="C21" s="34">
        <v>444000</v>
      </c>
      <c r="D21" s="34">
        <v>235000</v>
      </c>
      <c r="E21" s="34">
        <v>435000</v>
      </c>
      <c r="F21" s="34">
        <v>632249</v>
      </c>
      <c r="G21" s="34">
        <v>451000</v>
      </c>
    </row>
    <row r="22" spans="1:7" x14ac:dyDescent="0.2">
      <c r="A22" s="31" t="s">
        <v>46</v>
      </c>
      <c r="B22" s="35">
        <v>516000</v>
      </c>
      <c r="C22" s="35">
        <v>546000</v>
      </c>
      <c r="D22" s="35">
        <v>512000</v>
      </c>
      <c r="E22" s="35">
        <v>755000</v>
      </c>
      <c r="F22" s="35">
        <v>496251</v>
      </c>
      <c r="G22" s="35">
        <v>487000</v>
      </c>
    </row>
    <row r="23" spans="1:7" x14ac:dyDescent="0.2">
      <c r="A23" s="31" t="s">
        <v>47</v>
      </c>
      <c r="B23" s="35"/>
      <c r="C23" s="35">
        <v>12000</v>
      </c>
      <c r="D23" s="35">
        <v>134000</v>
      </c>
      <c r="E23" s="35">
        <v>-12000</v>
      </c>
      <c r="F23" s="35">
        <v>76509</v>
      </c>
      <c r="G23" s="35">
        <v>195896</v>
      </c>
    </row>
    <row r="24" spans="1:7" x14ac:dyDescent="0.2">
      <c r="A24" s="31" t="s">
        <v>48</v>
      </c>
      <c r="B24" s="35"/>
      <c r="C24" s="35"/>
      <c r="D24" s="35"/>
      <c r="E24" s="35">
        <v>3682000</v>
      </c>
      <c r="F24" s="35"/>
      <c r="G24" s="35"/>
    </row>
    <row r="25" spans="1:7" x14ac:dyDescent="0.2">
      <c r="A25" s="31" t="s">
        <v>49</v>
      </c>
      <c r="B25" s="35">
        <v>-164000</v>
      </c>
      <c r="C25" s="35">
        <v>-230000</v>
      </c>
      <c r="D25" s="35">
        <v>-179000</v>
      </c>
      <c r="E25" s="35">
        <v>-198000</v>
      </c>
      <c r="F25" s="35">
        <v>-320225</v>
      </c>
      <c r="G25" s="35">
        <v>-190000</v>
      </c>
    </row>
    <row r="26" spans="1:7" x14ac:dyDescent="0.2">
      <c r="A26" s="31" t="s">
        <v>50</v>
      </c>
      <c r="B26" s="35">
        <v>112000</v>
      </c>
      <c r="C26" s="35">
        <v>107000</v>
      </c>
      <c r="D26" s="35">
        <v>13000</v>
      </c>
      <c r="E26" s="35">
        <v>54000</v>
      </c>
      <c r="F26" s="35">
        <v>93017</v>
      </c>
      <c r="G26" s="35">
        <v>74000</v>
      </c>
    </row>
    <row r="27" spans="1:7" x14ac:dyDescent="0.2">
      <c r="A27" s="37" t="s">
        <v>51</v>
      </c>
      <c r="B27" s="38">
        <v>928000</v>
      </c>
      <c r="C27" s="38">
        <v>1004000</v>
      </c>
      <c r="D27" s="38">
        <v>887000</v>
      </c>
      <c r="E27" s="38">
        <v>4848000</v>
      </c>
      <c r="F27" s="38">
        <v>1336201</v>
      </c>
      <c r="G27" s="38">
        <v>1987571</v>
      </c>
    </row>
    <row r="28" spans="1:7" ht="15.75" x14ac:dyDescent="0.25">
      <c r="A28" s="57" t="s">
        <v>52</v>
      </c>
      <c r="B28" s="39"/>
      <c r="C28" s="39"/>
      <c r="D28" s="39"/>
      <c r="E28" s="39"/>
      <c r="F28" s="39"/>
      <c r="G28" s="39"/>
    </row>
    <row r="29" spans="1:7" x14ac:dyDescent="0.2">
      <c r="A29" s="31" t="s">
        <v>53</v>
      </c>
      <c r="B29" s="40">
        <v>509000</v>
      </c>
      <c r="C29" s="40">
        <v>1026000</v>
      </c>
      <c r="D29" s="40">
        <v>769000</v>
      </c>
      <c r="E29" s="40">
        <v>498000</v>
      </c>
      <c r="F29" s="40">
        <v>401588</v>
      </c>
      <c r="G29" s="40">
        <v>375000</v>
      </c>
    </row>
    <row r="30" spans="1:7" x14ac:dyDescent="0.2">
      <c r="A30" s="31" t="s">
        <v>54</v>
      </c>
      <c r="B30" s="35">
        <v>1000</v>
      </c>
      <c r="C30" s="35"/>
      <c r="D30" s="35"/>
      <c r="E30" s="35"/>
      <c r="F30" s="35"/>
      <c r="G30" s="35"/>
    </row>
    <row r="31" spans="1:7" x14ac:dyDescent="0.2">
      <c r="A31" s="31" t="s">
        <v>55</v>
      </c>
      <c r="B31" s="35">
        <v>418000</v>
      </c>
      <c r="C31" s="35"/>
      <c r="D31" s="35"/>
      <c r="E31" s="35"/>
      <c r="F31" s="35"/>
      <c r="G31" s="35"/>
    </row>
    <row r="32" spans="1:7" x14ac:dyDescent="0.2">
      <c r="A32" s="31" t="s">
        <v>56</v>
      </c>
      <c r="B32" s="35"/>
      <c r="C32" s="35">
        <v>184000</v>
      </c>
      <c r="D32" s="35"/>
      <c r="E32" s="35"/>
      <c r="F32" s="35"/>
      <c r="G32" s="35"/>
    </row>
    <row r="33" spans="1:7" x14ac:dyDescent="0.2">
      <c r="A33" s="37" t="s">
        <v>51</v>
      </c>
      <c r="B33" s="38">
        <v>928000</v>
      </c>
      <c r="C33" s="38">
        <v>1210000</v>
      </c>
      <c r="D33" s="38">
        <v>769000</v>
      </c>
      <c r="E33" s="38">
        <v>498000</v>
      </c>
      <c r="F33" s="38">
        <v>401588</v>
      </c>
      <c r="G33" s="38">
        <v>375000</v>
      </c>
    </row>
    <row r="34" spans="1:7" ht="15.75" x14ac:dyDescent="0.25">
      <c r="A34" s="58" t="s">
        <v>57</v>
      </c>
      <c r="B34" s="39"/>
      <c r="C34" s="39"/>
      <c r="D34" s="39"/>
      <c r="E34" s="39"/>
      <c r="F34" s="39"/>
      <c r="G34" s="39"/>
    </row>
    <row r="35" spans="1:7" x14ac:dyDescent="0.2">
      <c r="A35" s="31" t="s">
        <v>58</v>
      </c>
      <c r="B35" s="40">
        <v>153000</v>
      </c>
      <c r="C35" s="40"/>
      <c r="D35" s="40"/>
      <c r="E35" s="40"/>
      <c r="F35" s="40"/>
      <c r="G35" s="40"/>
    </row>
    <row r="36" spans="1:7" ht="25.5" x14ac:dyDescent="0.2">
      <c r="A36" s="41" t="s">
        <v>59</v>
      </c>
      <c r="B36" s="42">
        <v>114000</v>
      </c>
      <c r="C36" s="42"/>
      <c r="D36" s="42"/>
      <c r="E36" s="42"/>
      <c r="F36" s="42"/>
      <c r="G36" s="42"/>
    </row>
    <row r="37" spans="1:7" x14ac:dyDescent="0.2">
      <c r="A37" s="31" t="s">
        <v>60</v>
      </c>
      <c r="B37" s="35">
        <v>315000</v>
      </c>
      <c r="C37" s="35">
        <v>1000</v>
      </c>
      <c r="D37" s="35"/>
      <c r="E37" s="35"/>
      <c r="F37" s="35"/>
      <c r="G37" s="35"/>
    </row>
    <row r="38" spans="1:7" x14ac:dyDescent="0.2">
      <c r="A38" s="31" t="s">
        <v>61</v>
      </c>
      <c r="B38" s="35">
        <v>300000</v>
      </c>
      <c r="C38" s="35"/>
      <c r="D38" s="35"/>
      <c r="E38" s="35"/>
      <c r="F38" s="35"/>
      <c r="G38" s="35"/>
    </row>
    <row r="39" spans="1:7" x14ac:dyDescent="0.2">
      <c r="A39" s="41" t="s">
        <v>61</v>
      </c>
      <c r="B39" s="43">
        <v>215000</v>
      </c>
      <c r="C39" s="35"/>
      <c r="D39" s="35"/>
      <c r="E39" s="35"/>
      <c r="F39" s="35"/>
      <c r="G39" s="35"/>
    </row>
    <row r="40" spans="1:7" x14ac:dyDescent="0.2">
      <c r="A40" s="31" t="s">
        <v>62</v>
      </c>
      <c r="B40" s="35">
        <v>124000</v>
      </c>
      <c r="C40" s="42"/>
      <c r="D40" s="42"/>
      <c r="E40" s="42"/>
      <c r="F40" s="42"/>
      <c r="G40" s="42"/>
    </row>
    <row r="41" spans="1:7" x14ac:dyDescent="0.2">
      <c r="A41" s="31" t="s">
        <v>63</v>
      </c>
      <c r="B41" s="35"/>
      <c r="C41" s="35">
        <v>24000</v>
      </c>
      <c r="D41" s="35">
        <v>2000</v>
      </c>
      <c r="E41" s="35"/>
      <c r="F41" s="35"/>
      <c r="G41" s="35"/>
    </row>
    <row r="42" spans="1:7" ht="25.5" x14ac:dyDescent="0.2">
      <c r="A42" s="41" t="s">
        <v>64</v>
      </c>
      <c r="B42" s="43"/>
      <c r="C42" s="43">
        <v>137000</v>
      </c>
      <c r="D42" s="43">
        <v>322000</v>
      </c>
      <c r="E42" s="43"/>
      <c r="F42" s="43"/>
      <c r="G42" s="43"/>
    </row>
    <row r="43" spans="1:7" x14ac:dyDescent="0.2">
      <c r="A43" s="31" t="s">
        <v>65</v>
      </c>
      <c r="B43" s="35"/>
      <c r="C43" s="35">
        <v>27000</v>
      </c>
      <c r="D43" s="35">
        <v>271000</v>
      </c>
      <c r="E43" s="35">
        <v>404000</v>
      </c>
      <c r="F43" s="35">
        <v>84030</v>
      </c>
      <c r="G43" s="35"/>
    </row>
    <row r="44" spans="1:7" x14ac:dyDescent="0.2">
      <c r="A44" s="31" t="s">
        <v>66</v>
      </c>
      <c r="B44" s="35"/>
      <c r="C44" s="35"/>
      <c r="D44" s="35">
        <v>18000</v>
      </c>
      <c r="E44" s="35">
        <v>145000</v>
      </c>
      <c r="F44" s="35"/>
      <c r="G44" s="35"/>
    </row>
    <row r="45" spans="1:7" x14ac:dyDescent="0.2">
      <c r="A45" s="31" t="s">
        <v>67</v>
      </c>
      <c r="B45" s="35"/>
      <c r="C45" s="35"/>
      <c r="D45" s="35">
        <v>123000</v>
      </c>
      <c r="E45" s="35">
        <v>1000</v>
      </c>
      <c r="F45" s="35"/>
      <c r="G45" s="35"/>
    </row>
    <row r="46" spans="1:7" x14ac:dyDescent="0.2">
      <c r="A46" s="31" t="s">
        <v>68</v>
      </c>
      <c r="B46" s="35"/>
      <c r="C46" s="35"/>
      <c r="D46" s="35">
        <v>603000</v>
      </c>
      <c r="E46" s="35">
        <v>2000</v>
      </c>
      <c r="F46" s="35"/>
      <c r="G46" s="35"/>
    </row>
    <row r="47" spans="1:7" x14ac:dyDescent="0.2">
      <c r="A47" s="31" t="s">
        <v>69</v>
      </c>
      <c r="B47" s="35"/>
      <c r="C47" s="35"/>
      <c r="D47" s="35">
        <v>4000</v>
      </c>
      <c r="E47" s="35">
        <v>324000</v>
      </c>
      <c r="F47" s="35">
        <v>126849</v>
      </c>
      <c r="G47" s="35"/>
    </row>
    <row r="48" spans="1:7" x14ac:dyDescent="0.2">
      <c r="A48" s="31" t="s">
        <v>70</v>
      </c>
      <c r="B48" s="35"/>
      <c r="C48" s="35"/>
      <c r="D48" s="35">
        <v>1274000</v>
      </c>
      <c r="E48" s="35">
        <v>1698000</v>
      </c>
      <c r="F48" s="35"/>
      <c r="G48" s="35"/>
    </row>
    <row r="49" spans="1:7" x14ac:dyDescent="0.2">
      <c r="A49" s="31" t="s">
        <v>71</v>
      </c>
      <c r="B49" s="35"/>
      <c r="C49" s="35"/>
      <c r="D49" s="35"/>
      <c r="E49" s="35">
        <v>139000</v>
      </c>
      <c r="F49" s="35"/>
      <c r="G49" s="35"/>
    </row>
    <row r="50" spans="1:7" x14ac:dyDescent="0.2">
      <c r="A50" s="31" t="s">
        <v>72</v>
      </c>
      <c r="B50" s="35"/>
      <c r="C50" s="35"/>
      <c r="D50" s="35"/>
      <c r="E50" s="35">
        <v>395000</v>
      </c>
      <c r="F50" s="35">
        <v>29546</v>
      </c>
      <c r="G50" s="35"/>
    </row>
    <row r="51" spans="1:7" x14ac:dyDescent="0.2">
      <c r="A51" s="31" t="s">
        <v>73</v>
      </c>
      <c r="B51" s="35"/>
      <c r="C51" s="35"/>
      <c r="D51" s="35"/>
      <c r="E51" s="35">
        <v>95000</v>
      </c>
      <c r="F51" s="35">
        <v>938265</v>
      </c>
      <c r="G51" s="35"/>
    </row>
    <row r="52" spans="1:7" ht="25.5" x14ac:dyDescent="0.2">
      <c r="A52" s="41" t="s">
        <v>74</v>
      </c>
      <c r="B52" s="43"/>
      <c r="C52" s="43"/>
      <c r="D52" s="43"/>
      <c r="E52" s="43"/>
      <c r="F52" s="43">
        <v>-400000</v>
      </c>
      <c r="G52" s="43"/>
    </row>
    <row r="53" spans="1:7" x14ac:dyDescent="0.2">
      <c r="A53" s="36" t="s">
        <v>75</v>
      </c>
      <c r="B53" s="35"/>
      <c r="C53" s="35"/>
      <c r="D53" s="35"/>
      <c r="E53" s="35"/>
      <c r="F53" s="35"/>
      <c r="G53" s="35">
        <v>396000</v>
      </c>
    </row>
    <row r="54" spans="1:7" x14ac:dyDescent="0.2">
      <c r="A54" s="31" t="s">
        <v>76</v>
      </c>
      <c r="B54" s="35"/>
      <c r="C54" s="35"/>
      <c r="D54" s="35"/>
      <c r="E54" s="35"/>
      <c r="F54" s="35">
        <v>759739</v>
      </c>
      <c r="G54" s="35">
        <v>406400</v>
      </c>
    </row>
    <row r="55" spans="1:7" x14ac:dyDescent="0.2">
      <c r="A55" s="31" t="s">
        <v>77</v>
      </c>
      <c r="B55" s="35"/>
      <c r="C55" s="35"/>
      <c r="D55" s="35"/>
      <c r="E55" s="35"/>
      <c r="F55" s="35">
        <v>177</v>
      </c>
      <c r="G55" s="35">
        <v>449800</v>
      </c>
    </row>
    <row r="56" spans="1:7" ht="25.5" x14ac:dyDescent="0.2">
      <c r="A56" s="36" t="s">
        <v>78</v>
      </c>
      <c r="B56" s="35"/>
      <c r="C56" s="35"/>
      <c r="D56" s="35"/>
      <c r="E56" s="35"/>
      <c r="F56" s="35">
        <v>227872</v>
      </c>
      <c r="G56" s="35">
        <v>275000</v>
      </c>
    </row>
    <row r="57" spans="1:7" x14ac:dyDescent="0.2">
      <c r="A57" s="36" t="s">
        <v>79</v>
      </c>
      <c r="B57" s="35"/>
      <c r="C57" s="35"/>
      <c r="D57" s="35"/>
      <c r="E57" s="35"/>
      <c r="F57" s="35">
        <v>233797</v>
      </c>
      <c r="G57" s="35"/>
    </row>
    <row r="58" spans="1:7" x14ac:dyDescent="0.2">
      <c r="A58" s="36" t="s">
        <v>80</v>
      </c>
      <c r="B58" s="35"/>
      <c r="C58" s="35"/>
      <c r="D58" s="35"/>
      <c r="E58" s="35"/>
      <c r="F58" s="35"/>
      <c r="G58" s="35">
        <v>300000</v>
      </c>
    </row>
    <row r="59" spans="1:7" x14ac:dyDescent="0.2">
      <c r="A59" s="31" t="s">
        <v>81</v>
      </c>
      <c r="B59" s="35"/>
      <c r="C59" s="35"/>
      <c r="D59" s="35"/>
      <c r="E59" s="35"/>
      <c r="F59" s="35"/>
      <c r="G59" s="35">
        <v>650000</v>
      </c>
    </row>
    <row r="60" spans="1:7" x14ac:dyDescent="0.2">
      <c r="A60" s="31" t="s">
        <v>82</v>
      </c>
      <c r="B60" s="35"/>
      <c r="C60" s="35"/>
      <c r="D60" s="35"/>
      <c r="E60" s="35"/>
      <c r="F60" s="35"/>
      <c r="G60" s="35">
        <v>300000</v>
      </c>
    </row>
    <row r="61" spans="1:7" x14ac:dyDescent="0.2">
      <c r="A61" s="36" t="s">
        <v>83</v>
      </c>
      <c r="B61" s="35"/>
      <c r="C61" s="35"/>
      <c r="D61" s="35"/>
      <c r="E61" s="35"/>
      <c r="F61" s="35"/>
      <c r="G61" s="35">
        <v>500000</v>
      </c>
    </row>
    <row r="62" spans="1:7" x14ac:dyDescent="0.2">
      <c r="A62" s="36" t="s">
        <v>84</v>
      </c>
      <c r="B62" s="35"/>
      <c r="C62" s="35"/>
      <c r="D62" s="35"/>
      <c r="E62" s="35"/>
      <c r="F62" s="35"/>
      <c r="G62" s="35">
        <v>800000</v>
      </c>
    </row>
    <row r="63" spans="1:7" x14ac:dyDescent="0.2">
      <c r="A63" s="37" t="s">
        <v>51</v>
      </c>
      <c r="B63" s="38">
        <v>1221000</v>
      </c>
      <c r="C63" s="38">
        <v>189000</v>
      </c>
      <c r="D63" s="38">
        <v>2617000</v>
      </c>
      <c r="E63" s="38">
        <v>3203000</v>
      </c>
      <c r="F63" s="38">
        <v>2000275</v>
      </c>
      <c r="G63" s="38">
        <v>4077200</v>
      </c>
    </row>
    <row r="64" spans="1:7" ht="15.75" x14ac:dyDescent="0.25">
      <c r="A64" s="58" t="s">
        <v>85</v>
      </c>
      <c r="B64" s="44"/>
      <c r="C64" s="44"/>
      <c r="D64" s="44"/>
      <c r="E64" s="44"/>
      <c r="F64" s="44"/>
      <c r="G64" s="44"/>
    </row>
    <row r="65" spans="1:7" x14ac:dyDescent="0.2">
      <c r="A65" s="31" t="s">
        <v>86</v>
      </c>
      <c r="B65" s="35">
        <v>-37588</v>
      </c>
      <c r="C65" s="35">
        <v>19904</v>
      </c>
      <c r="D65" s="35">
        <v>-69257</v>
      </c>
      <c r="E65" s="35">
        <v>-3740</v>
      </c>
      <c r="F65" s="40">
        <v>64443</v>
      </c>
      <c r="G65" s="40"/>
    </row>
    <row r="66" spans="1:7" x14ac:dyDescent="0.2">
      <c r="A66" s="31" t="s">
        <v>47</v>
      </c>
      <c r="B66" s="43">
        <v>35138</v>
      </c>
      <c r="C66" s="43">
        <v>8952</v>
      </c>
      <c r="D66" s="43">
        <v>48176</v>
      </c>
      <c r="E66" s="43">
        <v>-40893</v>
      </c>
      <c r="F66" s="34">
        <v>73157</v>
      </c>
      <c r="G66" s="34"/>
    </row>
    <row r="67" spans="1:7" x14ac:dyDescent="0.2">
      <c r="A67" s="37" t="s">
        <v>51</v>
      </c>
      <c r="B67" s="38">
        <v>-2450</v>
      </c>
      <c r="C67" s="38">
        <v>28856</v>
      </c>
      <c r="D67" s="38">
        <v>-21081</v>
      </c>
      <c r="E67" s="38">
        <v>-44633</v>
      </c>
      <c r="F67" s="38">
        <v>137600</v>
      </c>
      <c r="G67" s="38">
        <v>0</v>
      </c>
    </row>
    <row r="68" spans="1:7" ht="15.75" x14ac:dyDescent="0.25">
      <c r="A68" s="58" t="s">
        <v>87</v>
      </c>
      <c r="B68" s="44"/>
      <c r="C68" s="44"/>
      <c r="D68" s="44"/>
      <c r="E68" s="44"/>
      <c r="F68" s="44"/>
      <c r="G68" s="44"/>
    </row>
    <row r="69" spans="1:7" x14ac:dyDescent="0.2">
      <c r="A69" s="31" t="s">
        <v>88</v>
      </c>
      <c r="B69" s="40">
        <v>502255.83000000007</v>
      </c>
      <c r="C69" s="40">
        <v>326904</v>
      </c>
      <c r="D69" s="40">
        <v>255428</v>
      </c>
      <c r="E69" s="40">
        <v>107758</v>
      </c>
      <c r="F69" s="40">
        <v>225418</v>
      </c>
      <c r="G69" s="40"/>
    </row>
    <row r="70" spans="1:7" x14ac:dyDescent="0.2">
      <c r="A70" s="31" t="s">
        <v>89</v>
      </c>
      <c r="B70" s="34">
        <v>28935.21</v>
      </c>
      <c r="C70" s="34"/>
      <c r="D70" s="34"/>
      <c r="E70" s="34">
        <v>79027</v>
      </c>
      <c r="F70" s="34">
        <v>35085</v>
      </c>
      <c r="G70" s="34">
        <v>218400</v>
      </c>
    </row>
    <row r="71" spans="1:7" x14ac:dyDescent="0.2">
      <c r="A71" s="31" t="s">
        <v>90</v>
      </c>
      <c r="B71" s="35">
        <v>29518.120000000003</v>
      </c>
      <c r="C71" s="35">
        <v>5295</v>
      </c>
      <c r="D71" s="35">
        <v>2838</v>
      </c>
      <c r="E71" s="35"/>
      <c r="F71" s="35"/>
      <c r="G71" s="35"/>
    </row>
    <row r="72" spans="1:7" ht="38.25" x14ac:dyDescent="0.2">
      <c r="A72" s="41" t="s">
        <v>91</v>
      </c>
      <c r="B72" s="43">
        <v>6414</v>
      </c>
      <c r="C72" s="43">
        <v>32033</v>
      </c>
      <c r="D72" s="43">
        <v>138090</v>
      </c>
      <c r="E72" s="43">
        <v>22502</v>
      </c>
      <c r="F72" s="43">
        <v>1450</v>
      </c>
      <c r="G72" s="43"/>
    </row>
    <row r="73" spans="1:7" x14ac:dyDescent="0.2">
      <c r="A73" s="31" t="s">
        <v>92</v>
      </c>
      <c r="B73" s="35">
        <v>43352.08</v>
      </c>
      <c r="C73" s="35">
        <v>69180</v>
      </c>
      <c r="D73" s="35">
        <v>75941</v>
      </c>
      <c r="E73" s="35">
        <v>67895</v>
      </c>
      <c r="F73" s="35">
        <v>48670</v>
      </c>
      <c r="G73" s="35">
        <v>109344</v>
      </c>
    </row>
    <row r="74" spans="1:7" x14ac:dyDescent="0.2">
      <c r="A74" s="31" t="s">
        <v>93</v>
      </c>
      <c r="B74" s="35"/>
      <c r="C74" s="35"/>
      <c r="D74" s="35"/>
      <c r="E74" s="35">
        <v>51094</v>
      </c>
      <c r="F74" s="35"/>
      <c r="G74" s="35"/>
    </row>
    <row r="75" spans="1:7" x14ac:dyDescent="0.2">
      <c r="A75" s="31" t="s">
        <v>94</v>
      </c>
      <c r="B75" s="35">
        <v>191722</v>
      </c>
      <c r="C75" s="35">
        <v>207269</v>
      </c>
      <c r="D75" s="35">
        <v>77789</v>
      </c>
      <c r="E75" s="35">
        <v>102465</v>
      </c>
      <c r="F75" s="35">
        <v>40773</v>
      </c>
      <c r="G75" s="35">
        <v>64100</v>
      </c>
    </row>
    <row r="76" spans="1:7" x14ac:dyDescent="0.2">
      <c r="A76" s="31" t="s">
        <v>95</v>
      </c>
      <c r="B76" s="35">
        <v>173078.85</v>
      </c>
      <c r="C76" s="35"/>
      <c r="D76" s="35"/>
      <c r="E76" s="35"/>
      <c r="F76" s="35"/>
      <c r="G76" s="35"/>
    </row>
    <row r="77" spans="1:7" ht="25.5" x14ac:dyDescent="0.2">
      <c r="A77" s="41" t="s">
        <v>96</v>
      </c>
      <c r="B77" s="43">
        <v>37224.47</v>
      </c>
      <c r="C77" s="43">
        <v>77921</v>
      </c>
      <c r="D77" s="43">
        <v>46674</v>
      </c>
      <c r="E77" s="43">
        <v>66207</v>
      </c>
      <c r="F77" s="43">
        <v>55244</v>
      </c>
      <c r="G77" s="43">
        <v>216545</v>
      </c>
    </row>
    <row r="78" spans="1:7" x14ac:dyDescent="0.2">
      <c r="A78" s="31" t="s">
        <v>97</v>
      </c>
      <c r="B78" s="43"/>
      <c r="C78" s="43"/>
      <c r="D78" s="43"/>
      <c r="E78" s="43">
        <v>62416</v>
      </c>
      <c r="F78" s="43"/>
      <c r="G78" s="43"/>
    </row>
    <row r="79" spans="1:7" ht="25.5" x14ac:dyDescent="0.2">
      <c r="A79" s="41" t="s">
        <v>98</v>
      </c>
      <c r="B79" s="43"/>
      <c r="C79" s="43">
        <v>4925</v>
      </c>
      <c r="D79" s="43">
        <v>17332</v>
      </c>
      <c r="E79" s="43">
        <v>4711</v>
      </c>
      <c r="F79" s="43">
        <v>13200</v>
      </c>
      <c r="G79" s="43">
        <v>5000</v>
      </c>
    </row>
    <row r="80" spans="1:7" ht="38.25" x14ac:dyDescent="0.2">
      <c r="A80" s="36" t="s">
        <v>99</v>
      </c>
      <c r="B80" s="43">
        <v>97132.19</v>
      </c>
      <c r="C80" s="43">
        <v>90319</v>
      </c>
      <c r="D80" s="43">
        <v>58717</v>
      </c>
      <c r="E80" s="43">
        <v>87199</v>
      </c>
      <c r="F80" s="43">
        <v>38146</v>
      </c>
      <c r="G80" s="43">
        <v>67250</v>
      </c>
    </row>
    <row r="81" spans="1:7" ht="25.5" x14ac:dyDescent="0.2">
      <c r="A81" s="36" t="s">
        <v>100</v>
      </c>
      <c r="B81" s="43">
        <v>4509</v>
      </c>
      <c r="C81" s="43">
        <v>11430</v>
      </c>
      <c r="D81" s="43">
        <v>3365</v>
      </c>
      <c r="E81" s="43"/>
      <c r="F81" s="43"/>
      <c r="G81" s="43"/>
    </row>
    <row r="82" spans="1:7" x14ac:dyDescent="0.2">
      <c r="A82" s="37" t="s">
        <v>51</v>
      </c>
      <c r="B82" s="38">
        <v>1114141.75</v>
      </c>
      <c r="C82" s="38">
        <v>825276</v>
      </c>
      <c r="D82" s="38">
        <v>676174</v>
      </c>
      <c r="E82" s="38">
        <v>651274</v>
      </c>
      <c r="F82" s="38">
        <v>457986</v>
      </c>
      <c r="G82" s="38">
        <v>680639</v>
      </c>
    </row>
    <row r="83" spans="1:7" ht="15.75" thickBot="1" x14ac:dyDescent="0.25">
      <c r="A83" s="36" t="s">
        <v>101</v>
      </c>
      <c r="B83" s="33"/>
      <c r="C83" s="33"/>
      <c r="D83" s="33"/>
      <c r="E83" s="33"/>
      <c r="F83" s="33"/>
      <c r="G83" s="33"/>
    </row>
    <row r="84" spans="1:7" ht="16.5" thickTop="1" thickBot="1" x14ac:dyDescent="0.25">
      <c r="A84" s="45" t="s">
        <v>102</v>
      </c>
      <c r="B84" s="46">
        <v>4188691.75</v>
      </c>
      <c r="C84" s="46">
        <v>3257132</v>
      </c>
      <c r="D84" s="46">
        <v>4928093</v>
      </c>
      <c r="E84" s="46">
        <v>9155641</v>
      </c>
      <c r="F84" s="46">
        <v>4333650</v>
      </c>
      <c r="G84" s="46">
        <v>7120410</v>
      </c>
    </row>
    <row r="85" spans="1:7" ht="26.25" thickBot="1" x14ac:dyDescent="0.25">
      <c r="A85" s="47" t="s">
        <v>103</v>
      </c>
      <c r="B85" s="33"/>
      <c r="C85" s="33"/>
      <c r="D85" s="33"/>
      <c r="E85" s="33"/>
      <c r="F85" s="33"/>
      <c r="G85" s="33"/>
    </row>
    <row r="86" spans="1:7" ht="16.5" thickTop="1" thickBot="1" x14ac:dyDescent="0.25">
      <c r="A86" s="48" t="s">
        <v>102</v>
      </c>
      <c r="B86" s="46">
        <v>4188691.75</v>
      </c>
      <c r="C86" s="46">
        <v>3257132</v>
      </c>
      <c r="D86" s="46">
        <v>4928093</v>
      </c>
      <c r="E86" s="46">
        <v>9155641</v>
      </c>
      <c r="F86" s="46">
        <v>4333650</v>
      </c>
      <c r="G86" s="46">
        <v>7120410</v>
      </c>
    </row>
    <row r="88" spans="1:7" x14ac:dyDescent="0.2">
      <c r="B88" s="49">
        <v>-256</v>
      </c>
      <c r="C88" s="49">
        <v>364</v>
      </c>
      <c r="D88" s="49">
        <v>401.17999999970198</v>
      </c>
      <c r="E88" s="49">
        <v>63</v>
      </c>
      <c r="F88" s="49">
        <v>0</v>
      </c>
      <c r="G88" s="49">
        <v>-323</v>
      </c>
    </row>
    <row r="90" spans="1:7" x14ac:dyDescent="0.2">
      <c r="A90" s="50" t="s">
        <v>27</v>
      </c>
      <c r="F90" s="51"/>
    </row>
    <row r="92" spans="1:7" ht="15" customHeight="1" x14ac:dyDescent="0.2">
      <c r="A92" s="786" t="s">
        <v>104</v>
      </c>
      <c r="B92" s="786"/>
      <c r="C92" s="786"/>
      <c r="D92" s="786"/>
      <c r="E92" s="786"/>
      <c r="F92" s="786"/>
      <c r="G92" s="786"/>
    </row>
    <row r="93" spans="1:7" ht="15" customHeight="1" x14ac:dyDescent="0.2">
      <c r="A93" s="786" t="s">
        <v>105</v>
      </c>
      <c r="B93" s="786"/>
      <c r="C93" s="786"/>
      <c r="D93" s="786"/>
      <c r="E93" s="786"/>
      <c r="F93" s="786"/>
      <c r="G93" s="786"/>
    </row>
  </sheetData>
  <mergeCells count="5">
    <mergeCell ref="A9:G9"/>
    <mergeCell ref="A10:G10"/>
    <mergeCell ref="A12:G12"/>
    <mergeCell ref="A92:G92"/>
    <mergeCell ref="A93:G9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opLeftCell="A7" workbookViewId="0">
      <selection activeCell="B37" sqref="B37:H40"/>
    </sheetView>
  </sheetViews>
  <sheetFormatPr defaultRowHeight="15" x14ac:dyDescent="0.2"/>
  <cols>
    <col min="1" max="1" width="6.77734375" customWidth="1"/>
    <col min="2" max="2" width="23.88671875" customWidth="1"/>
    <col min="3" max="3" width="11.77734375" bestFit="1" customWidth="1"/>
    <col min="4" max="8" width="12" bestFit="1" customWidth="1"/>
  </cols>
  <sheetData>
    <row r="1" spans="1:8" x14ac:dyDescent="0.2">
      <c r="G1" s="260" t="s">
        <v>106</v>
      </c>
      <c r="H1" s="53" t="str">
        <f>EBNUMBER</f>
        <v>EB-2013-0134</v>
      </c>
    </row>
    <row r="2" spans="1:8" x14ac:dyDescent="0.2">
      <c r="G2" s="260" t="s">
        <v>107</v>
      </c>
      <c r="H2" s="54">
        <v>8</v>
      </c>
    </row>
    <row r="3" spans="1:8" x14ac:dyDescent="0.2">
      <c r="G3" s="260" t="s">
        <v>108</v>
      </c>
      <c r="H3" s="54">
        <v>1</v>
      </c>
    </row>
    <row r="4" spans="1:8" x14ac:dyDescent="0.2">
      <c r="G4" s="260" t="s">
        <v>109</v>
      </c>
      <c r="H4" s="54">
        <v>4</v>
      </c>
    </row>
    <row r="5" spans="1:8" x14ac:dyDescent="0.2">
      <c r="G5" s="260" t="s">
        <v>110</v>
      </c>
      <c r="H5" s="55">
        <v>1</v>
      </c>
    </row>
    <row r="6" spans="1:8" x14ac:dyDescent="0.2">
      <c r="G6" s="260"/>
      <c r="H6" s="53"/>
    </row>
    <row r="7" spans="1:8" x14ac:dyDescent="0.2">
      <c r="G7" s="260" t="s">
        <v>112</v>
      </c>
      <c r="H7" s="56">
        <v>41702</v>
      </c>
    </row>
    <row r="9" spans="1:8" ht="18" x14ac:dyDescent="0.25">
      <c r="A9" s="886" t="s">
        <v>437</v>
      </c>
      <c r="B9" s="886"/>
      <c r="C9" s="886"/>
      <c r="D9" s="886"/>
      <c r="E9" s="886"/>
      <c r="F9" s="886"/>
      <c r="G9" s="886"/>
      <c r="H9" s="886"/>
    </row>
    <row r="10" spans="1:8" ht="18" x14ac:dyDescent="0.25">
      <c r="A10" s="887" t="s">
        <v>438</v>
      </c>
      <c r="B10" s="887"/>
      <c r="C10" s="887"/>
      <c r="D10" s="887"/>
      <c r="E10" s="887"/>
      <c r="F10" s="887"/>
      <c r="G10" s="887"/>
      <c r="H10" s="887"/>
    </row>
    <row r="12" spans="1:8" x14ac:dyDescent="0.2">
      <c r="A12" s="950"/>
      <c r="B12" s="950"/>
      <c r="C12" s="950"/>
      <c r="D12" s="950"/>
      <c r="E12" s="950"/>
      <c r="F12" s="950"/>
      <c r="G12" s="950"/>
      <c r="H12" s="950"/>
    </row>
    <row r="13" spans="1:8" ht="15.75" thickBot="1" x14ac:dyDescent="0.25"/>
    <row r="14" spans="1:8" x14ac:dyDescent="0.2">
      <c r="A14" s="951"/>
      <c r="B14" s="952"/>
      <c r="C14" s="955" t="s">
        <v>439</v>
      </c>
      <c r="D14" s="956"/>
      <c r="E14" s="956"/>
      <c r="F14" s="956"/>
      <c r="G14" s="957"/>
      <c r="H14" s="904" t="s">
        <v>440</v>
      </c>
    </row>
    <row r="15" spans="1:8" x14ac:dyDescent="0.2">
      <c r="A15" s="953"/>
      <c r="B15" s="954"/>
      <c r="C15" s="456">
        <v>2009</v>
      </c>
      <c r="D15" s="456">
        <v>2010</v>
      </c>
      <c r="E15" s="456">
        <v>2011</v>
      </c>
      <c r="F15" s="456">
        <v>2012</v>
      </c>
      <c r="G15" s="456">
        <v>2013</v>
      </c>
      <c r="H15" s="905"/>
    </row>
    <row r="16" spans="1:8" x14ac:dyDescent="0.2">
      <c r="A16" s="457"/>
      <c r="B16" s="944" t="s">
        <v>441</v>
      </c>
      <c r="C16" s="945"/>
      <c r="D16" s="945"/>
      <c r="E16" s="945"/>
      <c r="F16" s="945"/>
      <c r="G16" s="945"/>
      <c r="H16" s="946"/>
    </row>
    <row r="17" spans="1:8" ht="30" x14ac:dyDescent="0.2">
      <c r="A17" s="458" t="s">
        <v>442</v>
      </c>
      <c r="B17" s="355" t="s">
        <v>443</v>
      </c>
      <c r="C17" s="459">
        <v>357880923</v>
      </c>
      <c r="D17" s="459">
        <v>371940959</v>
      </c>
      <c r="E17" s="459">
        <v>374153148</v>
      </c>
      <c r="F17" s="459">
        <v>368113993</v>
      </c>
      <c r="G17" s="459">
        <v>370600659</v>
      </c>
      <c r="H17" s="460">
        <f>IF(SUM(C17:G17)=0,0,AVERAGE(C17:G17))</f>
        <v>368537936.39999998</v>
      </c>
    </row>
    <row r="18" spans="1:8" ht="30" x14ac:dyDescent="0.2">
      <c r="A18" s="458" t="s">
        <v>444</v>
      </c>
      <c r="B18" s="355" t="s">
        <v>445</v>
      </c>
      <c r="C18" s="459">
        <f>ROUND(C17/1.005,0)</f>
        <v>356100421</v>
      </c>
      <c r="D18" s="459">
        <f>ROUND(D17/1.005,0)</f>
        <v>370090506</v>
      </c>
      <c r="E18" s="459">
        <f>ROUND(E17/1.005,0)</f>
        <v>372291690</v>
      </c>
      <c r="F18" s="459">
        <f>ROUND(F17/1.005,0)</f>
        <v>366282580</v>
      </c>
      <c r="G18" s="459">
        <f>ROUND(G17/1.005,0)</f>
        <v>368756875</v>
      </c>
      <c r="H18" s="460">
        <f>IF(SUM(C18:G18)=0,0,AVERAGE(C18:G18))</f>
        <v>366704414.39999998</v>
      </c>
    </row>
    <row r="19" spans="1:8" ht="45" x14ac:dyDescent="0.2">
      <c r="A19" s="458" t="s">
        <v>446</v>
      </c>
      <c r="B19" s="355" t="s">
        <v>447</v>
      </c>
      <c r="C19" s="459"/>
      <c r="D19" s="459"/>
      <c r="E19" s="459"/>
      <c r="F19" s="459"/>
      <c r="G19" s="459"/>
      <c r="H19" s="460">
        <f>IF(SUM(C19:G19)=0,0,AVERAGE(C19:G19))</f>
        <v>0</v>
      </c>
    </row>
    <row r="20" spans="1:8" ht="45" x14ac:dyDescent="0.2">
      <c r="A20" s="458" t="s">
        <v>448</v>
      </c>
      <c r="B20" s="355" t="s">
        <v>449</v>
      </c>
      <c r="C20" s="461">
        <f t="shared" ref="C20:H20" si="0">C18-C19</f>
        <v>356100421</v>
      </c>
      <c r="D20" s="461">
        <f t="shared" si="0"/>
        <v>370090506</v>
      </c>
      <c r="E20" s="461">
        <f t="shared" si="0"/>
        <v>372291690</v>
      </c>
      <c r="F20" s="461">
        <f t="shared" si="0"/>
        <v>366282580</v>
      </c>
      <c r="G20" s="461">
        <f t="shared" si="0"/>
        <v>368756875</v>
      </c>
      <c r="H20" s="462">
        <f t="shared" si="0"/>
        <v>366704414.39999998</v>
      </c>
    </row>
    <row r="21" spans="1:8" ht="30" x14ac:dyDescent="0.2">
      <c r="A21" s="458" t="s">
        <v>450</v>
      </c>
      <c r="B21" s="355" t="s">
        <v>451</v>
      </c>
      <c r="C21" s="459">
        <v>338528029</v>
      </c>
      <c r="D21" s="459">
        <v>348418005</v>
      </c>
      <c r="E21" s="459">
        <v>349960100</v>
      </c>
      <c r="F21" s="459">
        <v>344598404</v>
      </c>
      <c r="G21" s="459">
        <v>347982859</v>
      </c>
      <c r="H21" s="460">
        <f>IF(SUM(C21:G21)=0,0,AVERAGE(C21:G21))</f>
        <v>345897479.39999998</v>
      </c>
    </row>
    <row r="22" spans="1:8" ht="45" x14ac:dyDescent="0.2">
      <c r="A22" s="458" t="s">
        <v>452</v>
      </c>
      <c r="B22" s="355" t="s">
        <v>453</v>
      </c>
      <c r="C22" s="459"/>
      <c r="D22" s="459"/>
      <c r="E22" s="459"/>
      <c r="F22" s="459"/>
      <c r="G22" s="459"/>
      <c r="H22" s="460">
        <f>IF(SUM(C22:G22)=0,0,AVERAGE(C22:G22))</f>
        <v>0</v>
      </c>
    </row>
    <row r="23" spans="1:8" ht="30" x14ac:dyDescent="0.2">
      <c r="A23" s="458" t="s">
        <v>454</v>
      </c>
      <c r="B23" s="355" t="s">
        <v>455</v>
      </c>
      <c r="C23" s="461">
        <f t="shared" ref="C23:H23" si="1">C21-C22</f>
        <v>338528029</v>
      </c>
      <c r="D23" s="461">
        <f t="shared" si="1"/>
        <v>348418005</v>
      </c>
      <c r="E23" s="461">
        <f t="shared" si="1"/>
        <v>349960100</v>
      </c>
      <c r="F23" s="461">
        <f t="shared" si="1"/>
        <v>344598404</v>
      </c>
      <c r="G23" s="461">
        <f t="shared" si="1"/>
        <v>347982859</v>
      </c>
      <c r="H23" s="462">
        <f t="shared" si="1"/>
        <v>345897479.39999998</v>
      </c>
    </row>
    <row r="24" spans="1:8" ht="30" x14ac:dyDescent="0.2">
      <c r="A24" s="458" t="s">
        <v>456</v>
      </c>
      <c r="B24" s="355" t="s">
        <v>457</v>
      </c>
      <c r="C24" s="463">
        <f>ROUND(IF(C23=0,"",C20/C23),4)</f>
        <v>1.0519000000000001</v>
      </c>
      <c r="D24" s="463">
        <f t="shared" ref="D24:H24" si="2">ROUND(IF(D23=0,"",D20/D23),4)</f>
        <v>1.0622</v>
      </c>
      <c r="E24" s="463">
        <f t="shared" si="2"/>
        <v>1.0638000000000001</v>
      </c>
      <c r="F24" s="463">
        <f t="shared" si="2"/>
        <v>1.0629</v>
      </c>
      <c r="G24" s="463">
        <f t="shared" si="2"/>
        <v>1.0597000000000001</v>
      </c>
      <c r="H24" s="464">
        <f t="shared" si="2"/>
        <v>1.0602</v>
      </c>
    </row>
    <row r="25" spans="1:8" x14ac:dyDescent="0.2">
      <c r="A25" s="465"/>
      <c r="B25" s="947" t="s">
        <v>458</v>
      </c>
      <c r="C25" s="948"/>
      <c r="D25" s="948"/>
      <c r="E25" s="948"/>
      <c r="F25" s="948"/>
      <c r="G25" s="948"/>
      <c r="H25" s="949"/>
    </row>
    <row r="26" spans="1:8" x14ac:dyDescent="0.2">
      <c r="A26" s="458" t="s">
        <v>459</v>
      </c>
      <c r="B26" s="355" t="s">
        <v>460</v>
      </c>
      <c r="C26" s="466">
        <v>1.0049999999999999</v>
      </c>
      <c r="D26" s="466">
        <v>1.0049999999999999</v>
      </c>
      <c r="E26" s="466">
        <v>1.0049999999999999</v>
      </c>
      <c r="F26" s="466">
        <v>1.0049999999999999</v>
      </c>
      <c r="G26" s="466">
        <v>1.0049999999999999</v>
      </c>
      <c r="H26" s="467">
        <f>IF(SUM(C26:G26)=0,0,AVERAGE(C26:G26))</f>
        <v>1.0049999999999999</v>
      </c>
    </row>
    <row r="27" spans="1:8" x14ac:dyDescent="0.2">
      <c r="A27" s="465"/>
      <c r="B27" s="947" t="s">
        <v>461</v>
      </c>
      <c r="C27" s="948"/>
      <c r="D27" s="948"/>
      <c r="E27" s="948"/>
      <c r="F27" s="948"/>
      <c r="G27" s="948"/>
      <c r="H27" s="949"/>
    </row>
    <row r="28" spans="1:8" ht="15.75" thickBot="1" x14ac:dyDescent="0.25">
      <c r="A28" s="468" t="s">
        <v>462</v>
      </c>
      <c r="B28" s="364" t="s">
        <v>463</v>
      </c>
      <c r="C28" s="469">
        <f>ROUND(IF(C24="","",C24*C26),4)</f>
        <v>1.0571999999999999</v>
      </c>
      <c r="D28" s="469">
        <f t="shared" ref="D28:H28" si="3">ROUND(IF(D24="","",D24*D26),4)</f>
        <v>1.0674999999999999</v>
      </c>
      <c r="E28" s="469">
        <f t="shared" si="3"/>
        <v>1.0690999999999999</v>
      </c>
      <c r="F28" s="469">
        <f t="shared" si="3"/>
        <v>1.0682</v>
      </c>
      <c r="G28" s="470">
        <f t="shared" si="3"/>
        <v>1.0649999999999999</v>
      </c>
      <c r="H28" s="471">
        <f t="shared" si="3"/>
        <v>1.0654999999999999</v>
      </c>
    </row>
    <row r="30" spans="1:8" x14ac:dyDescent="0.2">
      <c r="A30" s="472" t="s">
        <v>400</v>
      </c>
    </row>
    <row r="33" spans="1:8" x14ac:dyDescent="0.2">
      <c r="A33" s="473" t="s">
        <v>442</v>
      </c>
      <c r="B33" s="942" t="s">
        <v>464</v>
      </c>
      <c r="C33" s="942"/>
      <c r="D33" s="942"/>
      <c r="E33" s="942"/>
      <c r="F33" s="942"/>
      <c r="G33" s="942"/>
      <c r="H33" s="942"/>
    </row>
    <row r="34" spans="1:8" x14ac:dyDescent="0.2">
      <c r="A34" s="474"/>
      <c r="B34" s="942"/>
      <c r="C34" s="942"/>
      <c r="D34" s="942"/>
      <c r="E34" s="942"/>
      <c r="F34" s="942"/>
      <c r="G34" s="942"/>
      <c r="H34" s="942"/>
    </row>
    <row r="35" spans="1:8" x14ac:dyDescent="0.2">
      <c r="A35" s="474"/>
      <c r="B35" s="942"/>
      <c r="C35" s="942"/>
      <c r="D35" s="942"/>
      <c r="E35" s="942"/>
      <c r="F35" s="942"/>
      <c r="G35" s="942"/>
      <c r="H35" s="942"/>
    </row>
    <row r="36" spans="1:8" x14ac:dyDescent="0.2">
      <c r="A36" s="474"/>
      <c r="B36" s="51"/>
      <c r="C36" s="51"/>
      <c r="D36" s="51"/>
      <c r="E36" s="51"/>
      <c r="F36" s="51"/>
      <c r="G36" s="51"/>
      <c r="H36" s="51"/>
    </row>
    <row r="37" spans="1:8" x14ac:dyDescent="0.2">
      <c r="A37" s="474"/>
      <c r="B37" s="942" t="s">
        <v>465</v>
      </c>
      <c r="C37" s="942"/>
      <c r="D37" s="942"/>
      <c r="E37" s="942"/>
      <c r="F37" s="942"/>
      <c r="G37" s="942"/>
      <c r="H37" s="942"/>
    </row>
    <row r="38" spans="1:8" x14ac:dyDescent="0.2">
      <c r="A38" s="474"/>
      <c r="B38" s="942"/>
      <c r="C38" s="942"/>
      <c r="D38" s="942"/>
      <c r="E38" s="942"/>
      <c r="F38" s="942"/>
      <c r="G38" s="942"/>
      <c r="H38" s="942"/>
    </row>
    <row r="39" spans="1:8" x14ac:dyDescent="0.2">
      <c r="A39" s="474"/>
      <c r="B39" s="942"/>
      <c r="C39" s="942"/>
      <c r="D39" s="942"/>
      <c r="E39" s="942"/>
      <c r="F39" s="942"/>
      <c r="G39" s="942"/>
      <c r="H39" s="942"/>
    </row>
    <row r="40" spans="1:8" x14ac:dyDescent="0.2">
      <c r="A40" s="474"/>
      <c r="B40" s="942"/>
      <c r="C40" s="942"/>
      <c r="D40" s="942"/>
      <c r="E40" s="942"/>
      <c r="F40" s="942"/>
      <c r="G40" s="942"/>
      <c r="H40" s="942"/>
    </row>
    <row r="41" spans="1:8" x14ac:dyDescent="0.2">
      <c r="A41" s="474"/>
      <c r="B41" s="51"/>
      <c r="C41" s="51"/>
      <c r="D41" s="51"/>
      <c r="E41" s="51"/>
      <c r="F41" s="51"/>
      <c r="G41" s="51"/>
      <c r="H41" s="51"/>
    </row>
    <row r="42" spans="1:8" x14ac:dyDescent="0.2">
      <c r="A42" s="474"/>
      <c r="B42" s="51" t="s">
        <v>466</v>
      </c>
      <c r="C42" s="51"/>
      <c r="D42" s="51"/>
      <c r="E42" s="51"/>
      <c r="F42" s="51"/>
      <c r="G42" s="51"/>
      <c r="H42" s="51"/>
    </row>
    <row r="43" spans="1:8" x14ac:dyDescent="0.2">
      <c r="A43" s="474"/>
      <c r="B43" s="51"/>
      <c r="C43" s="51"/>
      <c r="D43" s="51"/>
      <c r="E43" s="51"/>
      <c r="F43" s="51"/>
      <c r="G43" s="51"/>
      <c r="H43" s="51"/>
    </row>
    <row r="44" spans="1:8" x14ac:dyDescent="0.2">
      <c r="A44" s="473" t="s">
        <v>444</v>
      </c>
      <c r="B44" s="942" t="s">
        <v>467</v>
      </c>
      <c r="C44" s="942"/>
      <c r="D44" s="942"/>
      <c r="E44" s="942"/>
      <c r="F44" s="942"/>
      <c r="G44" s="942"/>
      <c r="H44" s="942"/>
    </row>
    <row r="45" spans="1:8" x14ac:dyDescent="0.2">
      <c r="A45" s="474"/>
      <c r="B45" s="942"/>
      <c r="C45" s="942"/>
      <c r="D45" s="942"/>
      <c r="E45" s="942"/>
      <c r="F45" s="942"/>
      <c r="G45" s="942"/>
      <c r="H45" s="942"/>
    </row>
    <row r="46" spans="1:8" x14ac:dyDescent="0.2">
      <c r="A46" s="474"/>
      <c r="B46" s="942"/>
      <c r="C46" s="942"/>
      <c r="D46" s="942"/>
      <c r="E46" s="942"/>
      <c r="F46" s="942"/>
      <c r="G46" s="942"/>
      <c r="H46" s="942"/>
    </row>
    <row r="47" spans="1:8" x14ac:dyDescent="0.2">
      <c r="A47" s="474"/>
      <c r="B47" s="51"/>
      <c r="C47" s="51"/>
      <c r="D47" s="51"/>
      <c r="E47" s="51"/>
      <c r="F47" s="51"/>
      <c r="G47" s="51"/>
      <c r="H47" s="51"/>
    </row>
    <row r="48" spans="1:8" x14ac:dyDescent="0.2">
      <c r="A48" s="474"/>
      <c r="B48" s="942" t="s">
        <v>468</v>
      </c>
      <c r="C48" s="942"/>
      <c r="D48" s="942"/>
      <c r="E48" s="942"/>
      <c r="F48" s="942"/>
      <c r="G48" s="942"/>
      <c r="H48" s="942"/>
    </row>
    <row r="49" spans="1:8" x14ac:dyDescent="0.2">
      <c r="A49" s="474"/>
      <c r="B49" s="942"/>
      <c r="C49" s="942"/>
      <c r="D49" s="942"/>
      <c r="E49" s="942"/>
      <c r="F49" s="942"/>
      <c r="G49" s="942"/>
      <c r="H49" s="942"/>
    </row>
    <row r="50" spans="1:8" x14ac:dyDescent="0.2">
      <c r="A50" s="474"/>
      <c r="B50" s="942"/>
      <c r="C50" s="942"/>
      <c r="D50" s="942"/>
      <c r="E50" s="942"/>
      <c r="F50" s="942"/>
      <c r="G50" s="942"/>
      <c r="H50" s="942"/>
    </row>
    <row r="51" spans="1:8" x14ac:dyDescent="0.2">
      <c r="A51" s="474"/>
      <c r="B51" s="942"/>
      <c r="C51" s="942"/>
      <c r="D51" s="942"/>
      <c r="E51" s="942"/>
      <c r="F51" s="942"/>
      <c r="G51" s="942"/>
      <c r="H51" s="942"/>
    </row>
    <row r="52" spans="1:8" x14ac:dyDescent="0.2">
      <c r="A52" s="474"/>
      <c r="B52" s="51"/>
      <c r="C52" s="51"/>
      <c r="D52" s="51"/>
      <c r="E52" s="51"/>
      <c r="F52" s="51"/>
      <c r="G52" s="51"/>
      <c r="H52" s="51"/>
    </row>
    <row r="53" spans="1:8" x14ac:dyDescent="0.2">
      <c r="A53" s="474"/>
      <c r="B53" s="941" t="s">
        <v>466</v>
      </c>
      <c r="C53" s="941"/>
      <c r="D53" s="941"/>
      <c r="E53" s="941"/>
      <c r="F53" s="941"/>
      <c r="G53" s="941"/>
      <c r="H53" s="941"/>
    </row>
    <row r="54" spans="1:8" x14ac:dyDescent="0.2">
      <c r="A54" s="474"/>
      <c r="B54" s="51"/>
      <c r="C54" s="51"/>
      <c r="D54" s="51"/>
      <c r="E54" s="51"/>
      <c r="F54" s="51"/>
      <c r="G54" s="51"/>
      <c r="H54" s="51"/>
    </row>
    <row r="55" spans="1:8" x14ac:dyDescent="0.2">
      <c r="A55" s="474"/>
      <c r="B55" s="942" t="s">
        <v>469</v>
      </c>
      <c r="C55" s="942"/>
      <c r="D55" s="942"/>
      <c r="E55" s="942"/>
      <c r="F55" s="942"/>
      <c r="G55" s="942"/>
      <c r="H55" s="942"/>
    </row>
    <row r="56" spans="1:8" x14ac:dyDescent="0.2">
      <c r="A56" s="474"/>
      <c r="B56" s="942"/>
      <c r="C56" s="942"/>
      <c r="D56" s="942"/>
      <c r="E56" s="942"/>
      <c r="F56" s="942"/>
      <c r="G56" s="942"/>
      <c r="H56" s="942"/>
    </row>
    <row r="57" spans="1:8" x14ac:dyDescent="0.2">
      <c r="A57" s="474"/>
      <c r="B57" s="51"/>
      <c r="C57" s="51"/>
      <c r="D57" s="51"/>
      <c r="E57" s="51"/>
      <c r="F57" s="51"/>
      <c r="G57" s="51"/>
      <c r="H57" s="51"/>
    </row>
    <row r="58" spans="1:8" x14ac:dyDescent="0.2">
      <c r="A58" s="473" t="s">
        <v>446</v>
      </c>
      <c r="B58" s="942" t="s">
        <v>470</v>
      </c>
      <c r="C58" s="942"/>
      <c r="D58" s="942"/>
      <c r="E58" s="942"/>
      <c r="F58" s="942"/>
      <c r="G58" s="942"/>
      <c r="H58" s="942"/>
    </row>
    <row r="59" spans="1:8" x14ac:dyDescent="0.2">
      <c r="A59" s="474"/>
      <c r="B59" s="942"/>
      <c r="C59" s="942"/>
      <c r="D59" s="942"/>
      <c r="E59" s="942"/>
      <c r="F59" s="942"/>
      <c r="G59" s="942"/>
      <c r="H59" s="942"/>
    </row>
    <row r="60" spans="1:8" x14ac:dyDescent="0.2">
      <c r="A60" s="474"/>
      <c r="B60" s="51"/>
      <c r="C60" s="51"/>
      <c r="D60" s="51"/>
      <c r="E60" s="51"/>
      <c r="F60" s="51"/>
      <c r="G60" s="51"/>
      <c r="H60" s="51"/>
    </row>
    <row r="61" spans="1:8" x14ac:dyDescent="0.2">
      <c r="A61" s="473" t="s">
        <v>450</v>
      </c>
      <c r="B61" s="942" t="s">
        <v>471</v>
      </c>
      <c r="C61" s="942"/>
      <c r="D61" s="942"/>
      <c r="E61" s="942"/>
      <c r="F61" s="942"/>
      <c r="G61" s="942"/>
      <c r="H61" s="942"/>
    </row>
    <row r="62" spans="1:8" x14ac:dyDescent="0.2">
      <c r="A62" s="474"/>
      <c r="B62" s="942"/>
      <c r="C62" s="942"/>
      <c r="D62" s="942"/>
      <c r="E62" s="942"/>
      <c r="F62" s="942"/>
      <c r="G62" s="942"/>
      <c r="H62" s="942"/>
    </row>
    <row r="63" spans="1:8" x14ac:dyDescent="0.2">
      <c r="A63" s="474"/>
      <c r="B63" s="51"/>
      <c r="C63" s="51"/>
      <c r="D63" s="51"/>
      <c r="E63" s="51"/>
      <c r="F63" s="51"/>
      <c r="G63" s="51"/>
      <c r="H63" s="51"/>
    </row>
    <row r="64" spans="1:8" x14ac:dyDescent="0.2">
      <c r="A64" s="473" t="s">
        <v>472</v>
      </c>
      <c r="B64" s="941" t="s">
        <v>473</v>
      </c>
      <c r="C64" s="941"/>
      <c r="D64" s="941"/>
      <c r="E64" s="941"/>
      <c r="F64" s="941"/>
      <c r="G64" s="941"/>
      <c r="H64" s="941"/>
    </row>
    <row r="65" spans="1:8" x14ac:dyDescent="0.2">
      <c r="A65" s="474"/>
      <c r="B65" s="51"/>
      <c r="C65" s="51"/>
      <c r="D65" s="51"/>
      <c r="E65" s="51"/>
      <c r="F65" s="51"/>
      <c r="G65" s="51"/>
      <c r="H65" s="51"/>
    </row>
    <row r="66" spans="1:8" x14ac:dyDescent="0.2">
      <c r="A66" s="473" t="s">
        <v>459</v>
      </c>
      <c r="B66" s="941" t="s">
        <v>474</v>
      </c>
      <c r="C66" s="941"/>
      <c r="D66" s="941"/>
      <c r="E66" s="941"/>
      <c r="F66" s="941"/>
      <c r="G66" s="941"/>
      <c r="H66" s="941"/>
    </row>
    <row r="67" spans="1:8" x14ac:dyDescent="0.2">
      <c r="A67" s="51"/>
      <c r="B67" s="51"/>
      <c r="C67" s="51"/>
      <c r="D67" s="51"/>
      <c r="E67" s="51"/>
      <c r="F67" s="51"/>
      <c r="G67" s="51"/>
      <c r="H67" s="51"/>
    </row>
    <row r="68" spans="1:8" x14ac:dyDescent="0.2">
      <c r="A68" s="51"/>
      <c r="B68" s="942" t="s">
        <v>475</v>
      </c>
      <c r="C68" s="942"/>
      <c r="D68" s="942"/>
      <c r="E68" s="942"/>
      <c r="F68" s="942"/>
      <c r="G68" s="942"/>
      <c r="H68" s="51"/>
    </row>
    <row r="69" spans="1:8" x14ac:dyDescent="0.2">
      <c r="A69" s="51"/>
      <c r="B69" s="942"/>
      <c r="C69" s="942"/>
      <c r="D69" s="942"/>
      <c r="E69" s="942"/>
      <c r="F69" s="942"/>
      <c r="G69" s="942"/>
      <c r="H69" s="51"/>
    </row>
    <row r="70" spans="1:8" x14ac:dyDescent="0.2">
      <c r="A70" s="51"/>
      <c r="B70" s="942"/>
      <c r="C70" s="942"/>
      <c r="D70" s="942"/>
      <c r="E70" s="942"/>
      <c r="F70" s="942"/>
      <c r="G70" s="942"/>
      <c r="H70" s="51"/>
    </row>
    <row r="71" spans="1:8" x14ac:dyDescent="0.2">
      <c r="A71" s="51"/>
      <c r="B71" s="51"/>
      <c r="C71" s="51"/>
      <c r="D71" s="51"/>
      <c r="E71" s="51"/>
      <c r="F71" s="51"/>
      <c r="G71" s="51"/>
      <c r="H71" s="51"/>
    </row>
    <row r="72" spans="1:8" x14ac:dyDescent="0.2">
      <c r="B72" s="941" t="s">
        <v>476</v>
      </c>
      <c r="C72" s="943"/>
      <c r="D72" s="943"/>
      <c r="E72" s="943"/>
      <c r="F72" s="943"/>
      <c r="G72" s="943"/>
      <c r="H72" s="943"/>
    </row>
    <row r="73" spans="1:8" x14ac:dyDescent="0.2">
      <c r="B73" t="s">
        <v>477</v>
      </c>
    </row>
  </sheetData>
  <mergeCells count="21">
    <mergeCell ref="B44:H46"/>
    <mergeCell ref="A9:H9"/>
    <mergeCell ref="A10:H10"/>
    <mergeCell ref="A12:H12"/>
    <mergeCell ref="A14:B15"/>
    <mergeCell ref="C14:G14"/>
    <mergeCell ref="H14:H15"/>
    <mergeCell ref="B16:H16"/>
    <mergeCell ref="B25:H25"/>
    <mergeCell ref="B27:H27"/>
    <mergeCell ref="B33:H35"/>
    <mergeCell ref="B37:H40"/>
    <mergeCell ref="B66:H66"/>
    <mergeCell ref="B68:G70"/>
    <mergeCell ref="B72:H72"/>
    <mergeCell ref="B48:H51"/>
    <mergeCell ref="B53:H53"/>
    <mergeCell ref="B55:H56"/>
    <mergeCell ref="B58:H59"/>
    <mergeCell ref="B61:H62"/>
    <mergeCell ref="B64:H6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5"/>
  <sheetViews>
    <sheetView workbookViewId="0">
      <selection activeCell="H45" sqref="H45"/>
    </sheetView>
  </sheetViews>
  <sheetFormatPr defaultRowHeight="15" x14ac:dyDescent="0.2"/>
  <cols>
    <col min="1" max="1" width="1.6640625" customWidth="1"/>
    <col min="2" max="2" width="24.77734375" customWidth="1"/>
    <col min="3" max="3" width="1" customWidth="1"/>
    <col min="4" max="4" width="8.77734375" customWidth="1"/>
    <col min="5" max="5" width="1" customWidth="1"/>
    <col min="6" max="6" width="9.5546875" customWidth="1"/>
    <col min="7" max="8" width="11" bestFit="1" customWidth="1"/>
    <col min="9" max="9" width="2.21875" customWidth="1"/>
    <col min="10" max="10" width="9.44140625" customWidth="1"/>
    <col min="11" max="12" width="11" bestFit="1" customWidth="1"/>
    <col min="13" max="13" width="2.21875" customWidth="1"/>
    <col min="14" max="14" width="11" bestFit="1" customWidth="1"/>
    <col min="15" max="15" width="8.44140625" bestFit="1" customWidth="1"/>
    <col min="16" max="16" width="3" customWidth="1"/>
    <col min="17" max="19" width="7.109375"/>
    <col min="20" max="20" width="7.109375" customWidth="1"/>
  </cols>
  <sheetData>
    <row r="1" spans="1:20" ht="21.75" x14ac:dyDescent="0.2">
      <c r="A1" s="475"/>
      <c r="B1" s="475"/>
      <c r="C1" s="475"/>
      <c r="D1" s="475"/>
      <c r="E1" s="475"/>
      <c r="F1" s="475"/>
      <c r="G1" s="475"/>
      <c r="H1" s="475"/>
      <c r="I1" s="475"/>
      <c r="J1" s="475"/>
      <c r="K1" s="475"/>
      <c r="L1" s="476"/>
      <c r="M1" s="476"/>
      <c r="N1" s="52" t="s">
        <v>106</v>
      </c>
      <c r="O1" s="53" t="str">
        <f>EBNUMBER</f>
        <v>EB-2013-0134</v>
      </c>
      <c r="Q1" s="476"/>
      <c r="R1" s="476"/>
      <c r="S1" s="476"/>
      <c r="T1" s="476">
        <v>13</v>
      </c>
    </row>
    <row r="2" spans="1:20" ht="18" x14ac:dyDescent="0.25">
      <c r="A2" s="477"/>
      <c r="B2" s="477"/>
      <c r="C2" s="477"/>
      <c r="D2" s="477"/>
      <c r="E2" s="477"/>
      <c r="F2" s="477"/>
      <c r="G2" s="477"/>
      <c r="H2" s="477"/>
      <c r="I2" s="477"/>
      <c r="J2" s="477"/>
      <c r="K2" s="477"/>
      <c r="L2" s="476"/>
      <c r="M2" s="476"/>
      <c r="N2" s="52" t="s">
        <v>107</v>
      </c>
      <c r="O2" s="54">
        <v>8</v>
      </c>
      <c r="Q2" s="476"/>
      <c r="R2" s="476"/>
      <c r="S2" s="476"/>
      <c r="T2" s="476">
        <v>1</v>
      </c>
    </row>
    <row r="3" spans="1:20" ht="18" x14ac:dyDescent="0.25">
      <c r="A3" s="972"/>
      <c r="B3" s="972"/>
      <c r="C3" s="972"/>
      <c r="D3" s="972"/>
      <c r="E3" s="972"/>
      <c r="F3" s="972"/>
      <c r="G3" s="972"/>
      <c r="H3" s="972"/>
      <c r="I3" s="972"/>
      <c r="J3" s="972"/>
      <c r="K3" s="972"/>
      <c r="L3" s="476"/>
      <c r="M3" s="476"/>
      <c r="N3" s="52" t="s">
        <v>108</v>
      </c>
      <c r="O3" s="54">
        <v>4</v>
      </c>
      <c r="Q3" s="476"/>
      <c r="R3" s="476"/>
      <c r="S3" s="476"/>
      <c r="T3" s="476">
        <v>2</v>
      </c>
    </row>
    <row r="4" spans="1:20" ht="18" x14ac:dyDescent="0.25">
      <c r="A4" s="477"/>
      <c r="B4" s="477"/>
      <c r="C4" s="477"/>
      <c r="D4" s="477"/>
      <c r="E4" s="477"/>
      <c r="F4" s="477"/>
      <c r="G4" s="477"/>
      <c r="H4" s="477"/>
      <c r="I4" s="478"/>
      <c r="J4" s="478"/>
      <c r="K4" s="478"/>
      <c r="L4" s="476"/>
      <c r="M4" s="476"/>
      <c r="N4" s="52" t="s">
        <v>109</v>
      </c>
      <c r="O4" s="54">
        <v>1</v>
      </c>
      <c r="Q4" s="476"/>
      <c r="R4" s="476"/>
      <c r="S4" s="476"/>
      <c r="T4" s="476"/>
    </row>
    <row r="5" spans="1:20" ht="15.75" x14ac:dyDescent="0.25">
      <c r="A5" s="476"/>
      <c r="B5" s="476"/>
      <c r="C5" s="479"/>
      <c r="D5" s="479"/>
      <c r="E5" s="479"/>
      <c r="F5" s="476"/>
      <c r="G5" s="476"/>
      <c r="H5" s="476"/>
      <c r="I5" s="476"/>
      <c r="J5" s="476"/>
      <c r="K5" s="476"/>
      <c r="L5" s="476"/>
      <c r="M5" s="476"/>
      <c r="N5" s="52" t="s">
        <v>110</v>
      </c>
      <c r="O5" s="55">
        <v>1</v>
      </c>
      <c r="Q5" s="476"/>
      <c r="R5" s="476"/>
      <c r="S5" s="476"/>
      <c r="T5" s="476"/>
    </row>
    <row r="6" spans="1:20" x14ac:dyDescent="0.2">
      <c r="A6" s="476"/>
      <c r="B6" s="476"/>
      <c r="C6" s="476"/>
      <c r="D6" s="476"/>
      <c r="E6" s="476"/>
      <c r="F6" s="476"/>
      <c r="G6" s="476"/>
      <c r="H6" s="476"/>
      <c r="I6" s="476"/>
      <c r="J6" s="476"/>
      <c r="K6" s="476"/>
      <c r="L6" s="476"/>
      <c r="M6" s="476"/>
      <c r="N6" s="52"/>
      <c r="O6" s="53"/>
      <c r="Q6" s="476"/>
      <c r="R6" s="476"/>
      <c r="S6" s="476"/>
      <c r="T6" s="476"/>
    </row>
    <row r="7" spans="1:20" x14ac:dyDescent="0.2">
      <c r="A7" s="476"/>
      <c r="B7" s="476"/>
      <c r="C7" s="476"/>
      <c r="D7" s="476"/>
      <c r="E7" s="476"/>
      <c r="F7" s="476"/>
      <c r="G7" s="476"/>
      <c r="H7" s="476"/>
      <c r="I7" s="476"/>
      <c r="J7" s="476"/>
      <c r="K7" s="476"/>
      <c r="L7" s="476"/>
      <c r="M7" s="476"/>
      <c r="N7" s="52" t="s">
        <v>112</v>
      </c>
      <c r="O7" s="56">
        <v>41702</v>
      </c>
      <c r="Q7" s="476"/>
      <c r="R7" s="476"/>
      <c r="S7" s="476"/>
      <c r="T7" s="476"/>
    </row>
    <row r="8" spans="1:20" x14ac:dyDescent="0.2">
      <c r="A8" s="476"/>
      <c r="B8" s="476"/>
      <c r="C8" s="476"/>
      <c r="D8" s="476"/>
      <c r="E8" s="476"/>
      <c r="F8" s="476"/>
      <c r="G8" s="476"/>
      <c r="H8" s="476"/>
      <c r="I8" s="476"/>
      <c r="J8" s="476"/>
      <c r="K8" s="476"/>
      <c r="L8" s="476"/>
      <c r="M8" s="476"/>
      <c r="N8" s="480"/>
      <c r="Q8" s="476"/>
      <c r="R8" s="476"/>
      <c r="S8" s="476"/>
      <c r="T8" s="476"/>
    </row>
    <row r="9" spans="1:20" x14ac:dyDescent="0.2">
      <c r="A9" s="480"/>
      <c r="B9" s="480"/>
      <c r="C9" s="480"/>
      <c r="D9" s="480"/>
      <c r="E9" s="480"/>
      <c r="F9" s="480"/>
      <c r="G9" s="480"/>
      <c r="H9" s="480"/>
      <c r="I9" s="480"/>
      <c r="J9" s="480"/>
      <c r="K9" s="480"/>
      <c r="Q9" s="480"/>
      <c r="R9" s="480"/>
      <c r="S9" s="480"/>
      <c r="T9" s="480"/>
    </row>
    <row r="10" spans="1:20" ht="18" x14ac:dyDescent="0.25">
      <c r="A10" s="480"/>
      <c r="B10" s="973" t="s">
        <v>478</v>
      </c>
      <c r="C10" s="973"/>
      <c r="D10" s="973"/>
      <c r="E10" s="973"/>
      <c r="F10" s="973"/>
      <c r="G10" s="973"/>
      <c r="H10" s="973"/>
      <c r="I10" s="973"/>
      <c r="J10" s="973"/>
      <c r="K10" s="973"/>
      <c r="L10" s="973"/>
      <c r="M10" s="973"/>
      <c r="N10" s="973"/>
      <c r="O10" s="973"/>
      <c r="Q10" s="480"/>
      <c r="R10" s="480"/>
      <c r="S10" s="480"/>
      <c r="T10" s="480"/>
    </row>
    <row r="11" spans="1:20" ht="18" x14ac:dyDescent="0.25">
      <c r="A11" s="480"/>
      <c r="B11" s="974" t="s">
        <v>479</v>
      </c>
      <c r="C11" s="974"/>
      <c r="D11" s="974"/>
      <c r="E11" s="974"/>
      <c r="F11" s="974"/>
      <c r="G11" s="974"/>
      <c r="H11" s="974"/>
      <c r="I11" s="974"/>
      <c r="J11" s="974"/>
      <c r="K11" s="974"/>
      <c r="L11" s="974"/>
      <c r="M11" s="974"/>
      <c r="N11" s="974"/>
      <c r="O11" s="974"/>
      <c r="Q11" s="480"/>
      <c r="R11" s="480"/>
      <c r="S11" s="480"/>
      <c r="T11" s="480"/>
    </row>
    <row r="12" spans="1:20" x14ac:dyDescent="0.2">
      <c r="A12" s="480"/>
      <c r="B12" s="480"/>
      <c r="C12" s="480"/>
      <c r="D12" s="480"/>
      <c r="E12" s="480"/>
      <c r="F12" s="480"/>
      <c r="G12" s="480"/>
      <c r="H12" s="480"/>
      <c r="I12" s="480"/>
      <c r="J12" s="480"/>
      <c r="K12" s="480"/>
      <c r="Q12" s="480"/>
      <c r="R12" s="480"/>
      <c r="S12" s="480"/>
      <c r="T12" s="480"/>
    </row>
    <row r="13" spans="1:20" x14ac:dyDescent="0.2">
      <c r="A13" s="480"/>
      <c r="B13" s="480"/>
      <c r="C13" s="480"/>
      <c r="D13" s="480"/>
      <c r="E13" s="480"/>
      <c r="F13" s="480"/>
      <c r="G13" s="480"/>
      <c r="H13" s="480"/>
      <c r="I13" s="480"/>
      <c r="J13" s="480"/>
      <c r="K13" s="480"/>
      <c r="Q13" s="480"/>
      <c r="R13" s="480"/>
      <c r="S13" s="480"/>
      <c r="T13" s="480"/>
    </row>
    <row r="14" spans="1:20" ht="15.75" x14ac:dyDescent="0.2">
      <c r="A14" s="480"/>
      <c r="B14" s="481" t="s">
        <v>480</v>
      </c>
      <c r="C14" s="480"/>
      <c r="D14" s="966" t="s">
        <v>481</v>
      </c>
      <c r="E14" s="966"/>
      <c r="F14" s="966"/>
      <c r="G14" s="966"/>
      <c r="H14" s="966"/>
      <c r="I14" s="966"/>
      <c r="J14" s="966"/>
      <c r="K14" s="966"/>
      <c r="L14" s="966"/>
      <c r="M14" s="966"/>
      <c r="N14" s="966"/>
      <c r="O14" s="966"/>
      <c r="P14" s="480"/>
      <c r="Q14" s="480"/>
      <c r="R14" s="480"/>
      <c r="S14" s="480"/>
      <c r="T14" s="480"/>
    </row>
    <row r="15" spans="1:20" ht="15.75" x14ac:dyDescent="0.25">
      <c r="A15" s="480"/>
      <c r="B15" s="482"/>
      <c r="C15" s="480"/>
      <c r="D15" s="483"/>
      <c r="E15" s="483"/>
      <c r="F15" s="483"/>
      <c r="G15" s="483"/>
      <c r="H15" s="483"/>
      <c r="I15" s="483"/>
      <c r="J15" s="483"/>
      <c r="K15" s="483"/>
      <c r="L15" s="483"/>
      <c r="M15" s="483"/>
      <c r="N15" s="483"/>
      <c r="O15" s="483"/>
      <c r="P15" s="480"/>
      <c r="Q15" s="480"/>
      <c r="R15" s="480"/>
      <c r="S15" s="480"/>
      <c r="T15" s="480"/>
    </row>
    <row r="16" spans="1:20" ht="15.75" x14ac:dyDescent="0.25">
      <c r="A16" s="480"/>
      <c r="B16" s="481" t="s">
        <v>482</v>
      </c>
      <c r="C16" s="480"/>
      <c r="D16" s="484" t="s">
        <v>483</v>
      </c>
      <c r="E16" s="483"/>
      <c r="F16" s="483"/>
      <c r="G16" s="483"/>
      <c r="H16" s="483"/>
      <c r="I16" s="483"/>
      <c r="J16" s="483"/>
      <c r="K16" s="483"/>
      <c r="L16" s="483"/>
      <c r="M16" s="483"/>
      <c r="N16" s="483"/>
      <c r="O16" s="483"/>
      <c r="P16" s="480"/>
      <c r="Q16" s="480"/>
      <c r="R16" s="480"/>
      <c r="S16" s="480"/>
      <c r="T16" s="480"/>
    </row>
    <row r="17" spans="1:20" ht="15.75" x14ac:dyDescent="0.25">
      <c r="A17" s="480"/>
      <c r="B17" s="482"/>
      <c r="C17" s="480"/>
      <c r="D17" s="483"/>
      <c r="E17" s="483"/>
      <c r="F17" s="483"/>
      <c r="G17" s="483"/>
      <c r="H17" s="483"/>
      <c r="I17" s="483"/>
      <c r="J17" s="483"/>
      <c r="K17" s="483"/>
      <c r="L17" s="483"/>
      <c r="M17" s="483"/>
      <c r="N17" s="483"/>
      <c r="O17" s="483"/>
      <c r="P17" s="480"/>
      <c r="Q17" s="480"/>
      <c r="R17" s="480"/>
      <c r="S17" s="480"/>
      <c r="T17" s="480"/>
    </row>
    <row r="18" spans="1:20" x14ac:dyDescent="0.2">
      <c r="A18" s="480"/>
      <c r="B18" s="485"/>
      <c r="C18" s="480"/>
      <c r="D18" s="486" t="s">
        <v>484</v>
      </c>
      <c r="E18" s="486"/>
      <c r="F18" s="487">
        <v>250</v>
      </c>
      <c r="G18" s="486" t="s">
        <v>485</v>
      </c>
      <c r="H18" s="480"/>
      <c r="I18" s="480"/>
      <c r="J18" s="480"/>
      <c r="K18" s="480"/>
      <c r="L18" s="480"/>
      <c r="M18" s="480"/>
      <c r="N18" s="480"/>
      <c r="O18" s="480"/>
      <c r="P18" s="480"/>
      <c r="Q18" s="480"/>
      <c r="R18" s="480"/>
      <c r="S18" s="480"/>
      <c r="T18" s="480"/>
    </row>
    <row r="19" spans="1:20" x14ac:dyDescent="0.2">
      <c r="A19" s="480"/>
      <c r="B19" s="485"/>
      <c r="C19" s="480"/>
      <c r="D19" s="480"/>
      <c r="E19" s="480"/>
      <c r="F19" s="480"/>
      <c r="G19" s="480"/>
      <c r="H19" s="480"/>
      <c r="I19" s="480"/>
      <c r="J19" s="480"/>
      <c r="K19" s="480"/>
      <c r="L19" s="480"/>
      <c r="M19" s="480"/>
      <c r="N19" s="480"/>
      <c r="O19" s="480"/>
      <c r="P19" s="480"/>
      <c r="Q19" s="480"/>
      <c r="R19" s="480"/>
      <c r="S19" s="480"/>
      <c r="T19" s="480"/>
    </row>
    <row r="20" spans="1:20" x14ac:dyDescent="0.2">
      <c r="A20" s="480"/>
      <c r="B20" s="485"/>
      <c r="C20" s="480"/>
      <c r="D20" s="488"/>
      <c r="E20" s="488"/>
      <c r="F20" s="967" t="s">
        <v>486</v>
      </c>
      <c r="G20" s="968"/>
      <c r="H20" s="969"/>
      <c r="I20" s="480"/>
      <c r="J20" s="967" t="s">
        <v>487</v>
      </c>
      <c r="K20" s="968"/>
      <c r="L20" s="969"/>
      <c r="M20" s="480"/>
      <c r="N20" s="967" t="s">
        <v>488</v>
      </c>
      <c r="O20" s="969"/>
      <c r="P20" s="480"/>
      <c r="Q20" s="480"/>
      <c r="R20" s="480"/>
      <c r="S20" s="480"/>
      <c r="T20" s="480"/>
    </row>
    <row r="21" spans="1:20" x14ac:dyDescent="0.2">
      <c r="A21" s="480"/>
      <c r="B21" s="485"/>
      <c r="C21" s="480"/>
      <c r="D21" s="958" t="s">
        <v>489</v>
      </c>
      <c r="E21" s="489"/>
      <c r="F21" s="490" t="s">
        <v>490</v>
      </c>
      <c r="G21" s="490" t="s">
        <v>491</v>
      </c>
      <c r="H21" s="491" t="s">
        <v>492</v>
      </c>
      <c r="I21" s="480"/>
      <c r="J21" s="490" t="s">
        <v>490</v>
      </c>
      <c r="K21" s="492" t="s">
        <v>491</v>
      </c>
      <c r="L21" s="491" t="s">
        <v>492</v>
      </c>
      <c r="M21" s="480"/>
      <c r="N21" s="960" t="s">
        <v>493</v>
      </c>
      <c r="O21" s="962" t="s">
        <v>494</v>
      </c>
      <c r="P21" s="480"/>
      <c r="Q21" s="480"/>
      <c r="R21" s="480"/>
      <c r="S21" s="480"/>
      <c r="T21" s="480"/>
    </row>
    <row r="22" spans="1:20" x14ac:dyDescent="0.2">
      <c r="A22" s="480"/>
      <c r="B22" s="485"/>
      <c r="C22" s="480"/>
      <c r="D22" s="959"/>
      <c r="E22" s="489"/>
      <c r="F22" s="493" t="s">
        <v>495</v>
      </c>
      <c r="G22" s="493"/>
      <c r="H22" s="494" t="s">
        <v>495</v>
      </c>
      <c r="I22" s="480"/>
      <c r="J22" s="493" t="s">
        <v>495</v>
      </c>
      <c r="K22" s="494"/>
      <c r="L22" s="494" t="s">
        <v>495</v>
      </c>
      <c r="M22" s="480"/>
      <c r="N22" s="961"/>
      <c r="O22" s="963"/>
      <c r="P22" s="480"/>
      <c r="Q22" s="480"/>
      <c r="R22" s="480"/>
      <c r="S22" s="480"/>
      <c r="T22" s="480"/>
    </row>
    <row r="23" spans="1:20" x14ac:dyDescent="0.2">
      <c r="A23" s="480"/>
      <c r="B23" s="495" t="s">
        <v>496</v>
      </c>
      <c r="C23" s="495"/>
      <c r="D23" s="496" t="s">
        <v>497</v>
      </c>
      <c r="E23" s="497"/>
      <c r="F23" s="498">
        <v>18.170000000000002</v>
      </c>
      <c r="G23" s="499">
        <v>1</v>
      </c>
      <c r="H23" s="500">
        <f>G23*F23</f>
        <v>18.170000000000002</v>
      </c>
      <c r="I23" s="501"/>
      <c r="J23" s="502">
        <v>18.5</v>
      </c>
      <c r="K23" s="503">
        <v>1</v>
      </c>
      <c r="L23" s="500">
        <f>K23*J23</f>
        <v>18.5</v>
      </c>
      <c r="M23" s="501"/>
      <c r="N23" s="504">
        <f>L23-H23</f>
        <v>0.32999999999999829</v>
      </c>
      <c r="O23" s="505">
        <f>IF((H23)=0,"",(N23/H23))</f>
        <v>1.8161805173362591E-2</v>
      </c>
      <c r="P23" s="480"/>
      <c r="Q23" s="480"/>
      <c r="R23" s="480"/>
      <c r="S23" s="480"/>
      <c r="T23" s="480"/>
    </row>
    <row r="24" spans="1:20" x14ac:dyDescent="0.2">
      <c r="A24" s="480"/>
      <c r="B24" s="495" t="s">
        <v>498</v>
      </c>
      <c r="C24" s="495"/>
      <c r="D24" s="496" t="s">
        <v>497</v>
      </c>
      <c r="E24" s="497"/>
      <c r="F24" s="498">
        <f>5.89</f>
        <v>5.89</v>
      </c>
      <c r="G24" s="499">
        <v>1</v>
      </c>
      <c r="H24" s="500">
        <f t="shared" ref="H24:H38" si="0">G24*F24</f>
        <v>5.89</v>
      </c>
      <c r="I24" s="501"/>
      <c r="J24" s="502"/>
      <c r="K24" s="503">
        <v>1</v>
      </c>
      <c r="L24" s="500">
        <f>K24*J24</f>
        <v>0</v>
      </c>
      <c r="M24" s="501"/>
      <c r="N24" s="504">
        <f>L24-H24</f>
        <v>-5.89</v>
      </c>
      <c r="O24" s="505">
        <f>IF((H24)=0,"",(N24/H24))</f>
        <v>-1</v>
      </c>
      <c r="P24" s="480"/>
      <c r="Q24" s="480"/>
      <c r="R24" s="480"/>
      <c r="S24" s="480"/>
      <c r="T24" s="480"/>
    </row>
    <row r="25" spans="1:20" x14ac:dyDescent="0.2">
      <c r="A25" s="480"/>
      <c r="B25" s="506"/>
      <c r="C25" s="495"/>
      <c r="D25" s="496"/>
      <c r="E25" s="497"/>
      <c r="F25" s="498"/>
      <c r="G25" s="499">
        <v>1</v>
      </c>
      <c r="H25" s="500">
        <f t="shared" si="0"/>
        <v>0</v>
      </c>
      <c r="I25" s="501"/>
      <c r="J25" s="502"/>
      <c r="K25" s="503">
        <v>1</v>
      </c>
      <c r="L25" s="500">
        <f t="shared" ref="L25:L38" si="1">K25*J25</f>
        <v>0</v>
      </c>
      <c r="M25" s="501"/>
      <c r="N25" s="504">
        <f t="shared" ref="N25:N39" si="2">L25-H25</f>
        <v>0</v>
      </c>
      <c r="O25" s="505" t="str">
        <f t="shared" ref="O25:O39" si="3">IF((H25)=0,"",(N25/H25))</f>
        <v/>
      </c>
      <c r="P25" s="480"/>
      <c r="Q25" s="480"/>
      <c r="R25" s="480"/>
      <c r="S25" s="480"/>
      <c r="T25" s="480"/>
    </row>
    <row r="26" spans="1:20" x14ac:dyDescent="0.2">
      <c r="A26" s="480"/>
      <c r="B26" s="506"/>
      <c r="C26" s="495"/>
      <c r="D26" s="496"/>
      <c r="E26" s="497"/>
      <c r="F26" s="498"/>
      <c r="G26" s="499">
        <v>1</v>
      </c>
      <c r="H26" s="500">
        <f t="shared" si="0"/>
        <v>0</v>
      </c>
      <c r="I26" s="501"/>
      <c r="J26" s="502"/>
      <c r="K26" s="503">
        <v>1</v>
      </c>
      <c r="L26" s="500">
        <f t="shared" si="1"/>
        <v>0</v>
      </c>
      <c r="M26" s="501"/>
      <c r="N26" s="504">
        <f t="shared" si="2"/>
        <v>0</v>
      </c>
      <c r="O26" s="505" t="str">
        <f t="shared" si="3"/>
        <v/>
      </c>
      <c r="P26" s="480"/>
      <c r="Q26" s="480"/>
      <c r="R26" s="480"/>
      <c r="S26" s="480"/>
      <c r="T26" s="480"/>
    </row>
    <row r="27" spans="1:20" x14ac:dyDescent="0.2">
      <c r="A27" s="480"/>
      <c r="B27" s="506"/>
      <c r="C27" s="495"/>
      <c r="D27" s="496"/>
      <c r="E27" s="497"/>
      <c r="F27" s="498"/>
      <c r="G27" s="499">
        <v>1</v>
      </c>
      <c r="H27" s="500">
        <f t="shared" si="0"/>
        <v>0</v>
      </c>
      <c r="I27" s="501"/>
      <c r="J27" s="502"/>
      <c r="K27" s="503">
        <v>1</v>
      </c>
      <c r="L27" s="500">
        <f t="shared" si="1"/>
        <v>0</v>
      </c>
      <c r="M27" s="501"/>
      <c r="N27" s="504">
        <f t="shared" si="2"/>
        <v>0</v>
      </c>
      <c r="O27" s="505" t="str">
        <f t="shared" si="3"/>
        <v/>
      </c>
      <c r="P27" s="480"/>
      <c r="Q27" s="480"/>
      <c r="R27" s="480"/>
      <c r="S27" s="480"/>
      <c r="T27" s="480"/>
    </row>
    <row r="28" spans="1:20" x14ac:dyDescent="0.2">
      <c r="A28" s="480"/>
      <c r="B28" s="506"/>
      <c r="C28" s="495"/>
      <c r="D28" s="496"/>
      <c r="E28" s="497"/>
      <c r="F28" s="498"/>
      <c r="G28" s="499">
        <v>1</v>
      </c>
      <c r="H28" s="500">
        <f t="shared" si="0"/>
        <v>0</v>
      </c>
      <c r="I28" s="501"/>
      <c r="J28" s="502"/>
      <c r="K28" s="503">
        <v>1</v>
      </c>
      <c r="L28" s="500">
        <f t="shared" si="1"/>
        <v>0</v>
      </c>
      <c r="M28" s="501"/>
      <c r="N28" s="504">
        <f t="shared" si="2"/>
        <v>0</v>
      </c>
      <c r="O28" s="505" t="str">
        <f t="shared" si="3"/>
        <v/>
      </c>
      <c r="P28" s="480"/>
      <c r="Q28" s="480"/>
      <c r="R28" s="480"/>
      <c r="S28" s="480"/>
      <c r="T28" s="480"/>
    </row>
    <row r="29" spans="1:20" x14ac:dyDescent="0.2">
      <c r="A29" s="480"/>
      <c r="B29" s="495" t="s">
        <v>499</v>
      </c>
      <c r="C29" s="495"/>
      <c r="D29" s="496" t="s">
        <v>500</v>
      </c>
      <c r="E29" s="497"/>
      <c r="F29" s="498">
        <v>2.6499999999999999E-2</v>
      </c>
      <c r="G29" s="499">
        <f>$F$73</f>
        <v>800</v>
      </c>
      <c r="H29" s="500">
        <f t="shared" si="0"/>
        <v>21.2</v>
      </c>
      <c r="I29" s="501"/>
      <c r="J29" s="502">
        <v>2.7E-2</v>
      </c>
      <c r="K29" s="499">
        <f>$F$73</f>
        <v>800</v>
      </c>
      <c r="L29" s="500">
        <f t="shared" si="1"/>
        <v>21.6</v>
      </c>
      <c r="M29" s="501"/>
      <c r="N29" s="504">
        <f t="shared" si="2"/>
        <v>0.40000000000000213</v>
      </c>
      <c r="O29" s="505">
        <f t="shared" si="3"/>
        <v>1.8867924528301987E-2</v>
      </c>
      <c r="P29" s="480"/>
      <c r="Q29" s="480"/>
      <c r="R29" s="480"/>
      <c r="S29" s="480"/>
      <c r="T29" s="480"/>
    </row>
    <row r="30" spans="1:20" x14ac:dyDescent="0.2">
      <c r="A30" s="480"/>
      <c r="B30" s="495" t="s">
        <v>501</v>
      </c>
      <c r="C30" s="495"/>
      <c r="D30" s="496"/>
      <c r="E30" s="497"/>
      <c r="F30" s="498"/>
      <c r="G30" s="499">
        <f t="shared" ref="G30" si="4">$F$73</f>
        <v>800</v>
      </c>
      <c r="H30" s="500">
        <f t="shared" si="0"/>
        <v>0</v>
      </c>
      <c r="I30" s="501"/>
      <c r="J30" s="502"/>
      <c r="K30" s="499">
        <f t="shared" ref="K30:K38" si="5">$F$73</f>
        <v>800</v>
      </c>
      <c r="L30" s="500">
        <f t="shared" si="1"/>
        <v>0</v>
      </c>
      <c r="M30" s="501"/>
      <c r="N30" s="504">
        <f t="shared" si="2"/>
        <v>0</v>
      </c>
      <c r="O30" s="505" t="str">
        <f t="shared" si="3"/>
        <v/>
      </c>
      <c r="P30" s="480"/>
      <c r="Q30" s="480"/>
      <c r="R30" s="480"/>
      <c r="S30" s="480"/>
      <c r="T30" s="480"/>
    </row>
    <row r="31" spans="1:20" x14ac:dyDescent="0.2">
      <c r="A31" s="480"/>
      <c r="B31" s="495" t="s">
        <v>502</v>
      </c>
      <c r="C31" s="495"/>
      <c r="D31" s="496"/>
      <c r="E31" s="497"/>
      <c r="F31" s="498"/>
      <c r="G31" s="499">
        <f>$F$73</f>
        <v>800</v>
      </c>
      <c r="H31" s="500">
        <f t="shared" si="0"/>
        <v>0</v>
      </c>
      <c r="I31" s="501"/>
      <c r="J31" s="502"/>
      <c r="K31" s="499">
        <f t="shared" si="5"/>
        <v>800</v>
      </c>
      <c r="L31" s="500">
        <f t="shared" si="1"/>
        <v>0</v>
      </c>
      <c r="M31" s="501"/>
      <c r="N31" s="504">
        <f t="shared" si="2"/>
        <v>0</v>
      </c>
      <c r="O31" s="505" t="str">
        <f t="shared" si="3"/>
        <v/>
      </c>
      <c r="P31" s="480"/>
      <c r="Q31" s="480"/>
      <c r="R31" s="480"/>
      <c r="S31" s="480"/>
      <c r="T31" s="480"/>
    </row>
    <row r="32" spans="1:20" x14ac:dyDescent="0.2">
      <c r="A32" s="480"/>
      <c r="B32" s="507" t="s">
        <v>503</v>
      </c>
      <c r="C32" s="495"/>
      <c r="D32" s="496" t="s">
        <v>500</v>
      </c>
      <c r="E32" s="497"/>
      <c r="F32" s="498">
        <v>-2.9999999999999997E-4</v>
      </c>
      <c r="G32" s="499">
        <f t="shared" ref="G32:G38" si="6">$F$73</f>
        <v>800</v>
      </c>
      <c r="H32" s="500">
        <f t="shared" si="0"/>
        <v>-0.24</v>
      </c>
      <c r="I32" s="501"/>
      <c r="J32" s="502"/>
      <c r="K32" s="499">
        <f t="shared" si="5"/>
        <v>800</v>
      </c>
      <c r="L32" s="500">
        <f t="shared" si="1"/>
        <v>0</v>
      </c>
      <c r="M32" s="501"/>
      <c r="N32" s="504">
        <f t="shared" si="2"/>
        <v>0.24</v>
      </c>
      <c r="O32" s="505">
        <f t="shared" si="3"/>
        <v>-1</v>
      </c>
      <c r="P32" s="480"/>
      <c r="Q32" s="480"/>
      <c r="R32" s="480"/>
      <c r="S32" s="480"/>
      <c r="T32" s="480"/>
    </row>
    <row r="33" spans="1:20" x14ac:dyDescent="0.2">
      <c r="A33" s="480"/>
      <c r="B33" s="507" t="s">
        <v>504</v>
      </c>
      <c r="C33" s="495"/>
      <c r="D33" s="496" t="s">
        <v>500</v>
      </c>
      <c r="E33" s="497"/>
      <c r="F33" s="498">
        <v>-1.8E-3</v>
      </c>
      <c r="G33" s="499">
        <f t="shared" si="6"/>
        <v>800</v>
      </c>
      <c r="H33" s="500">
        <f t="shared" si="0"/>
        <v>-1.44</v>
      </c>
      <c r="I33" s="501"/>
      <c r="J33" s="502"/>
      <c r="K33" s="499">
        <f t="shared" si="5"/>
        <v>800</v>
      </c>
      <c r="L33" s="500">
        <f t="shared" si="1"/>
        <v>0</v>
      </c>
      <c r="M33" s="501"/>
      <c r="N33" s="504">
        <f t="shared" si="2"/>
        <v>1.44</v>
      </c>
      <c r="O33" s="505">
        <f t="shared" si="3"/>
        <v>-1</v>
      </c>
      <c r="P33" s="480"/>
      <c r="Q33" s="480"/>
      <c r="R33" s="480"/>
      <c r="S33" s="480"/>
      <c r="T33" s="480"/>
    </row>
    <row r="34" spans="1:20" x14ac:dyDescent="0.2">
      <c r="A34" s="480"/>
      <c r="B34" s="507" t="s">
        <v>505</v>
      </c>
      <c r="C34" s="495"/>
      <c r="D34" s="496" t="s">
        <v>500</v>
      </c>
      <c r="E34" s="497"/>
      <c r="F34" s="498"/>
      <c r="G34" s="499">
        <f t="shared" si="6"/>
        <v>800</v>
      </c>
      <c r="H34" s="500">
        <f t="shared" si="0"/>
        <v>0</v>
      </c>
      <c r="I34" s="501"/>
      <c r="J34" s="502">
        <v>2.0999999999999999E-3</v>
      </c>
      <c r="K34" s="499">
        <f t="shared" si="5"/>
        <v>800</v>
      </c>
      <c r="L34" s="500">
        <f t="shared" si="1"/>
        <v>1.68</v>
      </c>
      <c r="M34" s="501"/>
      <c r="N34" s="504">
        <f t="shared" si="2"/>
        <v>1.68</v>
      </c>
      <c r="O34" s="505" t="str">
        <f t="shared" si="3"/>
        <v/>
      </c>
      <c r="P34" s="480"/>
      <c r="Q34" s="480"/>
      <c r="R34" s="480"/>
      <c r="S34" s="480"/>
      <c r="T34" s="480"/>
    </row>
    <row r="35" spans="1:20" x14ac:dyDescent="0.2">
      <c r="A35" s="480"/>
      <c r="B35" s="507" t="s">
        <v>506</v>
      </c>
      <c r="C35" s="495"/>
      <c r="D35" s="496" t="s">
        <v>500</v>
      </c>
      <c r="E35" s="497"/>
      <c r="F35" s="498"/>
      <c r="G35" s="499">
        <f t="shared" si="6"/>
        <v>800</v>
      </c>
      <c r="H35" s="500">
        <f t="shared" si="0"/>
        <v>0</v>
      </c>
      <c r="I35" s="501"/>
      <c r="J35" s="502">
        <v>-1.6000000000000001E-3</v>
      </c>
      <c r="K35" s="499">
        <f t="shared" si="5"/>
        <v>800</v>
      </c>
      <c r="L35" s="500">
        <f t="shared" si="1"/>
        <v>-1.28</v>
      </c>
      <c r="M35" s="501"/>
      <c r="N35" s="504">
        <f t="shared" si="2"/>
        <v>-1.28</v>
      </c>
      <c r="O35" s="505" t="str">
        <f t="shared" si="3"/>
        <v/>
      </c>
      <c r="P35" s="480"/>
      <c r="Q35" s="480"/>
      <c r="R35" s="480"/>
      <c r="S35" s="480"/>
      <c r="T35" s="480"/>
    </row>
    <row r="36" spans="1:20" x14ac:dyDescent="0.2">
      <c r="A36" s="480"/>
      <c r="B36" s="507" t="s">
        <v>507</v>
      </c>
      <c r="C36" s="495"/>
      <c r="D36" s="496" t="s">
        <v>500</v>
      </c>
      <c r="E36" s="497"/>
      <c r="F36" s="498"/>
      <c r="G36" s="499">
        <f t="shared" si="6"/>
        <v>800</v>
      </c>
      <c r="H36" s="500">
        <f t="shared" si="0"/>
        <v>0</v>
      </c>
      <c r="I36" s="501"/>
      <c r="J36" s="502">
        <v>2.0000000000000001E-4</v>
      </c>
      <c r="K36" s="499">
        <f t="shared" si="5"/>
        <v>800</v>
      </c>
      <c r="L36" s="500">
        <f t="shared" si="1"/>
        <v>0.16</v>
      </c>
      <c r="M36" s="501"/>
      <c r="N36" s="504">
        <f t="shared" si="2"/>
        <v>0.16</v>
      </c>
      <c r="O36" s="505" t="str">
        <f t="shared" si="3"/>
        <v/>
      </c>
      <c r="P36" s="480"/>
      <c r="Q36" s="480"/>
      <c r="R36" s="480"/>
      <c r="S36" s="480"/>
      <c r="T36" s="480"/>
    </row>
    <row r="37" spans="1:20" x14ac:dyDescent="0.2">
      <c r="A37" s="480"/>
      <c r="B37" s="508"/>
      <c r="C37" s="495"/>
      <c r="D37" s="496"/>
      <c r="E37" s="497"/>
      <c r="F37" s="498"/>
      <c r="G37" s="499">
        <f t="shared" si="6"/>
        <v>800</v>
      </c>
      <c r="H37" s="500">
        <f t="shared" si="0"/>
        <v>0</v>
      </c>
      <c r="I37" s="501"/>
      <c r="J37" s="502"/>
      <c r="K37" s="499">
        <f t="shared" si="5"/>
        <v>800</v>
      </c>
      <c r="L37" s="500">
        <f t="shared" si="1"/>
        <v>0</v>
      </c>
      <c r="M37" s="501"/>
      <c r="N37" s="504">
        <f t="shared" si="2"/>
        <v>0</v>
      </c>
      <c r="O37" s="505" t="str">
        <f t="shared" si="3"/>
        <v/>
      </c>
      <c r="P37" s="480"/>
      <c r="Q37" s="480"/>
      <c r="R37" s="480"/>
      <c r="S37" s="480"/>
      <c r="T37" s="480"/>
    </row>
    <row r="38" spans="1:20" x14ac:dyDescent="0.2">
      <c r="A38" s="480"/>
      <c r="B38" s="508"/>
      <c r="C38" s="495"/>
      <c r="D38" s="496"/>
      <c r="E38" s="497"/>
      <c r="F38" s="498"/>
      <c r="G38" s="499">
        <f t="shared" si="6"/>
        <v>800</v>
      </c>
      <c r="H38" s="500">
        <f t="shared" si="0"/>
        <v>0</v>
      </c>
      <c r="I38" s="501"/>
      <c r="J38" s="502"/>
      <c r="K38" s="499">
        <f t="shared" si="5"/>
        <v>800</v>
      </c>
      <c r="L38" s="500">
        <f t="shared" si="1"/>
        <v>0</v>
      </c>
      <c r="M38" s="501"/>
      <c r="N38" s="504">
        <f t="shared" si="2"/>
        <v>0</v>
      </c>
      <c r="O38" s="505" t="str">
        <f t="shared" si="3"/>
        <v/>
      </c>
      <c r="P38" s="480"/>
      <c r="Q38" s="480"/>
      <c r="R38" s="480"/>
      <c r="S38" s="480"/>
      <c r="T38" s="480"/>
    </row>
    <row r="39" spans="1:20" x14ac:dyDescent="0.2">
      <c r="A39" s="509"/>
      <c r="B39" s="510" t="s">
        <v>508</v>
      </c>
      <c r="C39" s="511"/>
      <c r="D39" s="512"/>
      <c r="E39" s="511"/>
      <c r="F39" s="513"/>
      <c r="G39" s="514"/>
      <c r="H39" s="515">
        <f>SUM(H23:H38)</f>
        <v>43.580000000000005</v>
      </c>
      <c r="I39" s="516"/>
      <c r="J39" s="517"/>
      <c r="K39" s="518"/>
      <c r="L39" s="515">
        <f>SUM(L23:L38)</f>
        <v>40.659999999999997</v>
      </c>
      <c r="M39" s="516"/>
      <c r="N39" s="519">
        <f t="shared" si="2"/>
        <v>-2.9200000000000088</v>
      </c>
      <c r="O39" s="520">
        <f t="shared" si="3"/>
        <v>-6.7003212482790467E-2</v>
      </c>
      <c r="P39" s="509"/>
      <c r="Q39" s="509"/>
      <c r="R39" s="509"/>
      <c r="S39" s="509"/>
      <c r="T39" s="509"/>
    </row>
    <row r="40" spans="1:20" ht="25.5" x14ac:dyDescent="0.2">
      <c r="A40" s="480"/>
      <c r="B40" s="521" t="s">
        <v>509</v>
      </c>
      <c r="C40" s="495"/>
      <c r="D40" s="496" t="s">
        <v>500</v>
      </c>
      <c r="E40" s="497"/>
      <c r="F40" s="502">
        <v>-2.3E-3</v>
      </c>
      <c r="G40" s="499">
        <f>$F$73</f>
        <v>800</v>
      </c>
      <c r="H40" s="500">
        <f>G40*F40</f>
        <v>-1.8399999999999999</v>
      </c>
      <c r="I40" s="501"/>
      <c r="J40" s="502">
        <v>-1.4E-3</v>
      </c>
      <c r="K40" s="499">
        <f>$F$73</f>
        <v>800</v>
      </c>
      <c r="L40" s="500">
        <f>K40*J40</f>
        <v>-1.1199999999999999</v>
      </c>
      <c r="M40" s="501"/>
      <c r="N40" s="504">
        <f>L40-H40</f>
        <v>0.72</v>
      </c>
      <c r="O40" s="505">
        <f>IF((H40)=0,"",(N40/H40))*-1</f>
        <v>0.39130434782608697</v>
      </c>
      <c r="P40" s="480"/>
      <c r="Q40" s="480"/>
      <c r="R40" s="480"/>
      <c r="S40" s="480"/>
      <c r="T40" s="480"/>
    </row>
    <row r="41" spans="1:20" x14ac:dyDescent="0.2">
      <c r="A41" s="480"/>
      <c r="B41" s="521"/>
      <c r="C41" s="495"/>
      <c r="D41" s="496"/>
      <c r="E41" s="497"/>
      <c r="F41" s="498"/>
      <c r="G41" s="499">
        <f t="shared" ref="G41:G44" si="7">$F$73</f>
        <v>800</v>
      </c>
      <c r="H41" s="500">
        <f t="shared" ref="H41:H43" si="8">G41*F41</f>
        <v>0</v>
      </c>
      <c r="I41" s="522"/>
      <c r="J41" s="502"/>
      <c r="K41" s="499">
        <f t="shared" ref="K41:K44" si="9">$F$73</f>
        <v>800</v>
      </c>
      <c r="L41" s="500">
        <f t="shared" ref="L41:L43" si="10">K41*J41</f>
        <v>0</v>
      </c>
      <c r="M41" s="523"/>
      <c r="N41" s="504">
        <f t="shared" ref="N41:N43" si="11">L41-H41</f>
        <v>0</v>
      </c>
      <c r="O41" s="505" t="str">
        <f t="shared" ref="O41:O43" si="12">IF((H41)=0,"",(N41/H41))</f>
        <v/>
      </c>
      <c r="P41" s="480"/>
      <c r="Q41" s="480"/>
      <c r="R41" s="480"/>
      <c r="S41" s="480"/>
      <c r="T41" s="480"/>
    </row>
    <row r="42" spans="1:20" x14ac:dyDescent="0.2">
      <c r="A42" s="480"/>
      <c r="B42" s="521"/>
      <c r="C42" s="495"/>
      <c r="D42" s="496"/>
      <c r="E42" s="497"/>
      <c r="F42" s="498"/>
      <c r="G42" s="499">
        <f t="shared" si="7"/>
        <v>800</v>
      </c>
      <c r="H42" s="500">
        <f t="shared" si="8"/>
        <v>0</v>
      </c>
      <c r="I42" s="522"/>
      <c r="J42" s="502"/>
      <c r="K42" s="499">
        <f t="shared" si="9"/>
        <v>800</v>
      </c>
      <c r="L42" s="500">
        <f t="shared" si="10"/>
        <v>0</v>
      </c>
      <c r="M42" s="523"/>
      <c r="N42" s="504">
        <f t="shared" si="11"/>
        <v>0</v>
      </c>
      <c r="O42" s="505" t="str">
        <f t="shared" si="12"/>
        <v/>
      </c>
      <c r="P42" s="480"/>
      <c r="Q42" s="480"/>
      <c r="R42" s="480"/>
      <c r="S42" s="480"/>
      <c r="T42" s="480"/>
    </row>
    <row r="43" spans="1:20" x14ac:dyDescent="0.2">
      <c r="A43" s="480"/>
      <c r="B43" s="521"/>
      <c r="C43" s="495"/>
      <c r="D43" s="496"/>
      <c r="E43" s="497"/>
      <c r="F43" s="498"/>
      <c r="G43" s="499">
        <f t="shared" si="7"/>
        <v>800</v>
      </c>
      <c r="H43" s="500">
        <f t="shared" si="8"/>
        <v>0</v>
      </c>
      <c r="I43" s="522"/>
      <c r="J43" s="502"/>
      <c r="K43" s="499">
        <f t="shared" si="9"/>
        <v>800</v>
      </c>
      <c r="L43" s="500">
        <f t="shared" si="10"/>
        <v>0</v>
      </c>
      <c r="M43" s="523"/>
      <c r="N43" s="504">
        <f t="shared" si="11"/>
        <v>0</v>
      </c>
      <c r="O43" s="505" t="str">
        <f t="shared" si="12"/>
        <v/>
      </c>
      <c r="P43" s="480"/>
      <c r="Q43" s="480"/>
      <c r="R43" s="480"/>
      <c r="S43" s="480"/>
      <c r="T43" s="480"/>
    </row>
    <row r="44" spans="1:20" x14ac:dyDescent="0.2">
      <c r="A44" s="480"/>
      <c r="B44" s="524" t="s">
        <v>510</v>
      </c>
      <c r="C44" s="495"/>
      <c r="D44" s="496" t="s">
        <v>500</v>
      </c>
      <c r="E44" s="497"/>
      <c r="F44" s="498">
        <v>4.0000000000000002E-4</v>
      </c>
      <c r="G44" s="499">
        <f t="shared" si="7"/>
        <v>800</v>
      </c>
      <c r="H44" s="500">
        <f>G44*F44</f>
        <v>0.32</v>
      </c>
      <c r="I44" s="501"/>
      <c r="J44" s="502">
        <v>4.0000000000000002E-4</v>
      </c>
      <c r="K44" s="499">
        <f t="shared" si="9"/>
        <v>800</v>
      </c>
      <c r="L44" s="500">
        <f>K44*J44</f>
        <v>0.32</v>
      </c>
      <c r="M44" s="501"/>
      <c r="N44" s="504">
        <f>L44-H44</f>
        <v>0</v>
      </c>
      <c r="O44" s="505">
        <f>IF((H44)=0,"",(N44/H44))</f>
        <v>0</v>
      </c>
      <c r="P44" s="480"/>
      <c r="Q44" s="480"/>
      <c r="R44" s="480"/>
      <c r="S44" s="480"/>
      <c r="T44" s="480"/>
    </row>
    <row r="45" spans="1:20" x14ac:dyDescent="0.2">
      <c r="A45" s="480"/>
      <c r="B45" s="524" t="s">
        <v>511</v>
      </c>
      <c r="C45" s="495"/>
      <c r="D45" s="496" t="s">
        <v>500</v>
      </c>
      <c r="E45" s="497"/>
      <c r="F45" s="525">
        <f>IF(ISBLANK(D16)=TRUE, 0, IF(D16="TOU", 0.64*$F$110+0.18*$F$111+0.18*$F$112, IF(AND(D16="non-TOU",#REF!&gt; 0),#REF!,#REF!)))</f>
        <v>8.3919999999999995E-2</v>
      </c>
      <c r="G45" s="526">
        <f>$F$73*(1+$F$121)-$F$73</f>
        <v>54.400000000000091</v>
      </c>
      <c r="H45" s="500">
        <f t="shared" ref="H45" si="13">G45*F45</f>
        <v>4.5652480000000075</v>
      </c>
      <c r="I45" s="501"/>
      <c r="J45" s="527">
        <f>0.64*$F$110+0.18*$F$111+0.18*$F$112</f>
        <v>8.3919999999999995E-2</v>
      </c>
      <c r="K45" s="526">
        <f>$F$73*(1+$J$121)-$F$73</f>
        <v>52.400000000000091</v>
      </c>
      <c r="L45" s="500">
        <f t="shared" ref="L45" si="14">K45*J45</f>
        <v>4.3974080000000075</v>
      </c>
      <c r="M45" s="501"/>
      <c r="N45" s="504">
        <f t="shared" ref="N45" si="15">L45-H45</f>
        <v>-0.16783999999999999</v>
      </c>
      <c r="O45" s="505">
        <f t="shared" ref="O45" si="16">IF((H45)=0,"",(N45/H45))</f>
        <v>-3.676470588235288E-2</v>
      </c>
      <c r="P45" s="480"/>
      <c r="Q45" s="480"/>
      <c r="R45" s="480"/>
      <c r="S45" s="480"/>
      <c r="T45" s="480"/>
    </row>
    <row r="46" spans="1:20" x14ac:dyDescent="0.2">
      <c r="A46" s="480"/>
      <c r="B46" s="524" t="s">
        <v>512</v>
      </c>
      <c r="C46" s="495"/>
      <c r="D46" s="496" t="s">
        <v>497</v>
      </c>
      <c r="E46" s="497"/>
      <c r="F46" s="525">
        <v>0.79</v>
      </c>
      <c r="G46" s="499">
        <v>1</v>
      </c>
      <c r="H46" s="500">
        <f>G46*F46</f>
        <v>0.79</v>
      </c>
      <c r="I46" s="501"/>
      <c r="J46" s="525">
        <v>0.79</v>
      </c>
      <c r="K46" s="499">
        <v>1</v>
      </c>
      <c r="L46" s="500">
        <f>K46*J46</f>
        <v>0.79</v>
      </c>
      <c r="M46" s="501"/>
      <c r="N46" s="504">
        <f>L46-H46</f>
        <v>0</v>
      </c>
      <c r="O46" s="505"/>
      <c r="P46" s="480"/>
      <c r="Q46" s="480"/>
      <c r="R46" s="480"/>
      <c r="S46" s="480"/>
      <c r="T46" s="480"/>
    </row>
    <row r="47" spans="1:20" ht="25.5" x14ac:dyDescent="0.2">
      <c r="A47" s="480"/>
      <c r="B47" s="528" t="s">
        <v>513</v>
      </c>
      <c r="C47" s="529"/>
      <c r="D47" s="529"/>
      <c r="E47" s="529"/>
      <c r="F47" s="530"/>
      <c r="G47" s="531"/>
      <c r="H47" s="532">
        <f>SUM(H40:H46)+H39</f>
        <v>47.415248000000012</v>
      </c>
      <c r="I47" s="516"/>
      <c r="J47" s="531"/>
      <c r="K47" s="533"/>
      <c r="L47" s="532">
        <f>SUM(L40:L46)+L39</f>
        <v>45.047408000000004</v>
      </c>
      <c r="M47" s="516"/>
      <c r="N47" s="519">
        <f t="shared" ref="N47:N57" si="17">L47-H47</f>
        <v>-2.3678400000000082</v>
      </c>
      <c r="O47" s="520">
        <f t="shared" ref="O47:O57" si="18">IF((H47)=0,"",(N47/H47))</f>
        <v>-4.9938365818523345E-2</v>
      </c>
      <c r="P47" s="480"/>
      <c r="Q47" s="480"/>
      <c r="R47" s="480"/>
      <c r="S47" s="480"/>
      <c r="T47" s="480"/>
    </row>
    <row r="48" spans="1:20" x14ac:dyDescent="0.2">
      <c r="A48" s="480"/>
      <c r="B48" s="501" t="s">
        <v>514</v>
      </c>
      <c r="C48" s="501"/>
      <c r="D48" s="534" t="s">
        <v>500</v>
      </c>
      <c r="E48" s="535"/>
      <c r="F48" s="502">
        <v>6.4999999999999997E-3</v>
      </c>
      <c r="G48" s="536">
        <f>F18*(1+F66)</f>
        <v>267</v>
      </c>
      <c r="H48" s="500">
        <f>G48*F48</f>
        <v>1.7354999999999998</v>
      </c>
      <c r="I48" s="501"/>
      <c r="J48" s="502">
        <v>6.7999999999999996E-3</v>
      </c>
      <c r="K48" s="537">
        <f>F18*(1+J66)</f>
        <v>266.375</v>
      </c>
      <c r="L48" s="500">
        <f>K48*J48</f>
        <v>1.8113499999999998</v>
      </c>
      <c r="M48" s="501"/>
      <c r="N48" s="504">
        <f t="shared" si="17"/>
        <v>7.5849999999999973E-2</v>
      </c>
      <c r="O48" s="505">
        <f t="shared" si="18"/>
        <v>4.3704984154422345E-2</v>
      </c>
      <c r="P48" s="480"/>
      <c r="Q48" s="480"/>
      <c r="R48" s="480"/>
      <c r="S48" s="480"/>
      <c r="T48" s="480"/>
    </row>
    <row r="49" spans="1:20" ht="30" x14ac:dyDescent="0.2">
      <c r="A49" s="480"/>
      <c r="B49" s="538" t="s">
        <v>515</v>
      </c>
      <c r="C49" s="501"/>
      <c r="D49" s="534" t="s">
        <v>500</v>
      </c>
      <c r="E49" s="535"/>
      <c r="F49" s="502">
        <v>4.7999999999999996E-3</v>
      </c>
      <c r="G49" s="536">
        <f>G48</f>
        <v>267</v>
      </c>
      <c r="H49" s="500">
        <f>G49*F49</f>
        <v>1.2815999999999999</v>
      </c>
      <c r="I49" s="501"/>
      <c r="J49" s="502">
        <v>5.1999999999999998E-3</v>
      </c>
      <c r="K49" s="537">
        <f>K48</f>
        <v>266.375</v>
      </c>
      <c r="L49" s="500">
        <f>K49*J49</f>
        <v>1.3851499999999999</v>
      </c>
      <c r="M49" s="501"/>
      <c r="N49" s="504">
        <f t="shared" si="17"/>
        <v>0.10355000000000003</v>
      </c>
      <c r="O49" s="505">
        <f t="shared" si="18"/>
        <v>8.079744069912613E-2</v>
      </c>
      <c r="P49" s="480"/>
      <c r="Q49" s="480"/>
      <c r="R49" s="480"/>
      <c r="S49" s="480"/>
      <c r="T49" s="480"/>
    </row>
    <row r="50" spans="1:20" ht="25.5" x14ac:dyDescent="0.2">
      <c r="A50" s="480"/>
      <c r="B50" s="528" t="s">
        <v>516</v>
      </c>
      <c r="C50" s="511"/>
      <c r="D50" s="511"/>
      <c r="E50" s="511"/>
      <c r="F50" s="539"/>
      <c r="G50" s="531"/>
      <c r="H50" s="532">
        <f>SUM(H47:H49)</f>
        <v>50.432348000000012</v>
      </c>
      <c r="I50" s="540"/>
      <c r="J50" s="541"/>
      <c r="K50" s="542"/>
      <c r="L50" s="532">
        <f>SUM(L47:L49)</f>
        <v>48.243908000000005</v>
      </c>
      <c r="M50" s="540"/>
      <c r="N50" s="519">
        <f t="shared" si="17"/>
        <v>-2.188440000000007</v>
      </c>
      <c r="O50" s="520">
        <f t="shared" si="18"/>
        <v>-4.3393577471348477E-2</v>
      </c>
      <c r="P50" s="480"/>
      <c r="Q50" s="480"/>
      <c r="R50" s="480"/>
      <c r="S50" s="480"/>
      <c r="T50" s="480"/>
    </row>
    <row r="51" spans="1:20" ht="30" x14ac:dyDescent="0.2">
      <c r="A51" s="480"/>
      <c r="B51" s="543" t="s">
        <v>517</v>
      </c>
      <c r="C51" s="495"/>
      <c r="D51" s="496" t="s">
        <v>500</v>
      </c>
      <c r="E51" s="497"/>
      <c r="F51" s="544">
        <v>4.4000000000000003E-3</v>
      </c>
      <c r="G51" s="536">
        <f>G49</f>
        <v>267</v>
      </c>
      <c r="H51" s="545">
        <f t="shared" ref="H51:H57" si="19">G51*F51</f>
        <v>1.1748000000000001</v>
      </c>
      <c r="I51" s="501"/>
      <c r="J51" s="546">
        <v>4.4000000000000003E-3</v>
      </c>
      <c r="K51" s="537">
        <f>K49</f>
        <v>266.375</v>
      </c>
      <c r="L51" s="545">
        <f t="shared" ref="L51:L57" si="20">K51*J51</f>
        <v>1.17205</v>
      </c>
      <c r="M51" s="501"/>
      <c r="N51" s="504">
        <f t="shared" si="17"/>
        <v>-2.7500000000000302E-3</v>
      </c>
      <c r="O51" s="547">
        <f t="shared" si="18"/>
        <v>-2.3408239700374789E-3</v>
      </c>
      <c r="P51" s="480"/>
      <c r="Q51" s="480"/>
      <c r="R51" s="480"/>
      <c r="S51" s="480"/>
      <c r="T51" s="480"/>
    </row>
    <row r="52" spans="1:20" ht="30" x14ac:dyDescent="0.2">
      <c r="A52" s="480"/>
      <c r="B52" s="543" t="s">
        <v>518</v>
      </c>
      <c r="C52" s="495"/>
      <c r="D52" s="496" t="s">
        <v>500</v>
      </c>
      <c r="E52" s="497"/>
      <c r="F52" s="544">
        <v>1.1999999999999999E-3</v>
      </c>
      <c r="G52" s="536">
        <f>G49</f>
        <v>267</v>
      </c>
      <c r="H52" s="545">
        <f t="shared" si="19"/>
        <v>0.32039999999999996</v>
      </c>
      <c r="I52" s="501"/>
      <c r="J52" s="546">
        <v>1.2999999999999999E-3</v>
      </c>
      <c r="K52" s="537">
        <f>K49</f>
        <v>266.375</v>
      </c>
      <c r="L52" s="545">
        <f t="shared" si="20"/>
        <v>0.34628749999999997</v>
      </c>
      <c r="M52" s="501"/>
      <c r="N52" s="504">
        <f t="shared" si="17"/>
        <v>2.5887500000000008E-2</v>
      </c>
      <c r="O52" s="547">
        <f t="shared" si="18"/>
        <v>8.079744069912613E-2</v>
      </c>
      <c r="P52" s="480"/>
      <c r="Q52" s="480"/>
      <c r="R52" s="480"/>
      <c r="S52" s="480"/>
      <c r="T52" s="480"/>
    </row>
    <row r="53" spans="1:20" x14ac:dyDescent="0.2">
      <c r="A53" s="480"/>
      <c r="B53" s="495" t="s">
        <v>519</v>
      </c>
      <c r="C53" s="495"/>
      <c r="D53" s="496" t="s">
        <v>497</v>
      </c>
      <c r="E53" s="497"/>
      <c r="F53" s="544">
        <v>0.25</v>
      </c>
      <c r="G53" s="499">
        <v>1</v>
      </c>
      <c r="H53" s="545">
        <f t="shared" si="19"/>
        <v>0.25</v>
      </c>
      <c r="I53" s="501"/>
      <c r="J53" s="546">
        <v>0.25</v>
      </c>
      <c r="K53" s="503">
        <v>1</v>
      </c>
      <c r="L53" s="545">
        <f t="shared" si="20"/>
        <v>0.25</v>
      </c>
      <c r="M53" s="501"/>
      <c r="N53" s="504">
        <f t="shared" si="17"/>
        <v>0</v>
      </c>
      <c r="O53" s="547">
        <f t="shared" si="18"/>
        <v>0</v>
      </c>
      <c r="P53" s="480"/>
      <c r="Q53" s="480"/>
      <c r="R53" s="480"/>
      <c r="S53" s="480"/>
      <c r="T53" s="480"/>
    </row>
    <row r="54" spans="1:20" x14ac:dyDescent="0.2">
      <c r="A54" s="480"/>
      <c r="B54" s="495" t="s">
        <v>520</v>
      </c>
      <c r="C54" s="495"/>
      <c r="D54" s="496" t="s">
        <v>500</v>
      </c>
      <c r="E54" s="497"/>
      <c r="F54" s="544">
        <v>7.0000000000000001E-3</v>
      </c>
      <c r="G54" s="548">
        <f>F18</f>
        <v>250</v>
      </c>
      <c r="H54" s="545">
        <f t="shared" si="19"/>
        <v>1.75</v>
      </c>
      <c r="I54" s="501"/>
      <c r="J54" s="546">
        <v>7.0000000000000001E-3</v>
      </c>
      <c r="K54" s="549">
        <f>F18</f>
        <v>250</v>
      </c>
      <c r="L54" s="545">
        <f t="shared" si="20"/>
        <v>1.75</v>
      </c>
      <c r="M54" s="501"/>
      <c r="N54" s="504">
        <f t="shared" si="17"/>
        <v>0</v>
      </c>
      <c r="O54" s="547">
        <f t="shared" si="18"/>
        <v>0</v>
      </c>
      <c r="P54" s="480"/>
      <c r="Q54" s="480"/>
      <c r="R54" s="480"/>
      <c r="S54" s="480"/>
      <c r="T54" s="480"/>
    </row>
    <row r="55" spans="1:20" x14ac:dyDescent="0.2">
      <c r="A55" s="480"/>
      <c r="B55" s="524" t="s">
        <v>521</v>
      </c>
      <c r="C55" s="495"/>
      <c r="D55" s="496" t="s">
        <v>500</v>
      </c>
      <c r="E55" s="497"/>
      <c r="F55" s="550">
        <v>6.7000000000000004E-2</v>
      </c>
      <c r="G55" s="551">
        <f>0.64*$F$73</f>
        <v>512</v>
      </c>
      <c r="H55" s="545">
        <f t="shared" si="19"/>
        <v>34.304000000000002</v>
      </c>
      <c r="I55" s="501"/>
      <c r="J55" s="544">
        <v>6.7000000000000004E-2</v>
      </c>
      <c r="K55" s="551">
        <f>G55</f>
        <v>512</v>
      </c>
      <c r="L55" s="545">
        <f t="shared" si="20"/>
        <v>34.304000000000002</v>
      </c>
      <c r="M55" s="501"/>
      <c r="N55" s="504">
        <f t="shared" si="17"/>
        <v>0</v>
      </c>
      <c r="O55" s="547">
        <f t="shared" si="18"/>
        <v>0</v>
      </c>
      <c r="P55" s="480"/>
      <c r="Q55" s="480"/>
      <c r="R55" s="480"/>
      <c r="S55" s="552"/>
      <c r="T55" s="480"/>
    </row>
    <row r="56" spans="1:20" x14ac:dyDescent="0.2">
      <c r="A56" s="480"/>
      <c r="B56" s="524" t="s">
        <v>522</v>
      </c>
      <c r="C56" s="495"/>
      <c r="D56" s="496" t="s">
        <v>500</v>
      </c>
      <c r="E56" s="497"/>
      <c r="F56" s="550">
        <v>0.104</v>
      </c>
      <c r="G56" s="551">
        <f>0.18*$F$73</f>
        <v>144</v>
      </c>
      <c r="H56" s="545">
        <f t="shared" si="19"/>
        <v>14.975999999999999</v>
      </c>
      <c r="I56" s="501"/>
      <c r="J56" s="544">
        <v>0.104</v>
      </c>
      <c r="K56" s="551">
        <f>G56</f>
        <v>144</v>
      </c>
      <c r="L56" s="545">
        <f t="shared" si="20"/>
        <v>14.975999999999999</v>
      </c>
      <c r="M56" s="501"/>
      <c r="N56" s="504">
        <f t="shared" si="17"/>
        <v>0</v>
      </c>
      <c r="O56" s="547">
        <f t="shared" si="18"/>
        <v>0</v>
      </c>
      <c r="P56" s="480"/>
      <c r="Q56" s="480"/>
      <c r="R56" s="480"/>
      <c r="S56" s="552"/>
      <c r="T56" s="480"/>
    </row>
    <row r="57" spans="1:20" ht="15.75" thickBot="1" x14ac:dyDescent="0.25">
      <c r="A57" s="480"/>
      <c r="B57" s="485" t="s">
        <v>523</v>
      </c>
      <c r="C57" s="495"/>
      <c r="D57" s="496" t="s">
        <v>500</v>
      </c>
      <c r="E57" s="497"/>
      <c r="F57" s="550">
        <v>0.124</v>
      </c>
      <c r="G57" s="551">
        <f>0.18*$F$73</f>
        <v>144</v>
      </c>
      <c r="H57" s="545">
        <f t="shared" si="19"/>
        <v>17.856000000000002</v>
      </c>
      <c r="I57" s="501"/>
      <c r="J57" s="544">
        <v>0.124</v>
      </c>
      <c r="K57" s="551">
        <f>G57</f>
        <v>144</v>
      </c>
      <c r="L57" s="545">
        <f t="shared" si="20"/>
        <v>17.856000000000002</v>
      </c>
      <c r="M57" s="501"/>
      <c r="N57" s="504">
        <f t="shared" si="17"/>
        <v>0</v>
      </c>
      <c r="O57" s="547">
        <f t="shared" si="18"/>
        <v>0</v>
      </c>
      <c r="P57" s="480"/>
      <c r="Q57" s="480"/>
      <c r="R57" s="480"/>
      <c r="S57" s="552"/>
      <c r="T57" s="480"/>
    </row>
    <row r="58" spans="1:20" ht="15.75" thickBot="1" x14ac:dyDescent="0.25">
      <c r="A58" s="480"/>
      <c r="B58" s="553"/>
      <c r="C58" s="554"/>
      <c r="D58" s="555"/>
      <c r="E58" s="554"/>
      <c r="F58" s="556"/>
      <c r="G58" s="557"/>
      <c r="H58" s="558"/>
      <c r="I58" s="559"/>
      <c r="J58" s="556"/>
      <c r="K58" s="560"/>
      <c r="L58" s="558"/>
      <c r="M58" s="559"/>
      <c r="N58" s="561"/>
      <c r="O58" s="562"/>
      <c r="P58" s="480"/>
      <c r="Q58" s="480"/>
      <c r="R58" s="480"/>
      <c r="S58" s="480"/>
      <c r="T58" s="480"/>
    </row>
    <row r="59" spans="1:20" x14ac:dyDescent="0.2">
      <c r="A59" s="480"/>
      <c r="B59" s="563" t="s">
        <v>524</v>
      </c>
      <c r="C59" s="495"/>
      <c r="D59" s="495"/>
      <c r="E59" s="495"/>
      <c r="F59" s="564"/>
      <c r="G59" s="565"/>
      <c r="H59" s="566">
        <f>SUM(H51:H57,H50)</f>
        <v>121.06354800000003</v>
      </c>
      <c r="I59" s="567"/>
      <c r="J59" s="568"/>
      <c r="K59" s="568"/>
      <c r="L59" s="566">
        <f>SUM(L51:L57,L50)</f>
        <v>118.8982455</v>
      </c>
      <c r="M59" s="569"/>
      <c r="N59" s="570">
        <f t="shared" ref="N59:N63" si="21">L59-H59</f>
        <v>-2.1653025000000241</v>
      </c>
      <c r="O59" s="571">
        <f t="shared" ref="O59:O63" si="22">IF((H59)=0,"",(N59/H59))</f>
        <v>-1.7885668607697039E-2</v>
      </c>
      <c r="P59" s="480"/>
      <c r="Q59" s="480"/>
      <c r="R59" s="480"/>
      <c r="S59" s="552"/>
      <c r="T59" s="480"/>
    </row>
    <row r="60" spans="1:20" x14ac:dyDescent="0.2">
      <c r="A60" s="480"/>
      <c r="B60" s="572" t="s">
        <v>525</v>
      </c>
      <c r="C60" s="495"/>
      <c r="D60" s="495"/>
      <c r="E60" s="495"/>
      <c r="F60" s="573">
        <v>0.13</v>
      </c>
      <c r="G60" s="574"/>
      <c r="H60" s="575">
        <f>H59*F60</f>
        <v>15.738261240000003</v>
      </c>
      <c r="I60" s="576"/>
      <c r="J60" s="577">
        <v>0.13</v>
      </c>
      <c r="K60" s="576"/>
      <c r="L60" s="578">
        <f>L59*J60</f>
        <v>15.456771915000001</v>
      </c>
      <c r="M60" s="579"/>
      <c r="N60" s="580">
        <f t="shared" si="21"/>
        <v>-0.28148932500000257</v>
      </c>
      <c r="O60" s="581">
        <f t="shared" si="22"/>
        <v>-1.7885668607697004E-2</v>
      </c>
      <c r="P60" s="480"/>
      <c r="Q60" s="480"/>
      <c r="R60" s="480"/>
      <c r="S60" s="552"/>
      <c r="T60" s="480"/>
    </row>
    <row r="61" spans="1:20" x14ac:dyDescent="0.2">
      <c r="A61" s="480"/>
      <c r="B61" s="582" t="s">
        <v>526</v>
      </c>
      <c r="C61" s="495"/>
      <c r="D61" s="495"/>
      <c r="E61" s="495"/>
      <c r="F61" s="583"/>
      <c r="G61" s="574"/>
      <c r="H61" s="575">
        <f>H59+H60</f>
        <v>136.80180924000004</v>
      </c>
      <c r="I61" s="576"/>
      <c r="J61" s="576"/>
      <c r="K61" s="576"/>
      <c r="L61" s="578">
        <f>L59+L60</f>
        <v>134.35501741499999</v>
      </c>
      <c r="M61" s="579"/>
      <c r="N61" s="580">
        <f t="shared" si="21"/>
        <v>-2.446791825000048</v>
      </c>
      <c r="O61" s="581">
        <f t="shared" si="22"/>
        <v>-1.7885668607697188E-2</v>
      </c>
      <c r="P61" s="480"/>
      <c r="Q61" s="480"/>
      <c r="R61" s="480"/>
      <c r="S61" s="552"/>
      <c r="T61" s="480"/>
    </row>
    <row r="62" spans="1:20" x14ac:dyDescent="0.2">
      <c r="A62" s="480"/>
      <c r="B62" s="964" t="s">
        <v>527</v>
      </c>
      <c r="C62" s="964"/>
      <c r="D62" s="964"/>
      <c r="E62" s="495"/>
      <c r="F62" s="583"/>
      <c r="G62" s="574"/>
      <c r="H62" s="584">
        <f>ROUND(-H61*10%,2)</f>
        <v>-13.68</v>
      </c>
      <c r="I62" s="576"/>
      <c r="J62" s="576"/>
      <c r="K62" s="576"/>
      <c r="L62" s="585">
        <f>ROUND(-L61*10%,2)</f>
        <v>-13.44</v>
      </c>
      <c r="M62" s="579"/>
      <c r="N62" s="586">
        <f t="shared" si="21"/>
        <v>0.24000000000000021</v>
      </c>
      <c r="O62" s="587">
        <f t="shared" si="22"/>
        <v>-1.7543859649122823E-2</v>
      </c>
      <c r="P62" s="480"/>
      <c r="Q62" s="480"/>
      <c r="R62" s="480"/>
      <c r="S62" s="480"/>
      <c r="T62" s="480"/>
    </row>
    <row r="63" spans="1:20" ht="15.75" thickBot="1" x14ac:dyDescent="0.25">
      <c r="A63" s="480"/>
      <c r="B63" s="965" t="s">
        <v>528</v>
      </c>
      <c r="C63" s="965"/>
      <c r="D63" s="965"/>
      <c r="E63" s="588"/>
      <c r="F63" s="589"/>
      <c r="G63" s="590"/>
      <c r="H63" s="591">
        <f>H61+H62</f>
        <v>123.12180924000003</v>
      </c>
      <c r="I63" s="592"/>
      <c r="J63" s="592"/>
      <c r="K63" s="592"/>
      <c r="L63" s="593">
        <f>L61+L62</f>
        <v>120.91501741499999</v>
      </c>
      <c r="M63" s="594"/>
      <c r="N63" s="595">
        <f t="shared" si="21"/>
        <v>-2.2067918250000389</v>
      </c>
      <c r="O63" s="596">
        <f t="shared" si="22"/>
        <v>-1.7923646822784769E-2</v>
      </c>
      <c r="P63" s="480"/>
      <c r="Q63" s="480"/>
      <c r="R63" s="480"/>
      <c r="S63" s="480"/>
      <c r="T63" s="480"/>
    </row>
    <row r="64" spans="1:20" ht="15.75" thickBot="1" x14ac:dyDescent="0.25">
      <c r="A64" s="597"/>
      <c r="B64" s="598"/>
      <c r="C64" s="599"/>
      <c r="D64" s="600"/>
      <c r="E64" s="599"/>
      <c r="F64" s="556"/>
      <c r="G64" s="601"/>
      <c r="H64" s="558"/>
      <c r="I64" s="602"/>
      <c r="J64" s="556"/>
      <c r="K64" s="603"/>
      <c r="L64" s="558"/>
      <c r="M64" s="602"/>
      <c r="N64" s="604"/>
      <c r="O64" s="562"/>
      <c r="P64" s="597"/>
      <c r="Q64" s="597"/>
      <c r="R64" s="597"/>
      <c r="S64" s="597"/>
      <c r="T64" s="597"/>
    </row>
    <row r="65" spans="1:20" x14ac:dyDescent="0.2">
      <c r="A65" s="480"/>
      <c r="B65" s="480"/>
      <c r="C65" s="480"/>
      <c r="D65" s="480"/>
      <c r="E65" s="480"/>
      <c r="F65" s="480"/>
      <c r="G65" s="480"/>
      <c r="H65" s="480"/>
      <c r="I65" s="480"/>
      <c r="J65" s="480"/>
      <c r="K65" s="480"/>
      <c r="L65" s="552"/>
      <c r="M65" s="480"/>
      <c r="N65" s="480"/>
      <c r="O65" s="480"/>
      <c r="P65" s="480"/>
      <c r="Q65" s="480"/>
      <c r="R65" s="480"/>
      <c r="S65" s="480"/>
      <c r="T65" s="480"/>
    </row>
    <row r="66" spans="1:20" x14ac:dyDescent="0.2">
      <c r="A66" s="480"/>
      <c r="B66" s="486" t="s">
        <v>529</v>
      </c>
      <c r="C66" s="480"/>
      <c r="D66" s="480"/>
      <c r="E66" s="480"/>
      <c r="F66" s="605">
        <v>6.8000000000000005E-2</v>
      </c>
      <c r="G66" s="480"/>
      <c r="H66" s="480"/>
      <c r="I66" s="480"/>
      <c r="J66" s="605">
        <v>6.5500000000000003E-2</v>
      </c>
      <c r="K66" s="480"/>
      <c r="L66" s="480"/>
      <c r="M66" s="480"/>
      <c r="N66" s="480"/>
      <c r="O66" s="480"/>
      <c r="P66" s="480"/>
      <c r="Q66" s="480"/>
      <c r="R66" s="480"/>
      <c r="S66" s="480"/>
      <c r="T66" s="480"/>
    </row>
    <row r="67" spans="1:20" x14ac:dyDescent="0.2">
      <c r="A67" s="480"/>
      <c r="B67" s="480"/>
      <c r="C67" s="480"/>
      <c r="D67" s="480"/>
      <c r="E67" s="480"/>
      <c r="F67" s="480"/>
      <c r="G67" s="480"/>
      <c r="H67" s="480"/>
      <c r="I67" s="480"/>
      <c r="J67" s="480"/>
      <c r="K67" s="480"/>
      <c r="L67" s="480"/>
      <c r="M67" s="480"/>
      <c r="N67" s="480"/>
      <c r="O67" s="480"/>
      <c r="P67" s="480"/>
      <c r="Q67" s="480"/>
      <c r="R67" s="480"/>
      <c r="S67" s="480"/>
      <c r="T67" s="480"/>
    </row>
    <row r="68" spans="1:20" x14ac:dyDescent="0.2">
      <c r="A68" s="480"/>
      <c r="B68" s="480"/>
      <c r="C68" s="480"/>
      <c r="D68" s="480"/>
      <c r="E68" s="480"/>
      <c r="F68" s="480"/>
      <c r="G68" s="480"/>
      <c r="H68" s="480"/>
      <c r="I68" s="480"/>
      <c r="J68" s="480"/>
      <c r="K68" s="480"/>
      <c r="Q68" s="480"/>
      <c r="R68" s="480"/>
      <c r="S68" s="480"/>
      <c r="T68" s="480"/>
    </row>
    <row r="69" spans="1:20" ht="15.75" x14ac:dyDescent="0.2">
      <c r="A69" s="480"/>
      <c r="B69" s="481" t="s">
        <v>480</v>
      </c>
      <c r="C69" s="480"/>
      <c r="D69" s="966" t="s">
        <v>530</v>
      </c>
      <c r="E69" s="966"/>
      <c r="F69" s="966"/>
      <c r="G69" s="966"/>
      <c r="H69" s="966"/>
      <c r="I69" s="966"/>
      <c r="J69" s="966"/>
      <c r="K69" s="966"/>
      <c r="L69" s="966"/>
      <c r="M69" s="966"/>
      <c r="N69" s="966"/>
      <c r="O69" s="966"/>
      <c r="P69" s="480"/>
      <c r="Q69" s="480"/>
      <c r="R69" s="480"/>
      <c r="S69" s="480"/>
      <c r="T69" s="480"/>
    </row>
    <row r="70" spans="1:20" ht="15.75" x14ac:dyDescent="0.25">
      <c r="A70" s="480"/>
      <c r="B70" s="482"/>
      <c r="C70" s="480"/>
      <c r="D70" s="483"/>
      <c r="E70" s="483"/>
      <c r="F70" s="483"/>
      <c r="G70" s="483"/>
      <c r="H70" s="483"/>
      <c r="I70" s="483"/>
      <c r="J70" s="483"/>
      <c r="K70" s="483"/>
      <c r="L70" s="483"/>
      <c r="M70" s="483"/>
      <c r="N70" s="483"/>
      <c r="O70" s="483"/>
      <c r="P70" s="480"/>
      <c r="Q70" s="480"/>
      <c r="R70" s="480"/>
      <c r="S70" s="480"/>
      <c r="T70" s="480"/>
    </row>
    <row r="71" spans="1:20" ht="15.75" x14ac:dyDescent="0.25">
      <c r="A71" s="480"/>
      <c r="B71" s="481" t="s">
        <v>482</v>
      </c>
      <c r="C71" s="480"/>
      <c r="D71" s="484" t="s">
        <v>483</v>
      </c>
      <c r="E71" s="483"/>
      <c r="F71" s="483"/>
      <c r="G71" s="483"/>
      <c r="H71" s="483"/>
      <c r="I71" s="483"/>
      <c r="J71" s="483"/>
      <c r="K71" s="483"/>
      <c r="L71" s="483"/>
      <c r="M71" s="483"/>
      <c r="N71" s="483"/>
      <c r="O71" s="483"/>
      <c r="P71" s="480"/>
      <c r="Q71" s="480"/>
      <c r="R71" s="480"/>
      <c r="S71" s="480"/>
      <c r="T71" s="480"/>
    </row>
    <row r="72" spans="1:20" ht="15.75" x14ac:dyDescent="0.25">
      <c r="A72" s="480"/>
      <c r="B72" s="482"/>
      <c r="C72" s="480"/>
      <c r="D72" s="483"/>
      <c r="E72" s="483"/>
      <c r="F72" s="483"/>
      <c r="G72" s="483"/>
      <c r="H72" s="483"/>
      <c r="I72" s="483"/>
      <c r="J72" s="483"/>
      <c r="K72" s="483"/>
      <c r="L72" s="483"/>
      <c r="M72" s="483"/>
      <c r="N72" s="483"/>
      <c r="O72" s="483"/>
      <c r="P72" s="480"/>
      <c r="Q72" s="480"/>
      <c r="R72" s="480"/>
      <c r="S72" s="480"/>
      <c r="T72" s="480"/>
    </row>
    <row r="73" spans="1:20" x14ac:dyDescent="0.2">
      <c r="A73" s="480"/>
      <c r="B73" s="485"/>
      <c r="C73" s="480"/>
      <c r="D73" s="486" t="s">
        <v>484</v>
      </c>
      <c r="E73" s="486"/>
      <c r="F73" s="487">
        <v>800</v>
      </c>
      <c r="G73" s="486" t="s">
        <v>485</v>
      </c>
      <c r="H73" s="480"/>
      <c r="I73" s="480"/>
      <c r="J73" s="480"/>
      <c r="K73" s="480"/>
      <c r="L73" s="480"/>
      <c r="M73" s="480"/>
      <c r="N73" s="480"/>
      <c r="O73" s="480"/>
      <c r="P73" s="480"/>
      <c r="Q73" s="480"/>
      <c r="R73" s="480"/>
      <c r="S73" s="480"/>
      <c r="T73" s="480"/>
    </row>
    <row r="74" spans="1:20" x14ac:dyDescent="0.2">
      <c r="A74" s="480"/>
      <c r="B74" s="485"/>
      <c r="C74" s="480"/>
      <c r="D74" s="480"/>
      <c r="E74" s="480"/>
      <c r="F74" s="480"/>
      <c r="G74" s="480"/>
      <c r="H74" s="480"/>
      <c r="I74" s="480"/>
      <c r="J74" s="480"/>
      <c r="K74" s="480"/>
      <c r="L74" s="480"/>
      <c r="M74" s="480"/>
      <c r="N74" s="480"/>
      <c r="O74" s="480"/>
      <c r="P74" s="480"/>
      <c r="Q74" s="480"/>
      <c r="R74" s="480"/>
      <c r="S74" s="480"/>
      <c r="T74" s="480"/>
    </row>
    <row r="75" spans="1:20" x14ac:dyDescent="0.2">
      <c r="A75" s="480"/>
      <c r="B75" s="485"/>
      <c r="C75" s="480"/>
      <c r="D75" s="488"/>
      <c r="E75" s="488"/>
      <c r="F75" s="967" t="s">
        <v>486</v>
      </c>
      <c r="G75" s="968"/>
      <c r="H75" s="969"/>
      <c r="I75" s="480"/>
      <c r="J75" s="967" t="s">
        <v>487</v>
      </c>
      <c r="K75" s="968"/>
      <c r="L75" s="969"/>
      <c r="M75" s="480"/>
      <c r="N75" s="967" t="s">
        <v>488</v>
      </c>
      <c r="O75" s="969"/>
      <c r="P75" s="480"/>
      <c r="Q75" s="480"/>
      <c r="R75" s="480"/>
      <c r="S75" s="480"/>
      <c r="T75" s="480"/>
    </row>
    <row r="76" spans="1:20" x14ac:dyDescent="0.2">
      <c r="A76" s="480"/>
      <c r="B76" s="485"/>
      <c r="C76" s="480"/>
      <c r="D76" s="958" t="s">
        <v>489</v>
      </c>
      <c r="E76" s="489"/>
      <c r="F76" s="490" t="s">
        <v>490</v>
      </c>
      <c r="G76" s="490" t="s">
        <v>491</v>
      </c>
      <c r="H76" s="491" t="s">
        <v>492</v>
      </c>
      <c r="I76" s="480"/>
      <c r="J76" s="490" t="s">
        <v>490</v>
      </c>
      <c r="K76" s="492" t="s">
        <v>491</v>
      </c>
      <c r="L76" s="491" t="s">
        <v>492</v>
      </c>
      <c r="M76" s="480"/>
      <c r="N76" s="960" t="s">
        <v>493</v>
      </c>
      <c r="O76" s="962" t="s">
        <v>494</v>
      </c>
      <c r="P76" s="480"/>
      <c r="Q76" s="480"/>
      <c r="R76" s="480"/>
      <c r="S76" s="480"/>
      <c r="T76" s="480"/>
    </row>
    <row r="77" spans="1:20" x14ac:dyDescent="0.2">
      <c r="A77" s="480"/>
      <c r="B77" s="485"/>
      <c r="C77" s="480"/>
      <c r="D77" s="959"/>
      <c r="E77" s="489"/>
      <c r="F77" s="493" t="s">
        <v>495</v>
      </c>
      <c r="G77" s="493"/>
      <c r="H77" s="494" t="s">
        <v>495</v>
      </c>
      <c r="I77" s="480"/>
      <c r="J77" s="493" t="s">
        <v>495</v>
      </c>
      <c r="K77" s="494"/>
      <c r="L77" s="494" t="s">
        <v>495</v>
      </c>
      <c r="M77" s="480"/>
      <c r="N77" s="961"/>
      <c r="O77" s="963"/>
      <c r="P77" s="480"/>
      <c r="Q77" s="480"/>
      <c r="R77" s="480"/>
      <c r="S77" s="480"/>
      <c r="T77" s="480"/>
    </row>
    <row r="78" spans="1:20" x14ac:dyDescent="0.2">
      <c r="A78" s="480"/>
      <c r="B78" s="495" t="s">
        <v>496</v>
      </c>
      <c r="C78" s="495"/>
      <c r="D78" s="496" t="s">
        <v>497</v>
      </c>
      <c r="E78" s="497"/>
      <c r="F78" s="498">
        <v>18.170000000000002</v>
      </c>
      <c r="G78" s="499">
        <v>1</v>
      </c>
      <c r="H78" s="500">
        <f>G78*F78</f>
        <v>18.170000000000002</v>
      </c>
      <c r="I78" s="501"/>
      <c r="J78" s="502">
        <v>18.5</v>
      </c>
      <c r="K78" s="503">
        <v>1</v>
      </c>
      <c r="L78" s="500">
        <f>K78*J78</f>
        <v>18.5</v>
      </c>
      <c r="M78" s="501"/>
      <c r="N78" s="504">
        <f>L78-H78</f>
        <v>0.32999999999999829</v>
      </c>
      <c r="O78" s="505">
        <f>IF((H78)=0,"",(N78/H78))</f>
        <v>1.8161805173362591E-2</v>
      </c>
      <c r="P78" s="480"/>
      <c r="Q78" s="480"/>
      <c r="R78" s="480"/>
      <c r="S78" s="480"/>
      <c r="T78" s="480"/>
    </row>
    <row r="79" spans="1:20" x14ac:dyDescent="0.2">
      <c r="A79" s="480"/>
      <c r="B79" s="495" t="s">
        <v>498</v>
      </c>
      <c r="C79" s="495"/>
      <c r="D79" s="496" t="s">
        <v>497</v>
      </c>
      <c r="E79" s="497"/>
      <c r="F79" s="498">
        <f>5.89</f>
        <v>5.89</v>
      </c>
      <c r="G79" s="499">
        <v>1</v>
      </c>
      <c r="H79" s="500">
        <f t="shared" ref="H79:H93" si="23">G79*F79</f>
        <v>5.89</v>
      </c>
      <c r="I79" s="501"/>
      <c r="J79" s="502"/>
      <c r="K79" s="503">
        <v>1</v>
      </c>
      <c r="L79" s="500">
        <f>K79*J79</f>
        <v>0</v>
      </c>
      <c r="M79" s="501"/>
      <c r="N79" s="504">
        <f>L79-H79</f>
        <v>-5.89</v>
      </c>
      <c r="O79" s="505">
        <f>IF((H79)=0,"",(N79/H79))</f>
        <v>-1</v>
      </c>
      <c r="P79" s="480"/>
      <c r="Q79" s="480"/>
      <c r="R79" s="480"/>
      <c r="S79" s="480"/>
      <c r="T79" s="480"/>
    </row>
    <row r="80" spans="1:20" x14ac:dyDescent="0.2">
      <c r="A80" s="480"/>
      <c r="B80" s="506"/>
      <c r="C80" s="495"/>
      <c r="D80" s="496"/>
      <c r="E80" s="497"/>
      <c r="F80" s="498"/>
      <c r="G80" s="499">
        <v>1</v>
      </c>
      <c r="H80" s="500">
        <f t="shared" si="23"/>
        <v>0</v>
      </c>
      <c r="I80" s="501"/>
      <c r="J80" s="502"/>
      <c r="K80" s="503">
        <v>1</v>
      </c>
      <c r="L80" s="500">
        <f t="shared" ref="L80:L93" si="24">K80*J80</f>
        <v>0</v>
      </c>
      <c r="M80" s="501"/>
      <c r="N80" s="504">
        <f t="shared" ref="N80:N94" si="25">L80-H80</f>
        <v>0</v>
      </c>
      <c r="O80" s="505" t="str">
        <f t="shared" ref="O80:O94" si="26">IF((H80)=0,"",(N80/H80))</f>
        <v/>
      </c>
      <c r="P80" s="480"/>
      <c r="Q80" s="480"/>
      <c r="R80" s="480"/>
      <c r="S80" s="480"/>
      <c r="T80" s="480"/>
    </row>
    <row r="81" spans="1:20" x14ac:dyDescent="0.2">
      <c r="A81" s="480"/>
      <c r="B81" s="506"/>
      <c r="C81" s="495"/>
      <c r="D81" s="496"/>
      <c r="E81" s="497"/>
      <c r="F81" s="498"/>
      <c r="G81" s="499">
        <v>1</v>
      </c>
      <c r="H81" s="500">
        <f t="shared" si="23"/>
        <v>0</v>
      </c>
      <c r="I81" s="501"/>
      <c r="J81" s="502"/>
      <c r="K81" s="503">
        <v>1</v>
      </c>
      <c r="L81" s="500">
        <f t="shared" si="24"/>
        <v>0</v>
      </c>
      <c r="M81" s="501"/>
      <c r="N81" s="504">
        <f t="shared" si="25"/>
        <v>0</v>
      </c>
      <c r="O81" s="505" t="str">
        <f t="shared" si="26"/>
        <v/>
      </c>
      <c r="P81" s="480"/>
      <c r="Q81" s="480"/>
      <c r="R81" s="480"/>
      <c r="S81" s="480"/>
      <c r="T81" s="480"/>
    </row>
    <row r="82" spans="1:20" x14ac:dyDescent="0.2">
      <c r="A82" s="480"/>
      <c r="B82" s="506"/>
      <c r="C82" s="495"/>
      <c r="D82" s="496"/>
      <c r="E82" s="497"/>
      <c r="F82" s="498"/>
      <c r="G82" s="499">
        <v>1</v>
      </c>
      <c r="H82" s="500">
        <f t="shared" si="23"/>
        <v>0</v>
      </c>
      <c r="I82" s="501"/>
      <c r="J82" s="502"/>
      <c r="K82" s="503">
        <v>1</v>
      </c>
      <c r="L82" s="500">
        <f t="shared" si="24"/>
        <v>0</v>
      </c>
      <c r="M82" s="501"/>
      <c r="N82" s="504">
        <f t="shared" si="25"/>
        <v>0</v>
      </c>
      <c r="O82" s="505" t="str">
        <f t="shared" si="26"/>
        <v/>
      </c>
      <c r="P82" s="480"/>
      <c r="Q82" s="480"/>
      <c r="R82" s="480"/>
      <c r="S82" s="480"/>
      <c r="T82" s="480"/>
    </row>
    <row r="83" spans="1:20" x14ac:dyDescent="0.2">
      <c r="A83" s="480"/>
      <c r="B83" s="506"/>
      <c r="C83" s="495"/>
      <c r="D83" s="496"/>
      <c r="E83" s="497"/>
      <c r="F83" s="498"/>
      <c r="G83" s="499">
        <v>1</v>
      </c>
      <c r="H83" s="500">
        <f t="shared" si="23"/>
        <v>0</v>
      </c>
      <c r="I83" s="501"/>
      <c r="J83" s="502"/>
      <c r="K83" s="503">
        <v>1</v>
      </c>
      <c r="L83" s="500">
        <f t="shared" si="24"/>
        <v>0</v>
      </c>
      <c r="M83" s="501"/>
      <c r="N83" s="504">
        <f t="shared" si="25"/>
        <v>0</v>
      </c>
      <c r="O83" s="505" t="str">
        <f t="shared" si="26"/>
        <v/>
      </c>
      <c r="P83" s="480"/>
      <c r="Q83" s="480"/>
      <c r="R83" s="480"/>
      <c r="S83" s="480"/>
      <c r="T83" s="480"/>
    </row>
    <row r="84" spans="1:20" x14ac:dyDescent="0.2">
      <c r="A84" s="480"/>
      <c r="B84" s="495" t="s">
        <v>499</v>
      </c>
      <c r="C84" s="495"/>
      <c r="D84" s="496" t="s">
        <v>500</v>
      </c>
      <c r="E84" s="497"/>
      <c r="F84" s="498">
        <v>2.6499999999999999E-2</v>
      </c>
      <c r="G84" s="499">
        <f>$F$73</f>
        <v>800</v>
      </c>
      <c r="H84" s="500">
        <f t="shared" si="23"/>
        <v>21.2</v>
      </c>
      <c r="I84" s="501"/>
      <c r="J84" s="502">
        <v>2.7E-2</v>
      </c>
      <c r="K84" s="499">
        <f>$F$73</f>
        <v>800</v>
      </c>
      <c r="L84" s="500">
        <f t="shared" si="24"/>
        <v>21.6</v>
      </c>
      <c r="M84" s="501"/>
      <c r="N84" s="504">
        <f t="shared" si="25"/>
        <v>0.40000000000000213</v>
      </c>
      <c r="O84" s="505">
        <f t="shared" si="26"/>
        <v>1.8867924528301987E-2</v>
      </c>
      <c r="P84" s="480"/>
      <c r="Q84" s="480"/>
      <c r="R84" s="480"/>
      <c r="S84" s="480"/>
      <c r="T84" s="480"/>
    </row>
    <row r="85" spans="1:20" x14ac:dyDescent="0.2">
      <c r="A85" s="480"/>
      <c r="B85" s="495" t="s">
        <v>501</v>
      </c>
      <c r="C85" s="495"/>
      <c r="D85" s="496"/>
      <c r="E85" s="497"/>
      <c r="F85" s="498"/>
      <c r="G85" s="499">
        <f t="shared" ref="G85" si="27">$F$73</f>
        <v>800</v>
      </c>
      <c r="H85" s="500">
        <f t="shared" si="23"/>
        <v>0</v>
      </c>
      <c r="I85" s="501"/>
      <c r="J85" s="502"/>
      <c r="K85" s="499">
        <f t="shared" ref="K85:K93" si="28">$F$73</f>
        <v>800</v>
      </c>
      <c r="L85" s="500">
        <f t="shared" si="24"/>
        <v>0</v>
      </c>
      <c r="M85" s="501"/>
      <c r="N85" s="504">
        <f t="shared" si="25"/>
        <v>0</v>
      </c>
      <c r="O85" s="505" t="str">
        <f t="shared" si="26"/>
        <v/>
      </c>
      <c r="P85" s="480"/>
      <c r="Q85" s="480"/>
      <c r="R85" s="480"/>
      <c r="S85" s="480"/>
      <c r="T85" s="480"/>
    </row>
    <row r="86" spans="1:20" x14ac:dyDescent="0.2">
      <c r="A86" s="480"/>
      <c r="B86" s="495" t="s">
        <v>502</v>
      </c>
      <c r="C86" s="495"/>
      <c r="D86" s="496"/>
      <c r="E86" s="497"/>
      <c r="F86" s="498"/>
      <c r="G86" s="499">
        <f>$F$73</f>
        <v>800</v>
      </c>
      <c r="H86" s="500">
        <f t="shared" si="23"/>
        <v>0</v>
      </c>
      <c r="I86" s="501"/>
      <c r="J86" s="502"/>
      <c r="K86" s="499">
        <f t="shared" si="28"/>
        <v>800</v>
      </c>
      <c r="L86" s="500">
        <f t="shared" si="24"/>
        <v>0</v>
      </c>
      <c r="M86" s="501"/>
      <c r="N86" s="504">
        <f t="shared" si="25"/>
        <v>0</v>
      </c>
      <c r="O86" s="505" t="str">
        <f t="shared" si="26"/>
        <v/>
      </c>
      <c r="P86" s="480"/>
      <c r="Q86" s="480"/>
      <c r="R86" s="480"/>
      <c r="S86" s="480"/>
      <c r="T86" s="480"/>
    </row>
    <row r="87" spans="1:20" x14ac:dyDescent="0.2">
      <c r="A87" s="480"/>
      <c r="B87" s="507" t="s">
        <v>503</v>
      </c>
      <c r="C87" s="495"/>
      <c r="D87" s="496" t="s">
        <v>500</v>
      </c>
      <c r="E87" s="497"/>
      <c r="F87" s="498">
        <v>-2.9999999999999997E-4</v>
      </c>
      <c r="G87" s="499">
        <f t="shared" ref="G87:G93" si="29">$F$73</f>
        <v>800</v>
      </c>
      <c r="H87" s="500">
        <f t="shared" si="23"/>
        <v>-0.24</v>
      </c>
      <c r="I87" s="501"/>
      <c r="J87" s="502"/>
      <c r="K87" s="499">
        <f t="shared" si="28"/>
        <v>800</v>
      </c>
      <c r="L87" s="500">
        <f t="shared" si="24"/>
        <v>0</v>
      </c>
      <c r="M87" s="501"/>
      <c r="N87" s="504">
        <f t="shared" si="25"/>
        <v>0.24</v>
      </c>
      <c r="O87" s="505">
        <f t="shared" si="26"/>
        <v>-1</v>
      </c>
      <c r="P87" s="480"/>
      <c r="Q87" s="480"/>
      <c r="R87" s="480"/>
      <c r="S87" s="480"/>
      <c r="T87" s="480"/>
    </row>
    <row r="88" spans="1:20" x14ac:dyDescent="0.2">
      <c r="A88" s="480"/>
      <c r="B88" s="507" t="s">
        <v>504</v>
      </c>
      <c r="C88" s="495"/>
      <c r="D88" s="496" t="s">
        <v>500</v>
      </c>
      <c r="E88" s="497"/>
      <c r="F88" s="498">
        <v>-1.8E-3</v>
      </c>
      <c r="G88" s="499">
        <f t="shared" si="29"/>
        <v>800</v>
      </c>
      <c r="H88" s="500">
        <f t="shared" si="23"/>
        <v>-1.44</v>
      </c>
      <c r="I88" s="501"/>
      <c r="J88" s="502"/>
      <c r="K88" s="499">
        <f t="shared" si="28"/>
        <v>800</v>
      </c>
      <c r="L88" s="500">
        <f t="shared" si="24"/>
        <v>0</v>
      </c>
      <c r="M88" s="501"/>
      <c r="N88" s="504">
        <f t="shared" si="25"/>
        <v>1.44</v>
      </c>
      <c r="O88" s="505">
        <f t="shared" si="26"/>
        <v>-1</v>
      </c>
      <c r="P88" s="480"/>
      <c r="Q88" s="480"/>
      <c r="R88" s="480"/>
      <c r="S88" s="480"/>
      <c r="T88" s="480"/>
    </row>
    <row r="89" spans="1:20" x14ac:dyDescent="0.2">
      <c r="A89" s="480"/>
      <c r="B89" s="507" t="s">
        <v>505</v>
      </c>
      <c r="C89" s="495"/>
      <c r="D89" s="496" t="s">
        <v>500</v>
      </c>
      <c r="E89" s="497"/>
      <c r="F89" s="498"/>
      <c r="G89" s="499">
        <f t="shared" si="29"/>
        <v>800</v>
      </c>
      <c r="H89" s="500">
        <f t="shared" si="23"/>
        <v>0</v>
      </c>
      <c r="I89" s="501"/>
      <c r="J89" s="502">
        <v>2.0999999999999999E-3</v>
      </c>
      <c r="K89" s="499">
        <f t="shared" si="28"/>
        <v>800</v>
      </c>
      <c r="L89" s="500">
        <f t="shared" si="24"/>
        <v>1.68</v>
      </c>
      <c r="M89" s="501"/>
      <c r="N89" s="504">
        <f t="shared" si="25"/>
        <v>1.68</v>
      </c>
      <c r="O89" s="505" t="str">
        <f t="shared" si="26"/>
        <v/>
      </c>
      <c r="P89" s="480"/>
      <c r="Q89" s="480"/>
      <c r="R89" s="480"/>
      <c r="S89" s="480"/>
      <c r="T89" s="480"/>
    </row>
    <row r="90" spans="1:20" x14ac:dyDescent="0.2">
      <c r="A90" s="480"/>
      <c r="B90" s="507" t="s">
        <v>506</v>
      </c>
      <c r="C90" s="495"/>
      <c r="D90" s="496" t="s">
        <v>500</v>
      </c>
      <c r="E90" s="497"/>
      <c r="F90" s="498"/>
      <c r="G90" s="499">
        <f t="shared" si="29"/>
        <v>800</v>
      </c>
      <c r="H90" s="500">
        <f t="shared" si="23"/>
        <v>0</v>
      </c>
      <c r="I90" s="501"/>
      <c r="J90" s="502">
        <v>-1.6000000000000001E-3</v>
      </c>
      <c r="K90" s="499">
        <f t="shared" si="28"/>
        <v>800</v>
      </c>
      <c r="L90" s="500">
        <f t="shared" si="24"/>
        <v>-1.28</v>
      </c>
      <c r="M90" s="501"/>
      <c r="N90" s="504">
        <f t="shared" si="25"/>
        <v>-1.28</v>
      </c>
      <c r="O90" s="505" t="str">
        <f t="shared" si="26"/>
        <v/>
      </c>
      <c r="P90" s="480"/>
      <c r="Q90" s="480"/>
      <c r="R90" s="480"/>
      <c r="S90" s="480"/>
      <c r="T90" s="480"/>
    </row>
    <row r="91" spans="1:20" x14ac:dyDescent="0.2">
      <c r="A91" s="480"/>
      <c r="B91" s="507" t="s">
        <v>507</v>
      </c>
      <c r="C91" s="495"/>
      <c r="D91" s="496" t="s">
        <v>500</v>
      </c>
      <c r="E91" s="497"/>
      <c r="F91" s="498"/>
      <c r="G91" s="499">
        <f t="shared" si="29"/>
        <v>800</v>
      </c>
      <c r="H91" s="500">
        <f t="shared" si="23"/>
        <v>0</v>
      </c>
      <c r="I91" s="501"/>
      <c r="J91" s="502">
        <v>2.0000000000000001E-4</v>
      </c>
      <c r="K91" s="499">
        <f t="shared" si="28"/>
        <v>800</v>
      </c>
      <c r="L91" s="500">
        <f t="shared" si="24"/>
        <v>0.16</v>
      </c>
      <c r="M91" s="501"/>
      <c r="N91" s="504">
        <f t="shared" si="25"/>
        <v>0.16</v>
      </c>
      <c r="O91" s="505" t="str">
        <f t="shared" si="26"/>
        <v/>
      </c>
      <c r="P91" s="480"/>
      <c r="Q91" s="480"/>
      <c r="R91" s="480"/>
      <c r="S91" s="480"/>
      <c r="T91" s="480"/>
    </row>
    <row r="92" spans="1:20" x14ac:dyDescent="0.2">
      <c r="A92" s="480"/>
      <c r="B92" s="508"/>
      <c r="C92" s="495"/>
      <c r="D92" s="496"/>
      <c r="E92" s="497"/>
      <c r="F92" s="498"/>
      <c r="G92" s="499">
        <f t="shared" si="29"/>
        <v>800</v>
      </c>
      <c r="H92" s="500">
        <f t="shared" si="23"/>
        <v>0</v>
      </c>
      <c r="I92" s="501"/>
      <c r="J92" s="502"/>
      <c r="K92" s="499">
        <f t="shared" si="28"/>
        <v>800</v>
      </c>
      <c r="L92" s="500">
        <f t="shared" si="24"/>
        <v>0</v>
      </c>
      <c r="M92" s="501"/>
      <c r="N92" s="504">
        <f t="shared" si="25"/>
        <v>0</v>
      </c>
      <c r="O92" s="505" t="str">
        <f t="shared" si="26"/>
        <v/>
      </c>
      <c r="P92" s="480"/>
      <c r="Q92" s="480"/>
      <c r="R92" s="480"/>
      <c r="S92" s="480"/>
      <c r="T92" s="480"/>
    </row>
    <row r="93" spans="1:20" x14ac:dyDescent="0.2">
      <c r="A93" s="480"/>
      <c r="B93" s="508"/>
      <c r="C93" s="495"/>
      <c r="D93" s="496"/>
      <c r="E93" s="497"/>
      <c r="F93" s="498"/>
      <c r="G93" s="499">
        <f t="shared" si="29"/>
        <v>800</v>
      </c>
      <c r="H93" s="500">
        <f t="shared" si="23"/>
        <v>0</v>
      </c>
      <c r="I93" s="501"/>
      <c r="J93" s="502"/>
      <c r="K93" s="499">
        <f t="shared" si="28"/>
        <v>800</v>
      </c>
      <c r="L93" s="500">
        <f t="shared" si="24"/>
        <v>0</v>
      </c>
      <c r="M93" s="501"/>
      <c r="N93" s="504">
        <f t="shared" si="25"/>
        <v>0</v>
      </c>
      <c r="O93" s="505" t="str">
        <f t="shared" si="26"/>
        <v/>
      </c>
      <c r="P93" s="480"/>
      <c r="Q93" s="480"/>
      <c r="R93" s="480"/>
      <c r="S93" s="480"/>
      <c r="T93" s="480"/>
    </row>
    <row r="94" spans="1:20" x14ac:dyDescent="0.2">
      <c r="A94" s="509"/>
      <c r="B94" s="510" t="s">
        <v>508</v>
      </c>
      <c r="C94" s="511"/>
      <c r="D94" s="512"/>
      <c r="E94" s="511"/>
      <c r="F94" s="513"/>
      <c r="G94" s="514"/>
      <c r="H94" s="515">
        <f>SUM(H78:H93)</f>
        <v>43.580000000000005</v>
      </c>
      <c r="I94" s="516"/>
      <c r="J94" s="517"/>
      <c r="K94" s="518"/>
      <c r="L94" s="515">
        <f>SUM(L78:L93)</f>
        <v>40.659999999999997</v>
      </c>
      <c r="M94" s="516"/>
      <c r="N94" s="519">
        <f t="shared" si="25"/>
        <v>-2.9200000000000088</v>
      </c>
      <c r="O94" s="520">
        <f t="shared" si="26"/>
        <v>-6.7003212482790467E-2</v>
      </c>
      <c r="P94" s="509"/>
      <c r="Q94" s="509"/>
      <c r="R94" s="509"/>
      <c r="S94" s="509"/>
      <c r="T94" s="509"/>
    </row>
    <row r="95" spans="1:20" ht="25.5" x14ac:dyDescent="0.2">
      <c r="A95" s="480"/>
      <c r="B95" s="521" t="s">
        <v>509</v>
      </c>
      <c r="C95" s="495"/>
      <c r="D95" s="496" t="s">
        <v>500</v>
      </c>
      <c r="E95" s="497"/>
      <c r="F95" s="502">
        <v>-2.3E-3</v>
      </c>
      <c r="G95" s="499">
        <f>$F$73</f>
        <v>800</v>
      </c>
      <c r="H95" s="500">
        <f>G95*F95</f>
        <v>-1.8399999999999999</v>
      </c>
      <c r="I95" s="501"/>
      <c r="J95" s="502">
        <v>-1.4E-3</v>
      </c>
      <c r="K95" s="499">
        <f>$F$73</f>
        <v>800</v>
      </c>
      <c r="L95" s="500">
        <f>K95*J95</f>
        <v>-1.1199999999999999</v>
      </c>
      <c r="M95" s="501"/>
      <c r="N95" s="504">
        <f>L95-H95</f>
        <v>0.72</v>
      </c>
      <c r="O95" s="505">
        <f>IF((H95)=0,"",(N95/H95))*-1</f>
        <v>0.39130434782608697</v>
      </c>
      <c r="P95" s="480"/>
      <c r="Q95" s="480"/>
      <c r="R95" s="480"/>
      <c r="S95" s="480"/>
      <c r="T95" s="480"/>
    </row>
    <row r="96" spans="1:20" x14ac:dyDescent="0.2">
      <c r="A96" s="480"/>
      <c r="B96" s="521"/>
      <c r="C96" s="495"/>
      <c r="D96" s="496"/>
      <c r="E96" s="497"/>
      <c r="F96" s="498"/>
      <c r="G96" s="499">
        <f t="shared" ref="G96:G99" si="30">$F$73</f>
        <v>800</v>
      </c>
      <c r="H96" s="500">
        <f t="shared" ref="H96:H100" si="31">G96*F96</f>
        <v>0</v>
      </c>
      <c r="I96" s="522"/>
      <c r="J96" s="502"/>
      <c r="K96" s="499">
        <f t="shared" ref="K96:K99" si="32">$F$73</f>
        <v>800</v>
      </c>
      <c r="L96" s="500">
        <f t="shared" ref="L96:L100" si="33">K96*J96</f>
        <v>0</v>
      </c>
      <c r="M96" s="523"/>
      <c r="N96" s="504">
        <f t="shared" ref="N96:N100" si="34">L96-H96</f>
        <v>0</v>
      </c>
      <c r="O96" s="505" t="str">
        <f t="shared" ref="O96:O100" si="35">IF((H96)=0,"",(N96/H96))</f>
        <v/>
      </c>
      <c r="P96" s="480"/>
      <c r="Q96" s="480"/>
      <c r="R96" s="480"/>
      <c r="S96" s="480"/>
      <c r="T96" s="480"/>
    </row>
    <row r="97" spans="1:20" x14ac:dyDescent="0.2">
      <c r="A97" s="480"/>
      <c r="B97" s="521"/>
      <c r="C97" s="495"/>
      <c r="D97" s="496"/>
      <c r="E97" s="497"/>
      <c r="F97" s="498"/>
      <c r="G97" s="499">
        <f t="shared" si="30"/>
        <v>800</v>
      </c>
      <c r="H97" s="500">
        <f t="shared" si="31"/>
        <v>0</v>
      </c>
      <c r="I97" s="522"/>
      <c r="J97" s="502"/>
      <c r="K97" s="499">
        <f t="shared" si="32"/>
        <v>800</v>
      </c>
      <c r="L97" s="500">
        <f t="shared" si="33"/>
        <v>0</v>
      </c>
      <c r="M97" s="523"/>
      <c r="N97" s="504">
        <f t="shared" si="34"/>
        <v>0</v>
      </c>
      <c r="O97" s="505" t="str">
        <f t="shared" si="35"/>
        <v/>
      </c>
      <c r="P97" s="480"/>
      <c r="Q97" s="480"/>
      <c r="R97" s="480"/>
      <c r="S97" s="480"/>
      <c r="T97" s="480"/>
    </row>
    <row r="98" spans="1:20" x14ac:dyDescent="0.2">
      <c r="A98" s="480"/>
      <c r="B98" s="521"/>
      <c r="C98" s="495"/>
      <c r="D98" s="496"/>
      <c r="E98" s="497"/>
      <c r="F98" s="498"/>
      <c r="G98" s="499">
        <f t="shared" si="30"/>
        <v>800</v>
      </c>
      <c r="H98" s="500">
        <f t="shared" si="31"/>
        <v>0</v>
      </c>
      <c r="I98" s="522"/>
      <c r="J98" s="502"/>
      <c r="K98" s="499">
        <f t="shared" si="32"/>
        <v>800</v>
      </c>
      <c r="L98" s="500">
        <f t="shared" si="33"/>
        <v>0</v>
      </c>
      <c r="M98" s="523"/>
      <c r="N98" s="504">
        <f t="shared" si="34"/>
        <v>0</v>
      </c>
      <c r="O98" s="505" t="str">
        <f t="shared" si="35"/>
        <v/>
      </c>
      <c r="P98" s="480"/>
      <c r="Q98" s="480"/>
      <c r="R98" s="480"/>
      <c r="S98" s="480"/>
      <c r="T98" s="480"/>
    </row>
    <row r="99" spans="1:20" x14ac:dyDescent="0.2">
      <c r="A99" s="480"/>
      <c r="B99" s="524" t="s">
        <v>510</v>
      </c>
      <c r="C99" s="495"/>
      <c r="D99" s="496" t="s">
        <v>500</v>
      </c>
      <c r="E99" s="497"/>
      <c r="F99" s="498">
        <v>4.0000000000000002E-4</v>
      </c>
      <c r="G99" s="499">
        <f t="shared" si="30"/>
        <v>800</v>
      </c>
      <c r="H99" s="500">
        <f>G99*F99</f>
        <v>0.32</v>
      </c>
      <c r="I99" s="501"/>
      <c r="J99" s="502">
        <v>4.0000000000000002E-4</v>
      </c>
      <c r="K99" s="499">
        <f t="shared" si="32"/>
        <v>800</v>
      </c>
      <c r="L99" s="500">
        <f>K99*J99</f>
        <v>0.32</v>
      </c>
      <c r="M99" s="501"/>
      <c r="N99" s="504">
        <f>L99-H99</f>
        <v>0</v>
      </c>
      <c r="O99" s="505">
        <f>IF((H99)=0,"",(N99/H99))</f>
        <v>0</v>
      </c>
      <c r="P99" s="480"/>
      <c r="Q99" s="480"/>
      <c r="R99" s="480"/>
      <c r="S99" s="480"/>
      <c r="T99" s="480"/>
    </row>
    <row r="100" spans="1:20" x14ac:dyDescent="0.2">
      <c r="A100" s="480"/>
      <c r="B100" s="524" t="s">
        <v>511</v>
      </c>
      <c r="C100" s="495"/>
      <c r="D100" s="496" t="s">
        <v>500</v>
      </c>
      <c r="E100" s="497"/>
      <c r="F100" s="525">
        <f>IF(ISBLANK(D71)=TRUE, 0, IF(D71="TOU", 0.64*$F$110+0.18*$F$111+0.18*$F$112, IF(AND(D71="non-TOU",#REF!&gt; 0),#REF!,#REF!)))</f>
        <v>8.3919999999999995E-2</v>
      </c>
      <c r="G100" s="526">
        <f>$F$73*(1+$F$121)-$F$73</f>
        <v>54.400000000000091</v>
      </c>
      <c r="H100" s="500">
        <f t="shared" si="31"/>
        <v>4.5652480000000075</v>
      </c>
      <c r="I100" s="501"/>
      <c r="J100" s="527">
        <f>0.64*$F$110+0.18*$F$111+0.18*$F$112</f>
        <v>8.3919999999999995E-2</v>
      </c>
      <c r="K100" s="526">
        <f>$F$73*(1+$J$121)-$F$73</f>
        <v>52.400000000000091</v>
      </c>
      <c r="L100" s="500">
        <f t="shared" si="33"/>
        <v>4.3974080000000075</v>
      </c>
      <c r="M100" s="501"/>
      <c r="N100" s="504">
        <f t="shared" si="34"/>
        <v>-0.16783999999999999</v>
      </c>
      <c r="O100" s="505">
        <f t="shared" si="35"/>
        <v>-3.676470588235288E-2</v>
      </c>
      <c r="P100" s="480"/>
      <c r="Q100" s="480"/>
      <c r="R100" s="480"/>
      <c r="S100" s="480"/>
      <c r="T100" s="480"/>
    </row>
    <row r="101" spans="1:20" x14ac:dyDescent="0.2">
      <c r="A101" s="480"/>
      <c r="B101" s="524" t="s">
        <v>512</v>
      </c>
      <c r="C101" s="495"/>
      <c r="D101" s="496" t="s">
        <v>497</v>
      </c>
      <c r="E101" s="497"/>
      <c r="F101" s="525">
        <v>0.79</v>
      </c>
      <c r="G101" s="499">
        <v>1</v>
      </c>
      <c r="H101" s="500">
        <f>G101*F101</f>
        <v>0.79</v>
      </c>
      <c r="I101" s="501"/>
      <c r="J101" s="525">
        <v>0.79</v>
      </c>
      <c r="K101" s="499">
        <v>1</v>
      </c>
      <c r="L101" s="500">
        <f>K101*J101</f>
        <v>0.79</v>
      </c>
      <c r="M101" s="501"/>
      <c r="N101" s="504">
        <f>L101-H101</f>
        <v>0</v>
      </c>
      <c r="O101" s="505"/>
      <c r="P101" s="480"/>
      <c r="Q101" s="480"/>
      <c r="R101" s="480"/>
      <c r="S101" s="480"/>
      <c r="T101" s="480"/>
    </row>
    <row r="102" spans="1:20" ht="25.5" x14ac:dyDescent="0.2">
      <c r="A102" s="480"/>
      <c r="B102" s="528" t="s">
        <v>513</v>
      </c>
      <c r="C102" s="529"/>
      <c r="D102" s="529"/>
      <c r="E102" s="529"/>
      <c r="F102" s="530"/>
      <c r="G102" s="531"/>
      <c r="H102" s="532">
        <f>SUM(H95:H101)+H94</f>
        <v>47.415248000000012</v>
      </c>
      <c r="I102" s="516"/>
      <c r="J102" s="531"/>
      <c r="K102" s="533"/>
      <c r="L102" s="532">
        <f>SUM(L95:L101)+L94</f>
        <v>45.047408000000004</v>
      </c>
      <c r="M102" s="516"/>
      <c r="N102" s="519">
        <f t="shared" ref="N102:N118" si="36">L102-H102</f>
        <v>-2.3678400000000082</v>
      </c>
      <c r="O102" s="520">
        <f t="shared" ref="O102:O118" si="37">IF((H102)=0,"",(N102/H102))</f>
        <v>-4.9938365818523345E-2</v>
      </c>
      <c r="P102" s="480"/>
      <c r="Q102" s="480"/>
      <c r="R102" s="480"/>
      <c r="S102" s="480"/>
      <c r="T102" s="480"/>
    </row>
    <row r="103" spans="1:20" x14ac:dyDescent="0.2">
      <c r="A103" s="480"/>
      <c r="B103" s="501" t="s">
        <v>514</v>
      </c>
      <c r="C103" s="501"/>
      <c r="D103" s="534" t="s">
        <v>500</v>
      </c>
      <c r="E103" s="535"/>
      <c r="F103" s="502">
        <v>6.4999999999999997E-3</v>
      </c>
      <c r="G103" s="536">
        <f>F73*(1+F121)</f>
        <v>854.40000000000009</v>
      </c>
      <c r="H103" s="500">
        <f>G103*F103</f>
        <v>5.5536000000000003</v>
      </c>
      <c r="I103" s="501"/>
      <c r="J103" s="502">
        <v>6.7999999999999996E-3</v>
      </c>
      <c r="K103" s="537">
        <f>F73*(1+J121)</f>
        <v>852.40000000000009</v>
      </c>
      <c r="L103" s="500">
        <f>K103*J103</f>
        <v>5.7963200000000006</v>
      </c>
      <c r="M103" s="501"/>
      <c r="N103" s="504">
        <f t="shared" si="36"/>
        <v>0.24272000000000027</v>
      </c>
      <c r="O103" s="505">
        <f t="shared" si="37"/>
        <v>4.3704984154422401E-2</v>
      </c>
      <c r="P103" s="480"/>
      <c r="Q103" s="480"/>
      <c r="R103" s="480"/>
      <c r="S103" s="480"/>
      <c r="T103" s="480"/>
    </row>
    <row r="104" spans="1:20" ht="30" x14ac:dyDescent="0.2">
      <c r="A104" s="480"/>
      <c r="B104" s="538" t="s">
        <v>515</v>
      </c>
      <c r="C104" s="501"/>
      <c r="D104" s="534" t="s">
        <v>500</v>
      </c>
      <c r="E104" s="535"/>
      <c r="F104" s="502">
        <v>4.7999999999999996E-3</v>
      </c>
      <c r="G104" s="536">
        <f>G103</f>
        <v>854.40000000000009</v>
      </c>
      <c r="H104" s="500">
        <f>G104*F104</f>
        <v>4.1011199999999999</v>
      </c>
      <c r="I104" s="501"/>
      <c r="J104" s="502">
        <v>5.1999999999999998E-3</v>
      </c>
      <c r="K104" s="537">
        <f>K103</f>
        <v>852.40000000000009</v>
      </c>
      <c r="L104" s="500">
        <f>K104*J104</f>
        <v>4.43248</v>
      </c>
      <c r="M104" s="501"/>
      <c r="N104" s="504">
        <f t="shared" si="36"/>
        <v>0.3313600000000001</v>
      </c>
      <c r="O104" s="505">
        <f t="shared" si="37"/>
        <v>8.0797440699126116E-2</v>
      </c>
      <c r="P104" s="480"/>
      <c r="Q104" s="480"/>
      <c r="R104" s="480"/>
      <c r="S104" s="480"/>
      <c r="T104" s="480"/>
    </row>
    <row r="105" spans="1:20" ht="25.5" x14ac:dyDescent="0.2">
      <c r="A105" s="480"/>
      <c r="B105" s="528" t="s">
        <v>516</v>
      </c>
      <c r="C105" s="511"/>
      <c r="D105" s="511"/>
      <c r="E105" s="511"/>
      <c r="F105" s="539"/>
      <c r="G105" s="531"/>
      <c r="H105" s="532">
        <f>SUM(H102:H104)</f>
        <v>57.069968000000017</v>
      </c>
      <c r="I105" s="540"/>
      <c r="J105" s="541"/>
      <c r="K105" s="542"/>
      <c r="L105" s="532">
        <f>SUM(L102:L104)</f>
        <v>55.276208000000004</v>
      </c>
      <c r="M105" s="540"/>
      <c r="N105" s="519">
        <f t="shared" si="36"/>
        <v>-1.7937600000000131</v>
      </c>
      <c r="O105" s="520">
        <f t="shared" si="37"/>
        <v>-3.1430891988585181E-2</v>
      </c>
      <c r="P105" s="480"/>
      <c r="Q105" s="480"/>
      <c r="R105" s="480"/>
      <c r="S105" s="480"/>
      <c r="T105" s="480"/>
    </row>
    <row r="106" spans="1:20" ht="30" x14ac:dyDescent="0.2">
      <c r="A106" s="480"/>
      <c r="B106" s="543" t="s">
        <v>517</v>
      </c>
      <c r="C106" s="495"/>
      <c r="D106" s="496" t="s">
        <v>500</v>
      </c>
      <c r="E106" s="497"/>
      <c r="F106" s="544">
        <v>4.4000000000000003E-3</v>
      </c>
      <c r="G106" s="536">
        <f>G104</f>
        <v>854.40000000000009</v>
      </c>
      <c r="H106" s="545">
        <f t="shared" ref="H106:H112" si="38">G106*F106</f>
        <v>3.7593600000000005</v>
      </c>
      <c r="I106" s="501"/>
      <c r="J106" s="546">
        <v>4.4000000000000003E-3</v>
      </c>
      <c r="K106" s="537">
        <f>K104</f>
        <v>852.40000000000009</v>
      </c>
      <c r="L106" s="545">
        <f t="shared" ref="L106:L112" si="39">K106*J106</f>
        <v>3.7505600000000006</v>
      </c>
      <c r="M106" s="501"/>
      <c r="N106" s="504">
        <f t="shared" si="36"/>
        <v>-8.799999999999919E-3</v>
      </c>
      <c r="O106" s="547">
        <f t="shared" si="37"/>
        <v>-2.3408239700374311E-3</v>
      </c>
      <c r="P106" s="480"/>
      <c r="Q106" s="480"/>
      <c r="R106" s="480"/>
      <c r="S106" s="480"/>
      <c r="T106" s="480"/>
    </row>
    <row r="107" spans="1:20" ht="30" x14ac:dyDescent="0.2">
      <c r="A107" s="480"/>
      <c r="B107" s="543" t="s">
        <v>518</v>
      </c>
      <c r="C107" s="495"/>
      <c r="D107" s="496" t="s">
        <v>500</v>
      </c>
      <c r="E107" s="497"/>
      <c r="F107" s="544">
        <v>1.1999999999999999E-3</v>
      </c>
      <c r="G107" s="536">
        <f>G104</f>
        <v>854.40000000000009</v>
      </c>
      <c r="H107" s="545">
        <f t="shared" si="38"/>
        <v>1.02528</v>
      </c>
      <c r="I107" s="501"/>
      <c r="J107" s="546">
        <v>1.2999999999999999E-3</v>
      </c>
      <c r="K107" s="537">
        <f>K104</f>
        <v>852.40000000000009</v>
      </c>
      <c r="L107" s="545">
        <f t="shared" si="39"/>
        <v>1.10812</v>
      </c>
      <c r="M107" s="501"/>
      <c r="N107" s="504">
        <f t="shared" si="36"/>
        <v>8.2840000000000025E-2</v>
      </c>
      <c r="O107" s="547">
        <f t="shared" si="37"/>
        <v>8.0797440699126116E-2</v>
      </c>
      <c r="P107" s="480"/>
      <c r="Q107" s="480"/>
      <c r="R107" s="480"/>
      <c r="S107" s="480"/>
      <c r="T107" s="480"/>
    </row>
    <row r="108" spans="1:20" x14ac:dyDescent="0.2">
      <c r="A108" s="480"/>
      <c r="B108" s="495" t="s">
        <v>519</v>
      </c>
      <c r="C108" s="495"/>
      <c r="D108" s="496" t="s">
        <v>497</v>
      </c>
      <c r="E108" s="497"/>
      <c r="F108" s="544">
        <v>0.25</v>
      </c>
      <c r="G108" s="499">
        <v>1</v>
      </c>
      <c r="H108" s="545">
        <f t="shared" si="38"/>
        <v>0.25</v>
      </c>
      <c r="I108" s="501"/>
      <c r="J108" s="546">
        <v>0.25</v>
      </c>
      <c r="K108" s="503">
        <v>1</v>
      </c>
      <c r="L108" s="545">
        <f t="shared" si="39"/>
        <v>0.25</v>
      </c>
      <c r="M108" s="501"/>
      <c r="N108" s="504">
        <f t="shared" si="36"/>
        <v>0</v>
      </c>
      <c r="O108" s="547">
        <f t="shared" si="37"/>
        <v>0</v>
      </c>
      <c r="P108" s="480"/>
      <c r="Q108" s="480"/>
      <c r="R108" s="480"/>
      <c r="S108" s="480"/>
      <c r="T108" s="480"/>
    </row>
    <row r="109" spans="1:20" x14ac:dyDescent="0.2">
      <c r="A109" s="480"/>
      <c r="B109" s="495" t="s">
        <v>520</v>
      </c>
      <c r="C109" s="495"/>
      <c r="D109" s="496" t="s">
        <v>500</v>
      </c>
      <c r="E109" s="497"/>
      <c r="F109" s="544">
        <v>7.0000000000000001E-3</v>
      </c>
      <c r="G109" s="548">
        <f>F73</f>
        <v>800</v>
      </c>
      <c r="H109" s="545">
        <f t="shared" si="38"/>
        <v>5.6000000000000005</v>
      </c>
      <c r="I109" s="501"/>
      <c r="J109" s="546">
        <v>7.0000000000000001E-3</v>
      </c>
      <c r="K109" s="549">
        <f>F73</f>
        <v>800</v>
      </c>
      <c r="L109" s="545">
        <f t="shared" si="39"/>
        <v>5.6000000000000005</v>
      </c>
      <c r="M109" s="501"/>
      <c r="N109" s="504">
        <f t="shared" si="36"/>
        <v>0</v>
      </c>
      <c r="O109" s="547">
        <f t="shared" si="37"/>
        <v>0</v>
      </c>
      <c r="P109" s="480"/>
      <c r="Q109" s="480"/>
      <c r="R109" s="480"/>
      <c r="S109" s="480"/>
      <c r="T109" s="480"/>
    </row>
    <row r="110" spans="1:20" x14ac:dyDescent="0.2">
      <c r="A110" s="480"/>
      <c r="B110" s="524" t="s">
        <v>521</v>
      </c>
      <c r="C110" s="495"/>
      <c r="D110" s="496" t="s">
        <v>500</v>
      </c>
      <c r="E110" s="497"/>
      <c r="F110" s="550">
        <v>6.7000000000000004E-2</v>
      </c>
      <c r="G110" s="551">
        <f>0.64*$F$73</f>
        <v>512</v>
      </c>
      <c r="H110" s="545">
        <f t="shared" si="38"/>
        <v>34.304000000000002</v>
      </c>
      <c r="I110" s="501"/>
      <c r="J110" s="544">
        <v>6.7000000000000004E-2</v>
      </c>
      <c r="K110" s="551">
        <f>G110</f>
        <v>512</v>
      </c>
      <c r="L110" s="545">
        <f t="shared" si="39"/>
        <v>34.304000000000002</v>
      </c>
      <c r="M110" s="501"/>
      <c r="N110" s="504">
        <f t="shared" si="36"/>
        <v>0</v>
      </c>
      <c r="O110" s="547">
        <f t="shared" si="37"/>
        <v>0</v>
      </c>
      <c r="P110" s="480"/>
      <c r="Q110" s="480"/>
      <c r="R110" s="480"/>
      <c r="S110" s="552"/>
      <c r="T110" s="480"/>
    </row>
    <row r="111" spans="1:20" x14ac:dyDescent="0.2">
      <c r="A111" s="480"/>
      <c r="B111" s="524" t="s">
        <v>522</v>
      </c>
      <c r="C111" s="495"/>
      <c r="D111" s="496" t="s">
        <v>500</v>
      </c>
      <c r="E111" s="497"/>
      <c r="F111" s="550">
        <v>0.104</v>
      </c>
      <c r="G111" s="551">
        <f>0.18*$F$73</f>
        <v>144</v>
      </c>
      <c r="H111" s="545">
        <f t="shared" si="38"/>
        <v>14.975999999999999</v>
      </c>
      <c r="I111" s="501"/>
      <c r="J111" s="544">
        <v>0.104</v>
      </c>
      <c r="K111" s="551">
        <f>G111</f>
        <v>144</v>
      </c>
      <c r="L111" s="545">
        <f t="shared" si="39"/>
        <v>14.975999999999999</v>
      </c>
      <c r="M111" s="501"/>
      <c r="N111" s="504">
        <f t="shared" si="36"/>
        <v>0</v>
      </c>
      <c r="O111" s="547">
        <f t="shared" si="37"/>
        <v>0</v>
      </c>
      <c r="P111" s="480"/>
      <c r="Q111" s="480"/>
      <c r="R111" s="480"/>
      <c r="S111" s="552"/>
      <c r="T111" s="480"/>
    </row>
    <row r="112" spans="1:20" ht="15.75" thickBot="1" x14ac:dyDescent="0.25">
      <c r="A112" s="480"/>
      <c r="B112" s="485" t="s">
        <v>523</v>
      </c>
      <c r="C112" s="495"/>
      <c r="D112" s="496" t="s">
        <v>500</v>
      </c>
      <c r="E112" s="497"/>
      <c r="F112" s="550">
        <v>0.124</v>
      </c>
      <c r="G112" s="551">
        <f>0.18*$F$73</f>
        <v>144</v>
      </c>
      <c r="H112" s="545">
        <f t="shared" si="38"/>
        <v>17.856000000000002</v>
      </c>
      <c r="I112" s="501"/>
      <c r="J112" s="544">
        <v>0.124</v>
      </c>
      <c r="K112" s="551">
        <f>G112</f>
        <v>144</v>
      </c>
      <c r="L112" s="545">
        <f t="shared" si="39"/>
        <v>17.856000000000002</v>
      </c>
      <c r="M112" s="501"/>
      <c r="N112" s="504">
        <f t="shared" si="36"/>
        <v>0</v>
      </c>
      <c r="O112" s="547">
        <f t="shared" si="37"/>
        <v>0</v>
      </c>
      <c r="P112" s="480"/>
      <c r="Q112" s="480"/>
      <c r="R112" s="480"/>
      <c r="S112" s="552"/>
      <c r="T112" s="480"/>
    </row>
    <row r="113" spans="1:20" ht="15.75" thickBot="1" x14ac:dyDescent="0.25">
      <c r="A113" s="480"/>
      <c r="B113" s="553"/>
      <c r="C113" s="554"/>
      <c r="D113" s="555"/>
      <c r="E113" s="554"/>
      <c r="F113" s="556"/>
      <c r="G113" s="557"/>
      <c r="H113" s="558"/>
      <c r="I113" s="559"/>
      <c r="J113" s="556"/>
      <c r="K113" s="560"/>
      <c r="L113" s="558"/>
      <c r="M113" s="559"/>
      <c r="N113" s="561"/>
      <c r="O113" s="562"/>
      <c r="P113" s="480"/>
      <c r="Q113" s="480"/>
      <c r="R113" s="480"/>
      <c r="S113" s="480"/>
      <c r="T113" s="480"/>
    </row>
    <row r="114" spans="1:20" x14ac:dyDescent="0.2">
      <c r="A114" s="480"/>
      <c r="B114" s="563" t="s">
        <v>524</v>
      </c>
      <c r="C114" s="495"/>
      <c r="D114" s="495"/>
      <c r="E114" s="495"/>
      <c r="F114" s="564"/>
      <c r="G114" s="565"/>
      <c r="H114" s="566">
        <f>SUM(H106:H112,H105)</f>
        <v>134.84060800000003</v>
      </c>
      <c r="I114" s="567"/>
      <c r="J114" s="568"/>
      <c r="K114" s="568"/>
      <c r="L114" s="566">
        <f>SUM(L106:L112,L105)</f>
        <v>133.12088800000001</v>
      </c>
      <c r="M114" s="569"/>
      <c r="N114" s="570">
        <f t="shared" ref="N114" si="40">L114-H114</f>
        <v>-1.7197200000000237</v>
      </c>
      <c r="O114" s="571">
        <f t="shared" ref="O114" si="41">IF((H114)=0,"",(N114/H114))</f>
        <v>-1.2753724753302977E-2</v>
      </c>
      <c r="P114" s="480"/>
      <c r="Q114" s="480"/>
      <c r="R114" s="480"/>
      <c r="S114" s="552"/>
      <c r="T114" s="480"/>
    </row>
    <row r="115" spans="1:20" x14ac:dyDescent="0.2">
      <c r="A115" s="480"/>
      <c r="B115" s="572" t="s">
        <v>525</v>
      </c>
      <c r="C115" s="495"/>
      <c r="D115" s="495"/>
      <c r="E115" s="495"/>
      <c r="F115" s="573">
        <v>0.13</v>
      </c>
      <c r="G115" s="574"/>
      <c r="H115" s="575">
        <f>H114*F115</f>
        <v>17.529279040000006</v>
      </c>
      <c r="I115" s="576"/>
      <c r="J115" s="577">
        <v>0.13</v>
      </c>
      <c r="K115" s="576"/>
      <c r="L115" s="578">
        <f>L114*J115</f>
        <v>17.30571544</v>
      </c>
      <c r="M115" s="579"/>
      <c r="N115" s="580">
        <f t="shared" si="36"/>
        <v>-0.22356360000000564</v>
      </c>
      <c r="O115" s="581">
        <f t="shared" si="37"/>
        <v>-1.2753724753303121E-2</v>
      </c>
      <c r="P115" s="480"/>
      <c r="Q115" s="480"/>
      <c r="R115" s="480"/>
      <c r="S115" s="552"/>
      <c r="T115" s="480"/>
    </row>
    <row r="116" spans="1:20" x14ac:dyDescent="0.2">
      <c r="A116" s="480"/>
      <c r="B116" s="582" t="s">
        <v>526</v>
      </c>
      <c r="C116" s="495"/>
      <c r="D116" s="495"/>
      <c r="E116" s="495"/>
      <c r="F116" s="583"/>
      <c r="G116" s="574"/>
      <c r="H116" s="575">
        <f>H114+H115</f>
        <v>152.36988704000004</v>
      </c>
      <c r="I116" s="576"/>
      <c r="J116" s="576"/>
      <c r="K116" s="576"/>
      <c r="L116" s="578">
        <f>L114+L115</f>
        <v>150.42660344000001</v>
      </c>
      <c r="M116" s="579"/>
      <c r="N116" s="580">
        <f t="shared" si="36"/>
        <v>-1.9432836000000293</v>
      </c>
      <c r="O116" s="581">
        <f t="shared" si="37"/>
        <v>-1.2753724753302992E-2</v>
      </c>
      <c r="P116" s="480"/>
      <c r="Q116" s="480"/>
      <c r="R116" s="480"/>
      <c r="S116" s="552"/>
      <c r="T116" s="480"/>
    </row>
    <row r="117" spans="1:20" x14ac:dyDescent="0.2">
      <c r="A117" s="480"/>
      <c r="B117" s="964" t="s">
        <v>527</v>
      </c>
      <c r="C117" s="964"/>
      <c r="D117" s="964"/>
      <c r="E117" s="495"/>
      <c r="F117" s="583"/>
      <c r="G117" s="574"/>
      <c r="H117" s="584">
        <f>ROUND(-H116*10%,2)</f>
        <v>-15.24</v>
      </c>
      <c r="I117" s="576"/>
      <c r="J117" s="576"/>
      <c r="K117" s="576"/>
      <c r="L117" s="585">
        <f>ROUND(-L116*10%,2)</f>
        <v>-15.04</v>
      </c>
      <c r="M117" s="579"/>
      <c r="N117" s="586">
        <f t="shared" si="36"/>
        <v>0.20000000000000107</v>
      </c>
      <c r="O117" s="587">
        <f t="shared" si="37"/>
        <v>-1.3123359580052563E-2</v>
      </c>
      <c r="P117" s="480"/>
      <c r="Q117" s="480"/>
      <c r="R117" s="480"/>
      <c r="S117" s="480"/>
      <c r="T117" s="480"/>
    </row>
    <row r="118" spans="1:20" ht="15.75" thickBot="1" x14ac:dyDescent="0.25">
      <c r="A118" s="480"/>
      <c r="B118" s="965" t="s">
        <v>528</v>
      </c>
      <c r="C118" s="965"/>
      <c r="D118" s="965"/>
      <c r="E118" s="588"/>
      <c r="F118" s="589"/>
      <c r="G118" s="590"/>
      <c r="H118" s="591">
        <f>H116+H117</f>
        <v>137.12988704000003</v>
      </c>
      <c r="I118" s="592"/>
      <c r="J118" s="592"/>
      <c r="K118" s="592"/>
      <c r="L118" s="593">
        <f>L116+L117</f>
        <v>135.38660344000002</v>
      </c>
      <c r="M118" s="594"/>
      <c r="N118" s="595">
        <f t="shared" si="36"/>
        <v>-1.7432836000000123</v>
      </c>
      <c r="O118" s="596">
        <f t="shared" si="37"/>
        <v>-1.2712645198136174E-2</v>
      </c>
      <c r="P118" s="480"/>
      <c r="Q118" s="480"/>
      <c r="R118" s="480"/>
      <c r="S118" s="480"/>
      <c r="T118" s="480"/>
    </row>
    <row r="119" spans="1:20" ht="15.75" thickBot="1" x14ac:dyDescent="0.25">
      <c r="A119" s="597"/>
      <c r="B119" s="598"/>
      <c r="C119" s="599"/>
      <c r="D119" s="600"/>
      <c r="E119" s="599"/>
      <c r="F119" s="556"/>
      <c r="G119" s="601"/>
      <c r="H119" s="558"/>
      <c r="I119" s="602"/>
      <c r="J119" s="556"/>
      <c r="K119" s="603"/>
      <c r="L119" s="558"/>
      <c r="M119" s="602"/>
      <c r="N119" s="604"/>
      <c r="O119" s="562"/>
      <c r="P119" s="597"/>
      <c r="Q119" s="597"/>
      <c r="R119" s="597"/>
      <c r="S119" s="597"/>
      <c r="T119" s="597"/>
    </row>
    <row r="120" spans="1:20" x14ac:dyDescent="0.2">
      <c r="A120" s="480"/>
      <c r="B120" s="480"/>
      <c r="C120" s="480"/>
      <c r="D120" s="480"/>
      <c r="E120" s="480"/>
      <c r="F120" s="480"/>
      <c r="G120" s="480"/>
      <c r="H120" s="480"/>
      <c r="I120" s="480"/>
      <c r="J120" s="480"/>
      <c r="K120" s="480"/>
      <c r="L120" s="552"/>
      <c r="M120" s="480"/>
      <c r="N120" s="480"/>
      <c r="O120" s="480"/>
      <c r="P120" s="480"/>
      <c r="Q120" s="480"/>
      <c r="R120" s="480"/>
      <c r="S120" s="480"/>
      <c r="T120" s="480"/>
    </row>
    <row r="121" spans="1:20" x14ac:dyDescent="0.2">
      <c r="A121" s="480"/>
      <c r="B121" s="486" t="s">
        <v>529</v>
      </c>
      <c r="C121" s="480"/>
      <c r="D121" s="480"/>
      <c r="E121" s="480"/>
      <c r="F121" s="605">
        <v>6.8000000000000005E-2</v>
      </c>
      <c r="G121" s="480"/>
      <c r="H121" s="480"/>
      <c r="I121" s="480"/>
      <c r="J121" s="605">
        <v>6.5500000000000003E-2</v>
      </c>
      <c r="K121" s="480"/>
      <c r="L121" s="480"/>
      <c r="M121" s="480"/>
      <c r="N121" s="480"/>
      <c r="O121" s="480"/>
      <c r="P121" s="480"/>
      <c r="Q121" s="480"/>
      <c r="R121" s="480"/>
      <c r="S121" s="480"/>
      <c r="T121" s="480"/>
    </row>
    <row r="122" spans="1:20" x14ac:dyDescent="0.2">
      <c r="A122" s="480"/>
      <c r="B122" s="480"/>
      <c r="C122" s="480"/>
      <c r="D122" s="480"/>
      <c r="E122" s="480"/>
      <c r="F122" s="480"/>
      <c r="G122" s="480"/>
      <c r="H122" s="480"/>
      <c r="I122" s="480"/>
      <c r="J122" s="480"/>
      <c r="K122" s="480"/>
      <c r="L122" s="480"/>
      <c r="M122" s="480"/>
      <c r="N122" s="480"/>
      <c r="O122" s="480"/>
      <c r="P122" s="480"/>
      <c r="Q122" s="480"/>
      <c r="R122" s="480"/>
      <c r="S122" s="480"/>
      <c r="T122" s="480"/>
    </row>
    <row r="123" spans="1:20" x14ac:dyDescent="0.2">
      <c r="A123" s="606" t="s">
        <v>531</v>
      </c>
      <c r="B123" s="480"/>
      <c r="C123" s="480"/>
      <c r="D123" s="480"/>
      <c r="E123" s="480"/>
      <c r="F123" s="480"/>
      <c r="G123" s="480"/>
      <c r="H123" s="480"/>
      <c r="I123" s="480"/>
      <c r="J123" s="480"/>
      <c r="K123" s="480"/>
      <c r="L123" s="480"/>
      <c r="M123" s="480"/>
      <c r="N123" s="480"/>
      <c r="O123" s="480"/>
      <c r="P123" s="480"/>
      <c r="Q123" s="480"/>
      <c r="R123" s="480"/>
      <c r="S123" s="480"/>
      <c r="T123" s="480"/>
    </row>
    <row r="124" spans="1:20" x14ac:dyDescent="0.2">
      <c r="A124" s="480"/>
      <c r="B124" s="480"/>
      <c r="C124" s="480"/>
      <c r="D124" s="480"/>
      <c r="E124" s="480"/>
      <c r="F124" s="480"/>
      <c r="G124" s="480"/>
      <c r="H124" s="480"/>
      <c r="I124" s="480"/>
      <c r="J124" s="480"/>
      <c r="K124" s="480"/>
      <c r="L124" s="480"/>
      <c r="M124" s="480"/>
      <c r="N124" s="480"/>
      <c r="O124" s="480"/>
      <c r="P124" s="480"/>
      <c r="Q124" s="480"/>
      <c r="R124" s="480"/>
      <c r="S124" s="480"/>
      <c r="T124" s="480"/>
    </row>
    <row r="125" spans="1:20" x14ac:dyDescent="0.2">
      <c r="A125" s="480" t="s">
        <v>532</v>
      </c>
      <c r="B125" s="480"/>
      <c r="C125" s="480"/>
      <c r="D125" s="480"/>
      <c r="E125" s="480"/>
      <c r="F125" s="480"/>
      <c r="G125" s="480"/>
      <c r="H125" s="480"/>
      <c r="I125" s="480"/>
      <c r="J125" s="480"/>
      <c r="K125" s="480"/>
      <c r="L125" s="480"/>
      <c r="M125" s="480"/>
      <c r="N125" s="480"/>
      <c r="O125" s="480"/>
      <c r="P125" s="480"/>
      <c r="Q125" s="480"/>
      <c r="R125" s="480"/>
      <c r="S125" s="480"/>
      <c r="T125" s="480"/>
    </row>
    <row r="126" spans="1:20" x14ac:dyDescent="0.2">
      <c r="A126" s="480" t="s">
        <v>533</v>
      </c>
      <c r="B126" s="480"/>
      <c r="C126" s="480"/>
      <c r="D126" s="480"/>
      <c r="E126" s="480"/>
      <c r="F126" s="480"/>
      <c r="G126" s="480"/>
      <c r="H126" s="480"/>
      <c r="I126" s="480"/>
      <c r="J126" s="480"/>
      <c r="K126" s="480"/>
      <c r="L126" s="480"/>
      <c r="M126" s="480"/>
      <c r="N126" s="480"/>
      <c r="O126" s="480"/>
      <c r="P126" s="480"/>
      <c r="Q126" s="480"/>
      <c r="R126" s="480"/>
      <c r="S126" s="480"/>
      <c r="T126" s="480"/>
    </row>
    <row r="127" spans="1:20" x14ac:dyDescent="0.2">
      <c r="A127" s="480"/>
      <c r="B127" s="480"/>
      <c r="C127" s="480"/>
      <c r="D127" s="480"/>
      <c r="E127" s="480"/>
      <c r="F127" s="480"/>
      <c r="G127" s="480"/>
      <c r="H127" s="480"/>
      <c r="I127" s="480"/>
      <c r="J127" s="480"/>
      <c r="K127" s="480"/>
      <c r="L127" s="480"/>
      <c r="M127" s="480"/>
      <c r="N127" s="480"/>
      <c r="O127" s="480"/>
      <c r="P127" s="480"/>
      <c r="Q127" s="480"/>
      <c r="R127" s="480"/>
      <c r="S127" s="480"/>
      <c r="T127" s="480"/>
    </row>
    <row r="128" spans="1:20" x14ac:dyDescent="0.2">
      <c r="A128" s="485" t="s">
        <v>534</v>
      </c>
      <c r="B128" s="480"/>
      <c r="C128" s="480"/>
      <c r="D128" s="480"/>
      <c r="E128" s="480"/>
      <c r="F128" s="480"/>
      <c r="G128" s="480"/>
      <c r="H128" s="480"/>
      <c r="I128" s="480"/>
      <c r="J128" s="480"/>
      <c r="K128" s="480"/>
      <c r="L128" s="480"/>
      <c r="M128" s="480"/>
      <c r="N128" s="480"/>
      <c r="O128" s="480"/>
      <c r="P128" s="480"/>
      <c r="Q128" s="480"/>
      <c r="R128" s="480"/>
      <c r="S128" s="480"/>
      <c r="T128" s="480"/>
    </row>
    <row r="129" spans="1:20" x14ac:dyDescent="0.2">
      <c r="A129" s="485" t="s">
        <v>535</v>
      </c>
      <c r="B129" s="480"/>
      <c r="C129" s="480"/>
      <c r="D129" s="480"/>
      <c r="E129" s="480"/>
      <c r="F129" s="480"/>
      <c r="G129" s="480"/>
      <c r="H129" s="480"/>
      <c r="I129" s="480"/>
      <c r="J129" s="480"/>
      <c r="K129" s="480"/>
      <c r="L129" s="480"/>
      <c r="M129" s="480"/>
      <c r="N129" s="480"/>
      <c r="O129" s="480"/>
      <c r="P129" s="480"/>
      <c r="Q129" s="480"/>
      <c r="R129" s="480"/>
      <c r="S129" s="480"/>
      <c r="T129" s="480"/>
    </row>
    <row r="130" spans="1:20" x14ac:dyDescent="0.2">
      <c r="A130" s="480"/>
      <c r="B130" s="480"/>
      <c r="C130" s="480"/>
      <c r="D130" s="480"/>
      <c r="E130" s="480"/>
      <c r="F130" s="480"/>
      <c r="G130" s="480"/>
      <c r="H130" s="480"/>
      <c r="I130" s="480"/>
      <c r="J130" s="480"/>
      <c r="K130" s="480"/>
      <c r="L130" s="480"/>
      <c r="M130" s="480"/>
      <c r="N130" s="480"/>
      <c r="O130" s="480"/>
      <c r="P130" s="480"/>
      <c r="Q130" s="480"/>
      <c r="R130" s="480"/>
      <c r="S130" s="480"/>
      <c r="T130" s="480"/>
    </row>
    <row r="131" spans="1:20" x14ac:dyDescent="0.2">
      <c r="A131" s="480" t="s">
        <v>536</v>
      </c>
      <c r="B131" s="480"/>
      <c r="C131" s="480"/>
      <c r="D131" s="480"/>
      <c r="E131" s="480"/>
      <c r="F131" s="480"/>
      <c r="G131" s="480"/>
      <c r="H131" s="480"/>
      <c r="I131" s="480"/>
      <c r="J131" s="480"/>
      <c r="K131" s="480"/>
      <c r="L131" s="480"/>
      <c r="M131" s="480"/>
      <c r="N131" s="480"/>
      <c r="O131" s="480"/>
      <c r="P131" s="480"/>
      <c r="Q131" s="480"/>
      <c r="R131" s="480"/>
      <c r="S131" s="480"/>
      <c r="T131" s="480"/>
    </row>
    <row r="132" spans="1:20" x14ac:dyDescent="0.2">
      <c r="A132" s="480" t="s">
        <v>537</v>
      </c>
      <c r="B132" s="480"/>
      <c r="C132" s="480"/>
      <c r="D132" s="480"/>
      <c r="E132" s="480"/>
      <c r="F132" s="480"/>
      <c r="G132" s="480"/>
      <c r="H132" s="480"/>
      <c r="I132" s="480"/>
      <c r="J132" s="480"/>
      <c r="K132" s="480"/>
      <c r="L132" s="480"/>
      <c r="M132" s="480"/>
      <c r="N132" s="480"/>
      <c r="O132" s="480"/>
      <c r="P132" s="480"/>
      <c r="Q132" s="480"/>
      <c r="R132" s="480"/>
      <c r="S132" s="480"/>
      <c r="T132" s="480"/>
    </row>
    <row r="133" spans="1:20" x14ac:dyDescent="0.2">
      <c r="A133" s="480" t="s">
        <v>538</v>
      </c>
      <c r="B133" s="480"/>
      <c r="C133" s="480"/>
      <c r="D133" s="480"/>
      <c r="E133" s="480"/>
      <c r="F133" s="480"/>
      <c r="G133" s="480"/>
      <c r="H133" s="480"/>
      <c r="I133" s="480"/>
      <c r="J133" s="480"/>
      <c r="K133" s="480"/>
      <c r="L133" s="480"/>
      <c r="M133" s="480"/>
      <c r="N133" s="480"/>
      <c r="O133" s="480"/>
      <c r="P133" s="480"/>
      <c r="Q133" s="480"/>
      <c r="R133" s="480"/>
      <c r="S133" s="480"/>
      <c r="T133" s="480"/>
    </row>
    <row r="134" spans="1:20" x14ac:dyDescent="0.2">
      <c r="A134" s="480" t="s">
        <v>539</v>
      </c>
      <c r="B134" s="480"/>
      <c r="C134" s="480"/>
      <c r="D134" s="480"/>
      <c r="E134" s="480"/>
      <c r="F134" s="480"/>
      <c r="G134" s="480"/>
      <c r="H134" s="480"/>
      <c r="I134" s="480"/>
      <c r="J134" s="480"/>
      <c r="K134" s="480"/>
      <c r="L134" s="480"/>
      <c r="M134" s="480"/>
      <c r="N134" s="480"/>
      <c r="O134" s="480"/>
      <c r="P134" s="480"/>
      <c r="Q134" s="480"/>
      <c r="R134" s="480"/>
      <c r="S134" s="480"/>
      <c r="T134" s="480"/>
    </row>
    <row r="135" spans="1:20" x14ac:dyDescent="0.2">
      <c r="A135" s="480" t="s">
        <v>540</v>
      </c>
      <c r="B135" s="480"/>
      <c r="C135" s="480"/>
      <c r="D135" s="480"/>
      <c r="E135" s="480"/>
      <c r="F135" s="480"/>
      <c r="G135" s="480"/>
      <c r="H135" s="480"/>
      <c r="I135" s="480"/>
      <c r="J135" s="480"/>
      <c r="K135" s="480"/>
      <c r="L135" s="480"/>
      <c r="M135" s="480"/>
      <c r="N135" s="480"/>
      <c r="O135" s="480"/>
      <c r="P135" s="480"/>
      <c r="Q135" s="480"/>
      <c r="R135" s="480"/>
      <c r="S135" s="480"/>
      <c r="T135" s="480"/>
    </row>
    <row r="136" spans="1:20" x14ac:dyDescent="0.2">
      <c r="A136" s="480"/>
      <c r="B136" s="480"/>
      <c r="C136" s="480"/>
      <c r="D136" s="480"/>
      <c r="E136" s="480"/>
      <c r="F136" s="480"/>
      <c r="G136" s="480"/>
      <c r="H136" s="480"/>
      <c r="I136" s="480"/>
      <c r="J136" s="480"/>
      <c r="K136" s="480"/>
      <c r="L136" s="480"/>
      <c r="M136" s="480"/>
      <c r="N136" s="480"/>
      <c r="O136" s="480"/>
      <c r="P136" s="480"/>
      <c r="Q136" s="480"/>
      <c r="R136" s="480"/>
      <c r="S136" s="480"/>
      <c r="T136" s="480"/>
    </row>
    <row r="137" spans="1:20" x14ac:dyDescent="0.2">
      <c r="A137" s="607"/>
      <c r="B137" s="480" t="s">
        <v>541</v>
      </c>
      <c r="C137" s="480"/>
      <c r="D137" s="480"/>
      <c r="E137" s="480"/>
      <c r="F137" s="480"/>
      <c r="G137" s="480"/>
      <c r="H137" s="480"/>
      <c r="I137" s="480"/>
      <c r="J137" s="480"/>
      <c r="K137" s="480"/>
      <c r="L137" s="480"/>
      <c r="M137" s="480"/>
      <c r="N137" s="480"/>
      <c r="O137" s="480"/>
      <c r="P137" s="480"/>
      <c r="Q137" s="480"/>
      <c r="R137" s="480"/>
      <c r="S137" s="480"/>
      <c r="T137" s="480"/>
    </row>
    <row r="138" spans="1:20" ht="15.75" x14ac:dyDescent="0.2">
      <c r="A138" s="480"/>
      <c r="B138" s="481" t="s">
        <v>480</v>
      </c>
      <c r="C138" s="480"/>
      <c r="D138" s="966" t="s">
        <v>542</v>
      </c>
      <c r="E138" s="966"/>
      <c r="F138" s="966"/>
      <c r="G138" s="966"/>
      <c r="H138" s="966"/>
      <c r="I138" s="966"/>
      <c r="J138" s="966"/>
      <c r="K138" s="966"/>
      <c r="L138" s="966"/>
      <c r="M138" s="966"/>
      <c r="N138" s="966"/>
      <c r="O138" s="966"/>
      <c r="P138" s="480"/>
      <c r="Q138" s="480"/>
      <c r="R138" s="480"/>
      <c r="S138" s="480"/>
      <c r="T138" s="480"/>
    </row>
    <row r="139" spans="1:20" ht="15.75" x14ac:dyDescent="0.25">
      <c r="A139" s="480"/>
      <c r="B139" s="482"/>
      <c r="C139" s="480"/>
      <c r="D139" s="483"/>
      <c r="E139" s="483"/>
      <c r="F139" s="483"/>
      <c r="G139" s="483"/>
      <c r="H139" s="483"/>
      <c r="I139" s="483"/>
      <c r="J139" s="483"/>
      <c r="K139" s="483"/>
      <c r="L139" s="483"/>
      <c r="M139" s="483"/>
      <c r="N139" s="483"/>
      <c r="O139" s="483"/>
      <c r="P139" s="480"/>
      <c r="Q139" s="480"/>
      <c r="R139" s="480"/>
      <c r="S139" s="480"/>
      <c r="T139" s="480"/>
    </row>
    <row r="140" spans="1:20" ht="15.75" x14ac:dyDescent="0.25">
      <c r="A140" s="480"/>
      <c r="B140" s="481" t="s">
        <v>482</v>
      </c>
      <c r="C140" s="480"/>
      <c r="D140" s="484" t="s">
        <v>483</v>
      </c>
      <c r="E140" s="483"/>
      <c r="F140" s="483"/>
      <c r="G140" s="483"/>
      <c r="H140" s="483"/>
      <c r="I140" s="483"/>
      <c r="J140" s="483"/>
      <c r="K140" s="483"/>
      <c r="L140" s="483"/>
      <c r="M140" s="483"/>
      <c r="N140" s="483"/>
      <c r="O140" s="483"/>
      <c r="P140" s="480"/>
      <c r="Q140" s="480"/>
      <c r="R140" s="480"/>
      <c r="S140" s="480"/>
      <c r="T140" s="480"/>
    </row>
    <row r="141" spans="1:20" ht="15.75" x14ac:dyDescent="0.25">
      <c r="A141" s="480"/>
      <c r="B141" s="482"/>
      <c r="C141" s="480"/>
      <c r="D141" s="483"/>
      <c r="E141" s="483"/>
      <c r="F141" s="483"/>
      <c r="G141" s="483"/>
      <c r="H141" s="483"/>
      <c r="I141" s="483"/>
      <c r="J141" s="483"/>
      <c r="K141" s="483"/>
      <c r="L141" s="483"/>
      <c r="M141" s="483"/>
      <c r="N141" s="483"/>
      <c r="O141" s="483"/>
      <c r="P141" s="480"/>
      <c r="Q141" s="480"/>
      <c r="R141" s="480"/>
      <c r="S141" s="480"/>
      <c r="T141" s="480"/>
    </row>
    <row r="142" spans="1:20" x14ac:dyDescent="0.2">
      <c r="A142" s="480"/>
      <c r="B142" s="485"/>
      <c r="C142" s="480"/>
      <c r="D142" s="486" t="s">
        <v>484</v>
      </c>
      <c r="E142" s="486"/>
      <c r="F142" s="487">
        <v>1500</v>
      </c>
      <c r="G142" s="486" t="s">
        <v>485</v>
      </c>
      <c r="H142" s="480"/>
      <c r="I142" s="480"/>
      <c r="J142" s="480"/>
      <c r="K142" s="480"/>
      <c r="L142" s="480"/>
      <c r="M142" s="480"/>
      <c r="N142" s="480"/>
      <c r="O142" s="480"/>
      <c r="P142" s="480"/>
      <c r="Q142" s="480"/>
      <c r="R142" s="480"/>
      <c r="S142" s="480"/>
      <c r="T142" s="480"/>
    </row>
    <row r="143" spans="1:20" x14ac:dyDescent="0.2">
      <c r="A143" s="480"/>
      <c r="B143" s="485"/>
      <c r="C143" s="480"/>
      <c r="D143" s="480"/>
      <c r="E143" s="480"/>
      <c r="F143" s="480"/>
      <c r="G143" s="480"/>
      <c r="H143" s="480"/>
      <c r="I143" s="480"/>
      <c r="J143" s="480"/>
      <c r="K143" s="480"/>
      <c r="L143" s="480"/>
      <c r="M143" s="480"/>
      <c r="N143" s="480"/>
      <c r="O143" s="480"/>
      <c r="P143" s="480"/>
      <c r="Q143" s="480"/>
      <c r="R143" s="480"/>
      <c r="S143" s="480"/>
      <c r="T143" s="480"/>
    </row>
    <row r="144" spans="1:20" x14ac:dyDescent="0.2">
      <c r="A144" s="480"/>
      <c r="B144" s="485"/>
      <c r="C144" s="480"/>
      <c r="D144" s="488"/>
      <c r="E144" s="488"/>
      <c r="F144" s="967" t="s">
        <v>486</v>
      </c>
      <c r="G144" s="968"/>
      <c r="H144" s="969"/>
      <c r="I144" s="480"/>
      <c r="J144" s="967" t="s">
        <v>487</v>
      </c>
      <c r="K144" s="968"/>
      <c r="L144" s="969"/>
      <c r="M144" s="480"/>
      <c r="N144" s="967" t="s">
        <v>488</v>
      </c>
      <c r="O144" s="969"/>
      <c r="P144" s="480"/>
      <c r="Q144" s="480"/>
      <c r="R144" s="480"/>
      <c r="S144" s="480"/>
      <c r="T144" s="480"/>
    </row>
    <row r="145" spans="1:20" x14ac:dyDescent="0.2">
      <c r="A145" s="480"/>
      <c r="B145" s="485"/>
      <c r="C145" s="480"/>
      <c r="D145" s="958" t="s">
        <v>489</v>
      </c>
      <c r="E145" s="489"/>
      <c r="F145" s="490" t="s">
        <v>490</v>
      </c>
      <c r="G145" s="490" t="s">
        <v>491</v>
      </c>
      <c r="H145" s="491" t="s">
        <v>492</v>
      </c>
      <c r="I145" s="480"/>
      <c r="J145" s="490" t="s">
        <v>490</v>
      </c>
      <c r="K145" s="492" t="s">
        <v>491</v>
      </c>
      <c r="L145" s="491" t="s">
        <v>492</v>
      </c>
      <c r="M145" s="480"/>
      <c r="N145" s="960" t="s">
        <v>493</v>
      </c>
      <c r="O145" s="962" t="s">
        <v>494</v>
      </c>
      <c r="P145" s="480"/>
      <c r="Q145" s="480"/>
      <c r="R145" s="480"/>
      <c r="S145" s="480"/>
      <c r="T145" s="480"/>
    </row>
    <row r="146" spans="1:20" x14ac:dyDescent="0.2">
      <c r="A146" s="480"/>
      <c r="B146" s="485"/>
      <c r="C146" s="480"/>
      <c r="D146" s="959"/>
      <c r="E146" s="489"/>
      <c r="F146" s="493" t="s">
        <v>495</v>
      </c>
      <c r="G146" s="493"/>
      <c r="H146" s="494" t="s">
        <v>495</v>
      </c>
      <c r="I146" s="480"/>
      <c r="J146" s="493" t="s">
        <v>495</v>
      </c>
      <c r="K146" s="494"/>
      <c r="L146" s="494" t="s">
        <v>495</v>
      </c>
      <c r="M146" s="480"/>
      <c r="N146" s="961"/>
      <c r="O146" s="963"/>
      <c r="P146" s="480"/>
      <c r="Q146" s="480"/>
      <c r="R146" s="480"/>
      <c r="S146" s="480"/>
      <c r="T146" s="480"/>
    </row>
    <row r="147" spans="1:20" x14ac:dyDescent="0.2">
      <c r="A147" s="480"/>
      <c r="B147" s="495" t="s">
        <v>496</v>
      </c>
      <c r="C147" s="495"/>
      <c r="D147" s="496" t="s">
        <v>497</v>
      </c>
      <c r="E147" s="497"/>
      <c r="F147" s="498">
        <v>18.170000000000002</v>
      </c>
      <c r="G147" s="499">
        <v>1</v>
      </c>
      <c r="H147" s="500">
        <f>G147*F147</f>
        <v>18.170000000000002</v>
      </c>
      <c r="I147" s="501"/>
      <c r="J147" s="502">
        <v>18.5</v>
      </c>
      <c r="K147" s="503">
        <v>1</v>
      </c>
      <c r="L147" s="500">
        <f>K147*J147</f>
        <v>18.5</v>
      </c>
      <c r="M147" s="501"/>
      <c r="N147" s="504">
        <f>L147-H147</f>
        <v>0.32999999999999829</v>
      </c>
      <c r="O147" s="505">
        <f>IF((H147)=0,"",(N147/H147))</f>
        <v>1.8161805173362591E-2</v>
      </c>
      <c r="P147" s="480"/>
      <c r="Q147" s="480"/>
      <c r="R147" s="480"/>
      <c r="S147" s="480"/>
      <c r="T147" s="480"/>
    </row>
    <row r="148" spans="1:20" x14ac:dyDescent="0.2">
      <c r="A148" s="480"/>
      <c r="B148" s="495" t="s">
        <v>498</v>
      </c>
      <c r="C148" s="495"/>
      <c r="D148" s="496" t="s">
        <v>497</v>
      </c>
      <c r="E148" s="497"/>
      <c r="F148" s="498">
        <f>5.89</f>
        <v>5.89</v>
      </c>
      <c r="G148" s="499">
        <v>1</v>
      </c>
      <c r="H148" s="500">
        <f t="shared" ref="H148:H162" si="42">G148*F148</f>
        <v>5.89</v>
      </c>
      <c r="I148" s="501"/>
      <c r="J148" s="502"/>
      <c r="K148" s="503">
        <v>1</v>
      </c>
      <c r="L148" s="500">
        <f>K148*J148</f>
        <v>0</v>
      </c>
      <c r="M148" s="501"/>
      <c r="N148" s="504">
        <f>L148-H148</f>
        <v>-5.89</v>
      </c>
      <c r="O148" s="505">
        <f>IF((H148)=0,"",(N148/H148))</f>
        <v>-1</v>
      </c>
      <c r="P148" s="480"/>
      <c r="Q148" s="480"/>
      <c r="R148" s="480"/>
      <c r="S148" s="480"/>
      <c r="T148" s="480"/>
    </row>
    <row r="149" spans="1:20" x14ac:dyDescent="0.2">
      <c r="A149" s="480"/>
      <c r="B149" s="506"/>
      <c r="C149" s="495"/>
      <c r="D149" s="496"/>
      <c r="E149" s="497"/>
      <c r="F149" s="498"/>
      <c r="G149" s="499">
        <v>1</v>
      </c>
      <c r="H149" s="500">
        <f t="shared" si="42"/>
        <v>0</v>
      </c>
      <c r="I149" s="501"/>
      <c r="J149" s="502"/>
      <c r="K149" s="503">
        <v>1</v>
      </c>
      <c r="L149" s="500">
        <f t="shared" ref="L149:L162" si="43">K149*J149</f>
        <v>0</v>
      </c>
      <c r="M149" s="501"/>
      <c r="N149" s="504">
        <f t="shared" ref="N149:N163" si="44">L149-H149</f>
        <v>0</v>
      </c>
      <c r="O149" s="505" t="str">
        <f t="shared" ref="O149:O163" si="45">IF((H149)=0,"",(N149/H149))</f>
        <v/>
      </c>
      <c r="P149" s="480"/>
      <c r="Q149" s="480"/>
      <c r="R149" s="480"/>
      <c r="S149" s="480"/>
      <c r="T149" s="480"/>
    </row>
    <row r="150" spans="1:20" x14ac:dyDescent="0.2">
      <c r="A150" s="480"/>
      <c r="B150" s="506"/>
      <c r="C150" s="495"/>
      <c r="D150" s="496"/>
      <c r="E150" s="497"/>
      <c r="F150" s="498"/>
      <c r="G150" s="499">
        <v>1</v>
      </c>
      <c r="H150" s="500">
        <f t="shared" si="42"/>
        <v>0</v>
      </c>
      <c r="I150" s="501"/>
      <c r="J150" s="502"/>
      <c r="K150" s="503">
        <v>1</v>
      </c>
      <c r="L150" s="500">
        <f t="shared" si="43"/>
        <v>0</v>
      </c>
      <c r="M150" s="501"/>
      <c r="N150" s="504">
        <f t="shared" si="44"/>
        <v>0</v>
      </c>
      <c r="O150" s="505" t="str">
        <f t="shared" si="45"/>
        <v/>
      </c>
      <c r="P150" s="480"/>
      <c r="Q150" s="480"/>
      <c r="R150" s="480"/>
      <c r="S150" s="480"/>
      <c r="T150" s="480"/>
    </row>
    <row r="151" spans="1:20" x14ac:dyDescent="0.2">
      <c r="A151" s="480"/>
      <c r="B151" s="506"/>
      <c r="C151" s="495"/>
      <c r="D151" s="496"/>
      <c r="E151" s="497"/>
      <c r="F151" s="498"/>
      <c r="G151" s="499">
        <v>1</v>
      </c>
      <c r="H151" s="500">
        <f t="shared" si="42"/>
        <v>0</v>
      </c>
      <c r="I151" s="501"/>
      <c r="J151" s="502"/>
      <c r="K151" s="503">
        <v>1</v>
      </c>
      <c r="L151" s="500">
        <f t="shared" si="43"/>
        <v>0</v>
      </c>
      <c r="M151" s="501"/>
      <c r="N151" s="504">
        <f t="shared" si="44"/>
        <v>0</v>
      </c>
      <c r="O151" s="505" t="str">
        <f t="shared" si="45"/>
        <v/>
      </c>
      <c r="P151" s="480"/>
      <c r="Q151" s="480"/>
      <c r="R151" s="480"/>
      <c r="S151" s="480"/>
      <c r="T151" s="480"/>
    </row>
    <row r="152" spans="1:20" x14ac:dyDescent="0.2">
      <c r="A152" s="480"/>
      <c r="B152" s="506"/>
      <c r="C152" s="495"/>
      <c r="D152" s="496"/>
      <c r="E152" s="497"/>
      <c r="F152" s="498"/>
      <c r="G152" s="499">
        <v>1</v>
      </c>
      <c r="H152" s="500">
        <f t="shared" si="42"/>
        <v>0</v>
      </c>
      <c r="I152" s="501"/>
      <c r="J152" s="502"/>
      <c r="K152" s="503">
        <v>1</v>
      </c>
      <c r="L152" s="500">
        <f t="shared" si="43"/>
        <v>0</v>
      </c>
      <c r="M152" s="501"/>
      <c r="N152" s="504">
        <f t="shared" si="44"/>
        <v>0</v>
      </c>
      <c r="O152" s="505" t="str">
        <f t="shared" si="45"/>
        <v/>
      </c>
      <c r="P152" s="480"/>
      <c r="Q152" s="480"/>
      <c r="R152" s="480"/>
      <c r="S152" s="480"/>
      <c r="T152" s="480"/>
    </row>
    <row r="153" spans="1:20" x14ac:dyDescent="0.2">
      <c r="A153" s="480"/>
      <c r="B153" s="495" t="s">
        <v>499</v>
      </c>
      <c r="C153" s="495"/>
      <c r="D153" s="496" t="s">
        <v>500</v>
      </c>
      <c r="E153" s="497"/>
      <c r="F153" s="498">
        <v>2.6499999999999999E-2</v>
      </c>
      <c r="G153" s="499">
        <f>$F$73</f>
        <v>800</v>
      </c>
      <c r="H153" s="500">
        <f t="shared" si="42"/>
        <v>21.2</v>
      </c>
      <c r="I153" s="501"/>
      <c r="J153" s="502">
        <v>2.7E-2</v>
      </c>
      <c r="K153" s="499">
        <f>$F$73</f>
        <v>800</v>
      </c>
      <c r="L153" s="500">
        <f t="shared" si="43"/>
        <v>21.6</v>
      </c>
      <c r="M153" s="501"/>
      <c r="N153" s="504">
        <f t="shared" si="44"/>
        <v>0.40000000000000213</v>
      </c>
      <c r="O153" s="505">
        <f t="shared" si="45"/>
        <v>1.8867924528301987E-2</v>
      </c>
      <c r="P153" s="480"/>
      <c r="Q153" s="480"/>
      <c r="R153" s="480"/>
      <c r="S153" s="480"/>
      <c r="T153" s="480"/>
    </row>
    <row r="154" spans="1:20" x14ac:dyDescent="0.2">
      <c r="A154" s="480"/>
      <c r="B154" s="495" t="s">
        <v>501</v>
      </c>
      <c r="C154" s="495"/>
      <c r="D154" s="496"/>
      <c r="E154" s="497"/>
      <c r="F154" s="498"/>
      <c r="G154" s="499">
        <f t="shared" ref="G154" si="46">$F$73</f>
        <v>800</v>
      </c>
      <c r="H154" s="500">
        <f t="shared" si="42"/>
        <v>0</v>
      </c>
      <c r="I154" s="501"/>
      <c r="J154" s="502"/>
      <c r="K154" s="499">
        <f t="shared" ref="K154:K162" si="47">$F$73</f>
        <v>800</v>
      </c>
      <c r="L154" s="500">
        <f t="shared" si="43"/>
        <v>0</v>
      </c>
      <c r="M154" s="501"/>
      <c r="N154" s="504">
        <f t="shared" si="44"/>
        <v>0</v>
      </c>
      <c r="O154" s="505" t="str">
        <f t="shared" si="45"/>
        <v/>
      </c>
      <c r="P154" s="480"/>
      <c r="Q154" s="480"/>
      <c r="R154" s="480"/>
      <c r="S154" s="480"/>
      <c r="T154" s="480"/>
    </row>
    <row r="155" spans="1:20" x14ac:dyDescent="0.2">
      <c r="A155" s="480"/>
      <c r="B155" s="495" t="s">
        <v>502</v>
      </c>
      <c r="C155" s="495"/>
      <c r="D155" s="496"/>
      <c r="E155" s="497"/>
      <c r="F155" s="498"/>
      <c r="G155" s="499">
        <f>$F$73</f>
        <v>800</v>
      </c>
      <c r="H155" s="500">
        <f t="shared" si="42"/>
        <v>0</v>
      </c>
      <c r="I155" s="501"/>
      <c r="J155" s="502"/>
      <c r="K155" s="499">
        <f t="shared" si="47"/>
        <v>800</v>
      </c>
      <c r="L155" s="500">
        <f t="shared" si="43"/>
        <v>0</v>
      </c>
      <c r="M155" s="501"/>
      <c r="N155" s="504">
        <f t="shared" si="44"/>
        <v>0</v>
      </c>
      <c r="O155" s="505" t="str">
        <f t="shared" si="45"/>
        <v/>
      </c>
      <c r="P155" s="480"/>
      <c r="Q155" s="480"/>
      <c r="R155" s="480"/>
      <c r="S155" s="480"/>
      <c r="T155" s="480"/>
    </row>
    <row r="156" spans="1:20" x14ac:dyDescent="0.2">
      <c r="A156" s="480"/>
      <c r="B156" s="507" t="s">
        <v>503</v>
      </c>
      <c r="C156" s="495"/>
      <c r="D156" s="496" t="s">
        <v>500</v>
      </c>
      <c r="E156" s="497"/>
      <c r="F156" s="498">
        <v>-2.9999999999999997E-4</v>
      </c>
      <c r="G156" s="499">
        <f t="shared" ref="G156:G162" si="48">$F$73</f>
        <v>800</v>
      </c>
      <c r="H156" s="500">
        <f t="shared" si="42"/>
        <v>-0.24</v>
      </c>
      <c r="I156" s="501"/>
      <c r="J156" s="502"/>
      <c r="K156" s="499">
        <f t="shared" si="47"/>
        <v>800</v>
      </c>
      <c r="L156" s="500">
        <f t="shared" si="43"/>
        <v>0</v>
      </c>
      <c r="M156" s="501"/>
      <c r="N156" s="504">
        <f t="shared" si="44"/>
        <v>0.24</v>
      </c>
      <c r="O156" s="505">
        <f t="shared" si="45"/>
        <v>-1</v>
      </c>
      <c r="P156" s="480"/>
      <c r="Q156" s="480"/>
      <c r="R156" s="480"/>
      <c r="S156" s="480"/>
      <c r="T156" s="480"/>
    </row>
    <row r="157" spans="1:20" x14ac:dyDescent="0.2">
      <c r="A157" s="480"/>
      <c r="B157" s="507" t="s">
        <v>504</v>
      </c>
      <c r="C157" s="495"/>
      <c r="D157" s="496" t="s">
        <v>500</v>
      </c>
      <c r="E157" s="497"/>
      <c r="F157" s="498">
        <v>-1.8E-3</v>
      </c>
      <c r="G157" s="499">
        <f t="shared" si="48"/>
        <v>800</v>
      </c>
      <c r="H157" s="500">
        <f t="shared" si="42"/>
        <v>-1.44</v>
      </c>
      <c r="I157" s="501"/>
      <c r="J157" s="502"/>
      <c r="K157" s="499">
        <f t="shared" si="47"/>
        <v>800</v>
      </c>
      <c r="L157" s="500">
        <f t="shared" si="43"/>
        <v>0</v>
      </c>
      <c r="M157" s="501"/>
      <c r="N157" s="504">
        <f t="shared" si="44"/>
        <v>1.44</v>
      </c>
      <c r="O157" s="505">
        <f t="shared" si="45"/>
        <v>-1</v>
      </c>
      <c r="P157" s="480"/>
      <c r="Q157" s="480"/>
      <c r="R157" s="480"/>
      <c r="S157" s="480"/>
      <c r="T157" s="480"/>
    </row>
    <row r="158" spans="1:20" x14ac:dyDescent="0.2">
      <c r="A158" s="480"/>
      <c r="B158" s="507" t="s">
        <v>505</v>
      </c>
      <c r="C158" s="495"/>
      <c r="D158" s="496" t="s">
        <v>500</v>
      </c>
      <c r="E158" s="497"/>
      <c r="F158" s="498"/>
      <c r="G158" s="499">
        <f t="shared" si="48"/>
        <v>800</v>
      </c>
      <c r="H158" s="500">
        <f t="shared" si="42"/>
        <v>0</v>
      </c>
      <c r="I158" s="501"/>
      <c r="J158" s="502">
        <v>2.0999999999999999E-3</v>
      </c>
      <c r="K158" s="499">
        <f t="shared" si="47"/>
        <v>800</v>
      </c>
      <c r="L158" s="500">
        <f t="shared" si="43"/>
        <v>1.68</v>
      </c>
      <c r="M158" s="501"/>
      <c r="N158" s="504">
        <f t="shared" si="44"/>
        <v>1.68</v>
      </c>
      <c r="O158" s="505" t="str">
        <f t="shared" si="45"/>
        <v/>
      </c>
      <c r="P158" s="480"/>
      <c r="Q158" s="480"/>
      <c r="R158" s="480"/>
      <c r="S158" s="480"/>
      <c r="T158" s="480"/>
    </row>
    <row r="159" spans="1:20" x14ac:dyDescent="0.2">
      <c r="A159" s="480"/>
      <c r="B159" s="507" t="s">
        <v>506</v>
      </c>
      <c r="C159" s="495"/>
      <c r="D159" s="496" t="s">
        <v>500</v>
      </c>
      <c r="E159" s="497"/>
      <c r="F159" s="498"/>
      <c r="G159" s="499">
        <f t="shared" si="48"/>
        <v>800</v>
      </c>
      <c r="H159" s="500">
        <f t="shared" si="42"/>
        <v>0</v>
      </c>
      <c r="I159" s="501"/>
      <c r="J159" s="502">
        <v>-1.6000000000000001E-3</v>
      </c>
      <c r="K159" s="499">
        <f t="shared" si="47"/>
        <v>800</v>
      </c>
      <c r="L159" s="500">
        <f t="shared" si="43"/>
        <v>-1.28</v>
      </c>
      <c r="M159" s="501"/>
      <c r="N159" s="504">
        <f t="shared" si="44"/>
        <v>-1.28</v>
      </c>
      <c r="O159" s="505" t="str">
        <f t="shared" si="45"/>
        <v/>
      </c>
      <c r="P159" s="480"/>
      <c r="Q159" s="480"/>
      <c r="R159" s="480"/>
      <c r="S159" s="480"/>
      <c r="T159" s="480"/>
    </row>
    <row r="160" spans="1:20" x14ac:dyDescent="0.2">
      <c r="A160" s="480"/>
      <c r="B160" s="507" t="s">
        <v>507</v>
      </c>
      <c r="C160" s="495"/>
      <c r="D160" s="496" t="s">
        <v>500</v>
      </c>
      <c r="E160" s="497"/>
      <c r="F160" s="498"/>
      <c r="G160" s="499">
        <f t="shared" si="48"/>
        <v>800</v>
      </c>
      <c r="H160" s="500">
        <f t="shared" si="42"/>
        <v>0</v>
      </c>
      <c r="I160" s="501"/>
      <c r="J160" s="502">
        <v>2.0000000000000001E-4</v>
      </c>
      <c r="K160" s="499">
        <f t="shared" si="47"/>
        <v>800</v>
      </c>
      <c r="L160" s="500">
        <f t="shared" si="43"/>
        <v>0.16</v>
      </c>
      <c r="M160" s="501"/>
      <c r="N160" s="504">
        <f t="shared" si="44"/>
        <v>0.16</v>
      </c>
      <c r="O160" s="505" t="str">
        <f t="shared" si="45"/>
        <v/>
      </c>
      <c r="P160" s="480"/>
      <c r="Q160" s="480"/>
      <c r="R160" s="480"/>
      <c r="S160" s="480"/>
      <c r="T160" s="480"/>
    </row>
    <row r="161" spans="1:20" x14ac:dyDescent="0.2">
      <c r="A161" s="480"/>
      <c r="B161" s="508"/>
      <c r="C161" s="495"/>
      <c r="D161" s="496"/>
      <c r="E161" s="497"/>
      <c r="F161" s="498"/>
      <c r="G161" s="499">
        <f t="shared" si="48"/>
        <v>800</v>
      </c>
      <c r="H161" s="500">
        <f t="shared" si="42"/>
        <v>0</v>
      </c>
      <c r="I161" s="501"/>
      <c r="J161" s="502"/>
      <c r="K161" s="499">
        <f t="shared" si="47"/>
        <v>800</v>
      </c>
      <c r="L161" s="500">
        <f t="shared" si="43"/>
        <v>0</v>
      </c>
      <c r="M161" s="501"/>
      <c r="N161" s="504">
        <f t="shared" si="44"/>
        <v>0</v>
      </c>
      <c r="O161" s="505" t="str">
        <f t="shared" si="45"/>
        <v/>
      </c>
      <c r="P161" s="480"/>
      <c r="Q161" s="480"/>
      <c r="R161" s="480"/>
      <c r="S161" s="480"/>
      <c r="T161" s="480"/>
    </row>
    <row r="162" spans="1:20" x14ac:dyDescent="0.2">
      <c r="A162" s="480"/>
      <c r="B162" s="508"/>
      <c r="C162" s="495"/>
      <c r="D162" s="496"/>
      <c r="E162" s="497"/>
      <c r="F162" s="498"/>
      <c r="G162" s="499">
        <f t="shared" si="48"/>
        <v>800</v>
      </c>
      <c r="H162" s="500">
        <f t="shared" si="42"/>
        <v>0</v>
      </c>
      <c r="I162" s="501"/>
      <c r="J162" s="502"/>
      <c r="K162" s="499">
        <f t="shared" si="47"/>
        <v>800</v>
      </c>
      <c r="L162" s="500">
        <f t="shared" si="43"/>
        <v>0</v>
      </c>
      <c r="M162" s="501"/>
      <c r="N162" s="504">
        <f t="shared" si="44"/>
        <v>0</v>
      </c>
      <c r="O162" s="505" t="str">
        <f t="shared" si="45"/>
        <v/>
      </c>
      <c r="P162" s="480"/>
      <c r="Q162" s="480"/>
      <c r="R162" s="480"/>
      <c r="S162" s="480"/>
      <c r="T162" s="480"/>
    </row>
    <row r="163" spans="1:20" x14ac:dyDescent="0.2">
      <c r="A163" s="509"/>
      <c r="B163" s="510" t="s">
        <v>508</v>
      </c>
      <c r="C163" s="511"/>
      <c r="D163" s="512"/>
      <c r="E163" s="511"/>
      <c r="F163" s="513"/>
      <c r="G163" s="514"/>
      <c r="H163" s="515">
        <f>SUM(H147:H162)</f>
        <v>43.580000000000005</v>
      </c>
      <c r="I163" s="516"/>
      <c r="J163" s="517"/>
      <c r="K163" s="518"/>
      <c r="L163" s="515">
        <f>SUM(L147:L162)</f>
        <v>40.659999999999997</v>
      </c>
      <c r="M163" s="516"/>
      <c r="N163" s="519">
        <f t="shared" si="44"/>
        <v>-2.9200000000000088</v>
      </c>
      <c r="O163" s="520">
        <f t="shared" si="45"/>
        <v>-6.7003212482790467E-2</v>
      </c>
      <c r="P163" s="509"/>
      <c r="Q163" s="509"/>
      <c r="R163" s="509"/>
      <c r="S163" s="509"/>
      <c r="T163" s="509"/>
    </row>
    <row r="164" spans="1:20" ht="25.5" x14ac:dyDescent="0.2">
      <c r="A164" s="480"/>
      <c r="B164" s="521" t="s">
        <v>509</v>
      </c>
      <c r="C164" s="495"/>
      <c r="D164" s="496" t="s">
        <v>500</v>
      </c>
      <c r="E164" s="497"/>
      <c r="F164" s="502">
        <v>-2.3E-3</v>
      </c>
      <c r="G164" s="499">
        <f>$F$73</f>
        <v>800</v>
      </c>
      <c r="H164" s="500">
        <f>G164*F164</f>
        <v>-1.8399999999999999</v>
      </c>
      <c r="I164" s="501"/>
      <c r="J164" s="502">
        <v>-1.4E-3</v>
      </c>
      <c r="K164" s="499">
        <f>$F$73</f>
        <v>800</v>
      </c>
      <c r="L164" s="500">
        <f>K164*J164</f>
        <v>-1.1199999999999999</v>
      </c>
      <c r="M164" s="501"/>
      <c r="N164" s="504">
        <f>L164-H164</f>
        <v>0.72</v>
      </c>
      <c r="O164" s="505">
        <f>IF((H164)=0,"",(N164/H164))*-1</f>
        <v>0.39130434782608697</v>
      </c>
      <c r="P164" s="480"/>
      <c r="Q164" s="480"/>
      <c r="R164" s="480"/>
      <c r="S164" s="480"/>
      <c r="T164" s="480"/>
    </row>
    <row r="165" spans="1:20" x14ac:dyDescent="0.2">
      <c r="A165" s="480"/>
      <c r="B165" s="521"/>
      <c r="C165" s="495"/>
      <c r="D165" s="496"/>
      <c r="E165" s="497"/>
      <c r="F165" s="498"/>
      <c r="G165" s="499">
        <f t="shared" ref="G165:G168" si="49">$F$73</f>
        <v>800</v>
      </c>
      <c r="H165" s="500">
        <f t="shared" ref="H165:H167" si="50">G165*F165</f>
        <v>0</v>
      </c>
      <c r="I165" s="522"/>
      <c r="J165" s="502"/>
      <c r="K165" s="499">
        <f t="shared" ref="K165:K168" si="51">$F$73</f>
        <v>800</v>
      </c>
      <c r="L165" s="500">
        <f t="shared" ref="L165:L167" si="52">K165*J165</f>
        <v>0</v>
      </c>
      <c r="M165" s="523"/>
      <c r="N165" s="504">
        <f t="shared" ref="N165:N167" si="53">L165-H165</f>
        <v>0</v>
      </c>
      <c r="O165" s="505" t="str">
        <f t="shared" ref="O165:O167" si="54">IF((H165)=0,"",(N165/H165))</f>
        <v/>
      </c>
      <c r="P165" s="480"/>
      <c r="Q165" s="480"/>
      <c r="R165" s="480"/>
      <c r="S165" s="480"/>
      <c r="T165" s="480"/>
    </row>
    <row r="166" spans="1:20" x14ac:dyDescent="0.2">
      <c r="A166" s="480"/>
      <c r="B166" s="521"/>
      <c r="C166" s="495"/>
      <c r="D166" s="496"/>
      <c r="E166" s="497"/>
      <c r="F166" s="498"/>
      <c r="G166" s="499">
        <f t="shared" si="49"/>
        <v>800</v>
      </c>
      <c r="H166" s="500">
        <f t="shared" si="50"/>
        <v>0</v>
      </c>
      <c r="I166" s="522"/>
      <c r="J166" s="502"/>
      <c r="K166" s="499">
        <f t="shared" si="51"/>
        <v>800</v>
      </c>
      <c r="L166" s="500">
        <f t="shared" si="52"/>
        <v>0</v>
      </c>
      <c r="M166" s="523"/>
      <c r="N166" s="504">
        <f t="shared" si="53"/>
        <v>0</v>
      </c>
      <c r="O166" s="505" t="str">
        <f t="shared" si="54"/>
        <v/>
      </c>
      <c r="P166" s="480"/>
      <c r="Q166" s="480"/>
      <c r="R166" s="480"/>
      <c r="S166" s="480"/>
      <c r="T166" s="480"/>
    </row>
    <row r="167" spans="1:20" x14ac:dyDescent="0.2">
      <c r="A167" s="480"/>
      <c r="B167" s="521"/>
      <c r="C167" s="495"/>
      <c r="D167" s="496"/>
      <c r="E167" s="497"/>
      <c r="F167" s="498"/>
      <c r="G167" s="499">
        <f t="shared" si="49"/>
        <v>800</v>
      </c>
      <c r="H167" s="500">
        <f t="shared" si="50"/>
        <v>0</v>
      </c>
      <c r="I167" s="522"/>
      <c r="J167" s="502"/>
      <c r="K167" s="499">
        <f t="shared" si="51"/>
        <v>800</v>
      </c>
      <c r="L167" s="500">
        <f t="shared" si="52"/>
        <v>0</v>
      </c>
      <c r="M167" s="523"/>
      <c r="N167" s="504">
        <f t="shared" si="53"/>
        <v>0</v>
      </c>
      <c r="O167" s="505" t="str">
        <f t="shared" si="54"/>
        <v/>
      </c>
      <c r="P167" s="480"/>
      <c r="Q167" s="480"/>
      <c r="R167" s="480"/>
      <c r="S167" s="480"/>
      <c r="T167" s="480"/>
    </row>
    <row r="168" spans="1:20" x14ac:dyDescent="0.2">
      <c r="A168" s="480"/>
      <c r="B168" s="524" t="s">
        <v>510</v>
      </c>
      <c r="C168" s="495"/>
      <c r="D168" s="496" t="s">
        <v>500</v>
      </c>
      <c r="E168" s="497"/>
      <c r="F168" s="498">
        <v>4.0000000000000002E-4</v>
      </c>
      <c r="G168" s="499">
        <f t="shared" si="49"/>
        <v>800</v>
      </c>
      <c r="H168" s="500">
        <f>G168*F168</f>
        <v>0.32</v>
      </c>
      <c r="I168" s="501"/>
      <c r="J168" s="502">
        <v>4.0000000000000002E-4</v>
      </c>
      <c r="K168" s="499">
        <f t="shared" si="51"/>
        <v>800</v>
      </c>
      <c r="L168" s="500">
        <f>K168*J168</f>
        <v>0.32</v>
      </c>
      <c r="M168" s="501"/>
      <c r="N168" s="504">
        <f>L168-H168</f>
        <v>0</v>
      </c>
      <c r="O168" s="505">
        <f>IF((H168)=0,"",(N168/H168))</f>
        <v>0</v>
      </c>
      <c r="P168" s="480"/>
      <c r="Q168" s="480"/>
      <c r="R168" s="480"/>
      <c r="S168" s="480"/>
      <c r="T168" s="480"/>
    </row>
    <row r="169" spans="1:20" x14ac:dyDescent="0.2">
      <c r="A169" s="480"/>
      <c r="B169" s="524" t="s">
        <v>511</v>
      </c>
      <c r="C169" s="495"/>
      <c r="D169" s="496" t="s">
        <v>500</v>
      </c>
      <c r="E169" s="497"/>
      <c r="F169" s="525">
        <f>IF(ISBLANK(D140)=TRUE, 0, IF(D140="TOU", 0.64*$F$110+0.18*$F$111+0.18*$F$112, IF(AND(D140="non-TOU",#REF!&gt; 0),#REF!,#REF!)))</f>
        <v>8.3919999999999995E-2</v>
      </c>
      <c r="G169" s="526">
        <f>$F$73*(1+$F$121)-$F$73</f>
        <v>54.400000000000091</v>
      </c>
      <c r="H169" s="500">
        <f t="shared" ref="H169" si="55">G169*F169</f>
        <v>4.5652480000000075</v>
      </c>
      <c r="I169" s="501"/>
      <c r="J169" s="527">
        <f>0.64*$F$110+0.18*$F$111+0.18*$F$112</f>
        <v>8.3919999999999995E-2</v>
      </c>
      <c r="K169" s="526">
        <f>$F$73*(1+$J$121)-$F$73</f>
        <v>52.400000000000091</v>
      </c>
      <c r="L169" s="500">
        <f t="shared" ref="L169" si="56">K169*J169</f>
        <v>4.3974080000000075</v>
      </c>
      <c r="M169" s="501"/>
      <c r="N169" s="504">
        <f t="shared" ref="N169" si="57">L169-H169</f>
        <v>-0.16783999999999999</v>
      </c>
      <c r="O169" s="505">
        <f t="shared" ref="O169" si="58">IF((H169)=0,"",(N169/H169))</f>
        <v>-3.676470588235288E-2</v>
      </c>
      <c r="P169" s="480"/>
      <c r="Q169" s="480"/>
      <c r="R169" s="480"/>
      <c r="S169" s="480"/>
      <c r="T169" s="480"/>
    </row>
    <row r="170" spans="1:20" x14ac:dyDescent="0.2">
      <c r="A170" s="480"/>
      <c r="B170" s="524" t="s">
        <v>512</v>
      </c>
      <c r="C170" s="495"/>
      <c r="D170" s="496" t="s">
        <v>497</v>
      </c>
      <c r="E170" s="497"/>
      <c r="F170" s="525">
        <v>0.79</v>
      </c>
      <c r="G170" s="499">
        <v>1</v>
      </c>
      <c r="H170" s="500">
        <f>G170*F170</f>
        <v>0.79</v>
      </c>
      <c r="I170" s="501"/>
      <c r="J170" s="525">
        <v>0.79</v>
      </c>
      <c r="K170" s="499">
        <v>1</v>
      </c>
      <c r="L170" s="500">
        <f>K170*J170</f>
        <v>0.79</v>
      </c>
      <c r="M170" s="501"/>
      <c r="N170" s="504">
        <f>L170-H170</f>
        <v>0</v>
      </c>
      <c r="O170" s="505"/>
      <c r="P170" s="480"/>
      <c r="Q170" s="480"/>
      <c r="R170" s="480"/>
      <c r="S170" s="480"/>
      <c r="T170" s="480"/>
    </row>
    <row r="171" spans="1:20" ht="25.5" x14ac:dyDescent="0.2">
      <c r="A171" s="480"/>
      <c r="B171" s="528" t="s">
        <v>513</v>
      </c>
      <c r="C171" s="529"/>
      <c r="D171" s="529"/>
      <c r="E171" s="529"/>
      <c r="F171" s="530"/>
      <c r="G171" s="531"/>
      <c r="H171" s="532">
        <f>SUM(H164:H170)+H163</f>
        <v>47.415248000000012</v>
      </c>
      <c r="I171" s="516"/>
      <c r="J171" s="531"/>
      <c r="K171" s="533"/>
      <c r="L171" s="532">
        <f>SUM(L164:L170)+L163</f>
        <v>45.047408000000004</v>
      </c>
      <c r="M171" s="516"/>
      <c r="N171" s="519">
        <f t="shared" ref="N171:N181" si="59">L171-H171</f>
        <v>-2.3678400000000082</v>
      </c>
      <c r="O171" s="520">
        <f t="shared" ref="O171:O181" si="60">IF((H171)=0,"",(N171/H171))</f>
        <v>-4.9938365818523345E-2</v>
      </c>
      <c r="P171" s="480"/>
      <c r="Q171" s="480"/>
      <c r="R171" s="480"/>
      <c r="S171" s="480"/>
      <c r="T171" s="480"/>
    </row>
    <row r="172" spans="1:20" x14ac:dyDescent="0.2">
      <c r="A172" s="480"/>
      <c r="B172" s="501" t="s">
        <v>514</v>
      </c>
      <c r="C172" s="501"/>
      <c r="D172" s="534" t="s">
        <v>500</v>
      </c>
      <c r="E172" s="535"/>
      <c r="F172" s="502">
        <v>6.4999999999999997E-3</v>
      </c>
      <c r="G172" s="536">
        <f>F142*(1+F190)</f>
        <v>1602</v>
      </c>
      <c r="H172" s="500">
        <f>G172*F172</f>
        <v>10.413</v>
      </c>
      <c r="I172" s="501"/>
      <c r="J172" s="502">
        <v>6.7999999999999996E-3</v>
      </c>
      <c r="K172" s="537">
        <f>F142*(1+J190)</f>
        <v>1598.2500000000002</v>
      </c>
      <c r="L172" s="500">
        <f>K172*J172</f>
        <v>10.8681</v>
      </c>
      <c r="M172" s="501"/>
      <c r="N172" s="504">
        <f t="shared" si="59"/>
        <v>0.45509999999999984</v>
      </c>
      <c r="O172" s="505">
        <f t="shared" si="60"/>
        <v>4.3704984154422338E-2</v>
      </c>
      <c r="P172" s="480"/>
      <c r="Q172" s="480"/>
      <c r="R172" s="480"/>
      <c r="S172" s="480"/>
      <c r="T172" s="480"/>
    </row>
    <row r="173" spans="1:20" ht="30" x14ac:dyDescent="0.2">
      <c r="A173" s="480"/>
      <c r="B173" s="538" t="s">
        <v>515</v>
      </c>
      <c r="C173" s="501"/>
      <c r="D173" s="534" t="s">
        <v>500</v>
      </c>
      <c r="E173" s="535"/>
      <c r="F173" s="502">
        <v>4.7999999999999996E-3</v>
      </c>
      <c r="G173" s="536">
        <f>G172</f>
        <v>1602</v>
      </c>
      <c r="H173" s="500">
        <f>G173*F173</f>
        <v>7.6895999999999995</v>
      </c>
      <c r="I173" s="501"/>
      <c r="J173" s="502">
        <v>5.1999999999999998E-3</v>
      </c>
      <c r="K173" s="537">
        <f>K172</f>
        <v>1598.2500000000002</v>
      </c>
      <c r="L173" s="500">
        <f>K173*J173</f>
        <v>8.3109000000000002</v>
      </c>
      <c r="M173" s="501"/>
      <c r="N173" s="504">
        <f t="shared" si="59"/>
        <v>0.62130000000000063</v>
      </c>
      <c r="O173" s="505">
        <f t="shared" si="60"/>
        <v>8.0797440699126186E-2</v>
      </c>
      <c r="P173" s="480"/>
      <c r="Q173" s="480"/>
      <c r="R173" s="480"/>
      <c r="S173" s="480"/>
      <c r="T173" s="480"/>
    </row>
    <row r="174" spans="1:20" ht="25.5" x14ac:dyDescent="0.2">
      <c r="A174" s="480"/>
      <c r="B174" s="528" t="s">
        <v>516</v>
      </c>
      <c r="C174" s="511"/>
      <c r="D174" s="511"/>
      <c r="E174" s="511"/>
      <c r="F174" s="539"/>
      <c r="G174" s="531"/>
      <c r="H174" s="532">
        <f>SUM(H171:H173)</f>
        <v>65.517848000000015</v>
      </c>
      <c r="I174" s="540"/>
      <c r="J174" s="541"/>
      <c r="K174" s="542"/>
      <c r="L174" s="532">
        <f>SUM(L171:L173)</f>
        <v>64.226408000000006</v>
      </c>
      <c r="M174" s="540"/>
      <c r="N174" s="519">
        <f t="shared" si="59"/>
        <v>-1.2914400000000086</v>
      </c>
      <c r="O174" s="520">
        <f t="shared" si="60"/>
        <v>-1.9711270125966414E-2</v>
      </c>
      <c r="P174" s="480"/>
      <c r="Q174" s="480"/>
      <c r="R174" s="480"/>
      <c r="S174" s="480"/>
      <c r="T174" s="480"/>
    </row>
    <row r="175" spans="1:20" ht="30" x14ac:dyDescent="0.2">
      <c r="A175" s="480"/>
      <c r="B175" s="543" t="s">
        <v>517</v>
      </c>
      <c r="C175" s="495"/>
      <c r="D175" s="496" t="s">
        <v>500</v>
      </c>
      <c r="E175" s="497"/>
      <c r="F175" s="544">
        <v>4.4000000000000003E-3</v>
      </c>
      <c r="G175" s="536">
        <f>G173</f>
        <v>1602</v>
      </c>
      <c r="H175" s="545">
        <f t="shared" ref="H175:H181" si="61">G175*F175</f>
        <v>7.0488000000000008</v>
      </c>
      <c r="I175" s="501"/>
      <c r="J175" s="546">
        <v>4.4000000000000003E-3</v>
      </c>
      <c r="K175" s="537">
        <f>K173</f>
        <v>1598.2500000000002</v>
      </c>
      <c r="L175" s="545">
        <f t="shared" ref="L175:L181" si="62">K175*J175</f>
        <v>7.0323000000000011</v>
      </c>
      <c r="M175" s="501"/>
      <c r="N175" s="504">
        <f t="shared" si="59"/>
        <v>-1.6499999999999737E-2</v>
      </c>
      <c r="O175" s="547">
        <f t="shared" si="60"/>
        <v>-2.3408239700374155E-3</v>
      </c>
      <c r="P175" s="480"/>
      <c r="Q175" s="480"/>
      <c r="R175" s="480"/>
      <c r="S175" s="480"/>
      <c r="T175" s="480"/>
    </row>
    <row r="176" spans="1:20" ht="30" x14ac:dyDescent="0.2">
      <c r="A176" s="480"/>
      <c r="B176" s="543" t="s">
        <v>518</v>
      </c>
      <c r="C176" s="495"/>
      <c r="D176" s="496" t="s">
        <v>500</v>
      </c>
      <c r="E176" s="497"/>
      <c r="F176" s="544">
        <v>1.1999999999999999E-3</v>
      </c>
      <c r="G176" s="536">
        <f>G173</f>
        <v>1602</v>
      </c>
      <c r="H176" s="545">
        <f t="shared" si="61"/>
        <v>1.9223999999999999</v>
      </c>
      <c r="I176" s="501"/>
      <c r="J176" s="546">
        <v>1.2999999999999999E-3</v>
      </c>
      <c r="K176" s="537">
        <f>K173</f>
        <v>1598.2500000000002</v>
      </c>
      <c r="L176" s="545">
        <f t="shared" si="62"/>
        <v>2.077725</v>
      </c>
      <c r="M176" s="501"/>
      <c r="N176" s="504">
        <f t="shared" si="59"/>
        <v>0.15532500000000016</v>
      </c>
      <c r="O176" s="547">
        <f t="shared" si="60"/>
        <v>8.0797440699126186E-2</v>
      </c>
      <c r="P176" s="480"/>
      <c r="Q176" s="480"/>
      <c r="R176" s="480"/>
      <c r="S176" s="480"/>
      <c r="T176" s="480"/>
    </row>
    <row r="177" spans="1:20" x14ac:dyDescent="0.2">
      <c r="A177" s="480"/>
      <c r="B177" s="495" t="s">
        <v>519</v>
      </c>
      <c r="C177" s="495"/>
      <c r="D177" s="496" t="s">
        <v>497</v>
      </c>
      <c r="E177" s="497"/>
      <c r="F177" s="544">
        <v>0.25</v>
      </c>
      <c r="G177" s="499">
        <v>1</v>
      </c>
      <c r="H177" s="545">
        <f t="shared" si="61"/>
        <v>0.25</v>
      </c>
      <c r="I177" s="501"/>
      <c r="J177" s="546">
        <v>0.25</v>
      </c>
      <c r="K177" s="503">
        <v>1</v>
      </c>
      <c r="L177" s="545">
        <f t="shared" si="62"/>
        <v>0.25</v>
      </c>
      <c r="M177" s="501"/>
      <c r="N177" s="504">
        <f t="shared" si="59"/>
        <v>0</v>
      </c>
      <c r="O177" s="547">
        <f t="shared" si="60"/>
        <v>0</v>
      </c>
      <c r="P177" s="480"/>
      <c r="Q177" s="480"/>
      <c r="R177" s="480"/>
      <c r="S177" s="480"/>
      <c r="T177" s="480"/>
    </row>
    <row r="178" spans="1:20" x14ac:dyDescent="0.2">
      <c r="A178" s="480"/>
      <c r="B178" s="495" t="s">
        <v>520</v>
      </c>
      <c r="C178" s="495"/>
      <c r="D178" s="496" t="s">
        <v>500</v>
      </c>
      <c r="E178" s="497"/>
      <c r="F178" s="544">
        <v>7.0000000000000001E-3</v>
      </c>
      <c r="G178" s="548">
        <f>F142</f>
        <v>1500</v>
      </c>
      <c r="H178" s="545">
        <f t="shared" si="61"/>
        <v>10.5</v>
      </c>
      <c r="I178" s="501"/>
      <c r="J178" s="546">
        <v>7.0000000000000001E-3</v>
      </c>
      <c r="K178" s="549">
        <f>F142</f>
        <v>1500</v>
      </c>
      <c r="L178" s="545">
        <f t="shared" si="62"/>
        <v>10.5</v>
      </c>
      <c r="M178" s="501"/>
      <c r="N178" s="504">
        <f t="shared" si="59"/>
        <v>0</v>
      </c>
      <c r="O178" s="547">
        <f t="shared" si="60"/>
        <v>0</v>
      </c>
      <c r="P178" s="480"/>
      <c r="Q178" s="480"/>
      <c r="R178" s="480"/>
      <c r="S178" s="480"/>
      <c r="T178" s="480"/>
    </row>
    <row r="179" spans="1:20" x14ac:dyDescent="0.2">
      <c r="A179" s="480"/>
      <c r="B179" s="524" t="s">
        <v>521</v>
      </c>
      <c r="C179" s="495"/>
      <c r="D179" s="496" t="s">
        <v>500</v>
      </c>
      <c r="E179" s="497"/>
      <c r="F179" s="550">
        <v>6.7000000000000004E-2</v>
      </c>
      <c r="G179" s="551">
        <f>0.64*$F$73</f>
        <v>512</v>
      </c>
      <c r="H179" s="545">
        <f t="shared" si="61"/>
        <v>34.304000000000002</v>
      </c>
      <c r="I179" s="501"/>
      <c r="J179" s="544">
        <v>6.7000000000000004E-2</v>
      </c>
      <c r="K179" s="551">
        <f>G179</f>
        <v>512</v>
      </c>
      <c r="L179" s="545">
        <f t="shared" si="62"/>
        <v>34.304000000000002</v>
      </c>
      <c r="M179" s="501"/>
      <c r="N179" s="504">
        <f t="shared" si="59"/>
        <v>0</v>
      </c>
      <c r="O179" s="547">
        <f t="shared" si="60"/>
        <v>0</v>
      </c>
      <c r="P179" s="480"/>
      <c r="Q179" s="480"/>
      <c r="R179" s="480"/>
      <c r="S179" s="552"/>
      <c r="T179" s="480"/>
    </row>
    <row r="180" spans="1:20" x14ac:dyDescent="0.2">
      <c r="A180" s="480"/>
      <c r="B180" s="524" t="s">
        <v>522</v>
      </c>
      <c r="C180" s="495"/>
      <c r="D180" s="496" t="s">
        <v>500</v>
      </c>
      <c r="E180" s="497"/>
      <c r="F180" s="550">
        <v>0.104</v>
      </c>
      <c r="G180" s="551">
        <f>0.18*$F$73</f>
        <v>144</v>
      </c>
      <c r="H180" s="545">
        <f t="shared" si="61"/>
        <v>14.975999999999999</v>
      </c>
      <c r="I180" s="501"/>
      <c r="J180" s="544">
        <v>0.104</v>
      </c>
      <c r="K180" s="551">
        <f>G180</f>
        <v>144</v>
      </c>
      <c r="L180" s="545">
        <f t="shared" si="62"/>
        <v>14.975999999999999</v>
      </c>
      <c r="M180" s="501"/>
      <c r="N180" s="504">
        <f t="shared" si="59"/>
        <v>0</v>
      </c>
      <c r="O180" s="547">
        <f t="shared" si="60"/>
        <v>0</v>
      </c>
      <c r="P180" s="480"/>
      <c r="Q180" s="480"/>
      <c r="R180" s="480"/>
      <c r="S180" s="552"/>
      <c r="T180" s="480"/>
    </row>
    <row r="181" spans="1:20" ht="15.75" thickBot="1" x14ac:dyDescent="0.25">
      <c r="A181" s="480"/>
      <c r="B181" s="485" t="s">
        <v>523</v>
      </c>
      <c r="C181" s="495"/>
      <c r="D181" s="496" t="s">
        <v>500</v>
      </c>
      <c r="E181" s="497"/>
      <c r="F181" s="550">
        <v>0.124</v>
      </c>
      <c r="G181" s="551">
        <f>0.18*$F$73</f>
        <v>144</v>
      </c>
      <c r="H181" s="545">
        <f t="shared" si="61"/>
        <v>17.856000000000002</v>
      </c>
      <c r="I181" s="501"/>
      <c r="J181" s="544">
        <v>0.124</v>
      </c>
      <c r="K181" s="551">
        <f>G181</f>
        <v>144</v>
      </c>
      <c r="L181" s="545">
        <f t="shared" si="62"/>
        <v>17.856000000000002</v>
      </c>
      <c r="M181" s="501"/>
      <c r="N181" s="504">
        <f t="shared" si="59"/>
        <v>0</v>
      </c>
      <c r="O181" s="547">
        <f t="shared" si="60"/>
        <v>0</v>
      </c>
      <c r="P181" s="480"/>
      <c r="Q181" s="480"/>
      <c r="R181" s="480"/>
      <c r="S181" s="552"/>
      <c r="T181" s="480"/>
    </row>
    <row r="182" spans="1:20" ht="15.75" thickBot="1" x14ac:dyDescent="0.25">
      <c r="A182" s="480"/>
      <c r="B182" s="553"/>
      <c r="C182" s="554"/>
      <c r="D182" s="555"/>
      <c r="E182" s="554"/>
      <c r="F182" s="556"/>
      <c r="G182" s="557"/>
      <c r="H182" s="558"/>
      <c r="I182" s="559"/>
      <c r="J182" s="556"/>
      <c r="K182" s="560"/>
      <c r="L182" s="558"/>
      <c r="M182" s="559"/>
      <c r="N182" s="561"/>
      <c r="O182" s="562"/>
      <c r="P182" s="480"/>
      <c r="Q182" s="480"/>
      <c r="R182" s="480"/>
      <c r="S182" s="480"/>
      <c r="T182" s="480"/>
    </row>
    <row r="183" spans="1:20" x14ac:dyDescent="0.2">
      <c r="A183" s="480"/>
      <c r="B183" s="563" t="s">
        <v>524</v>
      </c>
      <c r="C183" s="495"/>
      <c r="D183" s="495"/>
      <c r="E183" s="495"/>
      <c r="F183" s="564"/>
      <c r="G183" s="565"/>
      <c r="H183" s="566">
        <f>SUM(H175:H181,H174)</f>
        <v>152.37504800000002</v>
      </c>
      <c r="I183" s="567"/>
      <c r="J183" s="568"/>
      <c r="K183" s="568"/>
      <c r="L183" s="566">
        <f>SUM(L175:L181,L174)</f>
        <v>151.22243300000002</v>
      </c>
      <c r="M183" s="569"/>
      <c r="N183" s="570">
        <f t="shared" ref="N183:N187" si="63">L183-H183</f>
        <v>-1.1526149999999973</v>
      </c>
      <c r="O183" s="571">
        <f t="shared" ref="O183:O187" si="64">IF((H183)=0,"",(N183/H183))</f>
        <v>-7.5643290363393168E-3</v>
      </c>
      <c r="P183" s="480"/>
      <c r="Q183" s="480"/>
      <c r="R183" s="480"/>
      <c r="S183" s="552"/>
      <c r="T183" s="480"/>
    </row>
    <row r="184" spans="1:20" x14ac:dyDescent="0.2">
      <c r="A184" s="480"/>
      <c r="B184" s="572" t="s">
        <v>525</v>
      </c>
      <c r="C184" s="495"/>
      <c r="D184" s="495"/>
      <c r="E184" s="495"/>
      <c r="F184" s="573">
        <v>0.13</v>
      </c>
      <c r="G184" s="574"/>
      <c r="H184" s="575">
        <f>H183*F184</f>
        <v>19.808756240000005</v>
      </c>
      <c r="I184" s="576"/>
      <c r="J184" s="577">
        <v>0.13</v>
      </c>
      <c r="K184" s="576"/>
      <c r="L184" s="578">
        <f>L183*J184</f>
        <v>19.658916290000004</v>
      </c>
      <c r="M184" s="579"/>
      <c r="N184" s="580">
        <f t="shared" si="63"/>
        <v>-0.1498399500000005</v>
      </c>
      <c r="O184" s="581">
        <f t="shared" si="64"/>
        <v>-7.5643290363393593E-3</v>
      </c>
      <c r="P184" s="480"/>
      <c r="Q184" s="480"/>
      <c r="R184" s="480"/>
      <c r="S184" s="552"/>
      <c r="T184" s="480"/>
    </row>
    <row r="185" spans="1:20" x14ac:dyDescent="0.2">
      <c r="A185" s="480"/>
      <c r="B185" s="582" t="s">
        <v>526</v>
      </c>
      <c r="C185" s="495"/>
      <c r="D185" s="495"/>
      <c r="E185" s="495"/>
      <c r="F185" s="583"/>
      <c r="G185" s="574"/>
      <c r="H185" s="575">
        <f>H183+H184</f>
        <v>172.18380424000003</v>
      </c>
      <c r="I185" s="576"/>
      <c r="J185" s="576"/>
      <c r="K185" s="576"/>
      <c r="L185" s="578">
        <f>L183+L184</f>
        <v>170.88134929000003</v>
      </c>
      <c r="M185" s="579"/>
      <c r="N185" s="580">
        <f t="shared" si="63"/>
        <v>-1.3024549499999978</v>
      </c>
      <c r="O185" s="581">
        <f t="shared" si="64"/>
        <v>-7.5643290363393212E-3</v>
      </c>
      <c r="P185" s="480"/>
      <c r="Q185" s="480"/>
      <c r="R185" s="480"/>
      <c r="S185" s="552"/>
      <c r="T185" s="480"/>
    </row>
    <row r="186" spans="1:20" x14ac:dyDescent="0.2">
      <c r="A186" s="480"/>
      <c r="B186" s="964" t="s">
        <v>527</v>
      </c>
      <c r="C186" s="964"/>
      <c r="D186" s="964"/>
      <c r="E186" s="495"/>
      <c r="F186" s="583"/>
      <c r="G186" s="574"/>
      <c r="H186" s="584">
        <f>ROUND(-H185*10%,2)</f>
        <v>-17.22</v>
      </c>
      <c r="I186" s="576"/>
      <c r="J186" s="576"/>
      <c r="K186" s="576"/>
      <c r="L186" s="585">
        <f>ROUND(-L185*10%,2)</f>
        <v>-17.09</v>
      </c>
      <c r="M186" s="579"/>
      <c r="N186" s="586">
        <f t="shared" si="63"/>
        <v>0.12999999999999901</v>
      </c>
      <c r="O186" s="587">
        <f t="shared" si="64"/>
        <v>-7.5493612078977356E-3</v>
      </c>
      <c r="P186" s="480"/>
      <c r="Q186" s="480"/>
      <c r="R186" s="480"/>
      <c r="S186" s="480"/>
      <c r="T186" s="480"/>
    </row>
    <row r="187" spans="1:20" ht="15.75" thickBot="1" x14ac:dyDescent="0.25">
      <c r="A187" s="480"/>
      <c r="B187" s="965" t="s">
        <v>528</v>
      </c>
      <c r="C187" s="965"/>
      <c r="D187" s="965"/>
      <c r="E187" s="588"/>
      <c r="F187" s="589"/>
      <c r="G187" s="590"/>
      <c r="H187" s="591">
        <f>H185+H186</f>
        <v>154.96380424000003</v>
      </c>
      <c r="I187" s="592"/>
      <c r="J187" s="592"/>
      <c r="K187" s="592"/>
      <c r="L187" s="593">
        <f>L185+L186</f>
        <v>153.79134929000003</v>
      </c>
      <c r="M187" s="594"/>
      <c r="N187" s="595">
        <f t="shared" si="63"/>
        <v>-1.1724549500000023</v>
      </c>
      <c r="O187" s="596">
        <f t="shared" si="64"/>
        <v>-7.5659923022034486E-3</v>
      </c>
      <c r="P187" s="480"/>
      <c r="Q187" s="480"/>
      <c r="R187" s="480"/>
      <c r="S187" s="480"/>
      <c r="T187" s="480"/>
    </row>
    <row r="188" spans="1:20" ht="15.75" thickBot="1" x14ac:dyDescent="0.25">
      <c r="A188" s="597"/>
      <c r="B188" s="598"/>
      <c r="C188" s="599"/>
      <c r="D188" s="600"/>
      <c r="E188" s="599"/>
      <c r="F188" s="556"/>
      <c r="G188" s="601"/>
      <c r="H188" s="558"/>
      <c r="I188" s="602"/>
      <c r="J188" s="556"/>
      <c r="K188" s="603"/>
      <c r="L188" s="558"/>
      <c r="M188" s="602"/>
      <c r="N188" s="604"/>
      <c r="O188" s="562"/>
      <c r="P188" s="597"/>
      <c r="Q188" s="597"/>
      <c r="R188" s="597"/>
      <c r="S188" s="597"/>
      <c r="T188" s="597"/>
    </row>
    <row r="189" spans="1:20" x14ac:dyDescent="0.2">
      <c r="A189" s="480"/>
      <c r="B189" s="480"/>
      <c r="C189" s="480"/>
      <c r="D189" s="480"/>
      <c r="E189" s="480"/>
      <c r="F189" s="480"/>
      <c r="G189" s="480"/>
      <c r="H189" s="480"/>
      <c r="I189" s="480"/>
      <c r="J189" s="480"/>
      <c r="K189" s="480"/>
      <c r="L189" s="552"/>
      <c r="M189" s="480"/>
      <c r="N189" s="480"/>
      <c r="O189" s="480"/>
      <c r="P189" s="480"/>
      <c r="Q189" s="480"/>
      <c r="R189" s="480"/>
      <c r="S189" s="480"/>
      <c r="T189" s="480"/>
    </row>
    <row r="190" spans="1:20" x14ac:dyDescent="0.2">
      <c r="A190" s="480"/>
      <c r="B190" s="486" t="s">
        <v>529</v>
      </c>
      <c r="C190" s="480"/>
      <c r="D190" s="480"/>
      <c r="E190" s="480"/>
      <c r="F190" s="605">
        <v>6.8000000000000005E-2</v>
      </c>
      <c r="G190" s="480"/>
      <c r="H190" s="480"/>
      <c r="I190" s="480"/>
      <c r="J190" s="605">
        <v>6.5500000000000003E-2</v>
      </c>
      <c r="K190" s="480"/>
      <c r="L190" s="480"/>
      <c r="M190" s="480"/>
      <c r="N190" s="480"/>
      <c r="O190" s="480"/>
      <c r="P190" s="480"/>
      <c r="Q190" s="480"/>
      <c r="R190" s="480"/>
      <c r="S190" s="480"/>
      <c r="T190" s="480"/>
    </row>
    <row r="191" spans="1:20" x14ac:dyDescent="0.2">
      <c r="A191" s="480"/>
      <c r="B191" s="480"/>
      <c r="C191" s="480"/>
      <c r="D191" s="480"/>
      <c r="E191" s="480"/>
      <c r="F191" s="480"/>
      <c r="G191" s="480"/>
      <c r="H191" s="480"/>
      <c r="I191" s="480"/>
      <c r="J191" s="480"/>
      <c r="K191" s="480"/>
      <c r="L191" s="480"/>
      <c r="M191" s="480"/>
      <c r="N191" s="480"/>
      <c r="O191" s="480"/>
      <c r="P191" s="480"/>
      <c r="Q191" s="480"/>
      <c r="R191" s="480"/>
      <c r="S191" s="480"/>
      <c r="T191" s="480"/>
    </row>
    <row r="192" spans="1:20" x14ac:dyDescent="0.2">
      <c r="A192" s="480"/>
      <c r="B192" s="480"/>
      <c r="C192" s="480"/>
      <c r="D192" s="480"/>
      <c r="E192" s="480"/>
      <c r="F192" s="480"/>
      <c r="G192" s="480"/>
      <c r="H192" s="480"/>
      <c r="I192" s="480"/>
      <c r="J192" s="480"/>
      <c r="K192" s="480"/>
      <c r="L192" s="480"/>
      <c r="M192" s="480"/>
      <c r="N192" s="480"/>
      <c r="O192" s="480"/>
      <c r="P192" s="480"/>
      <c r="Q192" s="480"/>
      <c r="R192" s="480"/>
      <c r="S192" s="480"/>
      <c r="T192" s="480"/>
    </row>
    <row r="193" spans="1:20" ht="15.75" x14ac:dyDescent="0.2">
      <c r="A193" s="480"/>
      <c r="B193" s="481" t="s">
        <v>480</v>
      </c>
      <c r="C193" s="480"/>
      <c r="D193" s="966" t="s">
        <v>543</v>
      </c>
      <c r="E193" s="966"/>
      <c r="F193" s="966"/>
      <c r="G193" s="966"/>
      <c r="H193" s="966"/>
      <c r="I193" s="966"/>
      <c r="J193" s="966"/>
      <c r="K193" s="966"/>
      <c r="L193" s="966"/>
      <c r="M193" s="966"/>
      <c r="N193" s="966"/>
      <c r="O193" s="966"/>
      <c r="P193" s="480"/>
      <c r="Q193" s="480"/>
      <c r="R193" s="480"/>
      <c r="S193" s="480"/>
      <c r="T193" s="480"/>
    </row>
    <row r="194" spans="1:20" ht="15.75" x14ac:dyDescent="0.25">
      <c r="A194" s="480"/>
      <c r="B194" s="482"/>
      <c r="C194" s="480"/>
      <c r="D194" s="483"/>
      <c r="E194" s="483"/>
      <c r="F194" s="483"/>
      <c r="G194" s="483"/>
      <c r="H194" s="483"/>
      <c r="I194" s="483"/>
      <c r="J194" s="483"/>
      <c r="K194" s="483"/>
      <c r="L194" s="483"/>
      <c r="M194" s="483"/>
      <c r="N194" s="483"/>
      <c r="O194" s="483"/>
      <c r="P194" s="480"/>
      <c r="Q194" s="480"/>
      <c r="R194" s="480"/>
      <c r="S194" s="480"/>
      <c r="T194" s="480"/>
    </row>
    <row r="195" spans="1:20" ht="15.75" x14ac:dyDescent="0.25">
      <c r="A195" s="480"/>
      <c r="B195" s="481" t="s">
        <v>482</v>
      </c>
      <c r="C195" s="480"/>
      <c r="D195" s="484" t="s">
        <v>483</v>
      </c>
      <c r="E195" s="483"/>
      <c r="F195" s="483"/>
      <c r="G195" s="483"/>
      <c r="H195" s="483"/>
      <c r="I195" s="483"/>
      <c r="J195" s="483"/>
      <c r="K195" s="483"/>
      <c r="L195" s="483"/>
      <c r="M195" s="483"/>
      <c r="N195" s="483"/>
      <c r="O195" s="483"/>
      <c r="P195" s="480"/>
      <c r="Q195" s="480"/>
      <c r="R195" s="480"/>
      <c r="S195" s="480"/>
      <c r="T195" s="480"/>
    </row>
    <row r="196" spans="1:20" ht="15.75" x14ac:dyDescent="0.25">
      <c r="A196" s="480"/>
      <c r="B196" s="482"/>
      <c r="C196" s="480"/>
      <c r="D196" s="483"/>
      <c r="E196" s="483"/>
      <c r="F196" s="483"/>
      <c r="G196" s="483"/>
      <c r="H196" s="483"/>
      <c r="I196" s="483"/>
      <c r="J196" s="483"/>
      <c r="K196" s="483"/>
      <c r="L196" s="483"/>
      <c r="M196" s="483"/>
      <c r="N196" s="483"/>
      <c r="O196" s="483"/>
      <c r="P196" s="480"/>
      <c r="Q196" s="480"/>
      <c r="R196" s="480"/>
      <c r="S196" s="480"/>
      <c r="T196" s="480"/>
    </row>
    <row r="197" spans="1:20" x14ac:dyDescent="0.2">
      <c r="A197" s="480"/>
      <c r="B197" s="485"/>
      <c r="C197" s="480"/>
      <c r="D197" s="486" t="s">
        <v>484</v>
      </c>
      <c r="E197" s="486"/>
      <c r="F197" s="487">
        <v>2000</v>
      </c>
      <c r="G197" s="486" t="s">
        <v>485</v>
      </c>
      <c r="H197" s="480"/>
      <c r="I197" s="480"/>
      <c r="J197" s="480"/>
      <c r="K197" s="480"/>
      <c r="L197" s="480"/>
      <c r="M197" s="480"/>
      <c r="N197" s="480"/>
      <c r="O197" s="480"/>
      <c r="P197" s="480"/>
      <c r="Q197" s="480"/>
      <c r="R197" s="480"/>
      <c r="S197" s="480"/>
      <c r="T197" s="480"/>
    </row>
    <row r="198" spans="1:20" x14ac:dyDescent="0.2">
      <c r="A198" s="480"/>
      <c r="B198" s="485"/>
      <c r="C198" s="480"/>
      <c r="D198" s="480"/>
      <c r="E198" s="480"/>
      <c r="F198" s="480"/>
      <c r="G198" s="480"/>
      <c r="H198" s="480"/>
      <c r="I198" s="480"/>
      <c r="J198" s="480"/>
      <c r="K198" s="480"/>
      <c r="L198" s="480"/>
      <c r="M198" s="480"/>
      <c r="N198" s="480"/>
      <c r="O198" s="480"/>
      <c r="P198" s="480"/>
      <c r="Q198" s="480"/>
      <c r="R198" s="480"/>
      <c r="S198" s="480"/>
      <c r="T198" s="480"/>
    </row>
    <row r="199" spans="1:20" x14ac:dyDescent="0.2">
      <c r="A199" s="480"/>
      <c r="B199" s="485"/>
      <c r="C199" s="480"/>
      <c r="D199" s="488"/>
      <c r="E199" s="488"/>
      <c r="F199" s="967" t="s">
        <v>486</v>
      </c>
      <c r="G199" s="968"/>
      <c r="H199" s="969"/>
      <c r="I199" s="480"/>
      <c r="J199" s="967" t="s">
        <v>487</v>
      </c>
      <c r="K199" s="968"/>
      <c r="L199" s="969"/>
      <c r="M199" s="480"/>
      <c r="N199" s="967" t="s">
        <v>488</v>
      </c>
      <c r="O199" s="969"/>
      <c r="P199" s="480"/>
      <c r="Q199" s="480"/>
      <c r="R199" s="480"/>
      <c r="S199" s="480"/>
      <c r="T199" s="480"/>
    </row>
    <row r="200" spans="1:20" x14ac:dyDescent="0.2">
      <c r="A200" s="480"/>
      <c r="B200" s="485"/>
      <c r="C200" s="480"/>
      <c r="D200" s="958" t="s">
        <v>489</v>
      </c>
      <c r="E200" s="489"/>
      <c r="F200" s="490" t="s">
        <v>490</v>
      </c>
      <c r="G200" s="490" t="s">
        <v>491</v>
      </c>
      <c r="H200" s="491" t="s">
        <v>492</v>
      </c>
      <c r="I200" s="480"/>
      <c r="J200" s="490" t="s">
        <v>490</v>
      </c>
      <c r="K200" s="492" t="s">
        <v>491</v>
      </c>
      <c r="L200" s="491" t="s">
        <v>492</v>
      </c>
      <c r="M200" s="480"/>
      <c r="N200" s="960" t="s">
        <v>493</v>
      </c>
      <c r="O200" s="962" t="s">
        <v>494</v>
      </c>
      <c r="P200" s="480"/>
      <c r="Q200" s="480"/>
      <c r="R200" s="480"/>
      <c r="S200" s="480"/>
      <c r="T200" s="480"/>
    </row>
    <row r="201" spans="1:20" x14ac:dyDescent="0.2">
      <c r="A201" s="480"/>
      <c r="B201" s="485"/>
      <c r="C201" s="480"/>
      <c r="D201" s="959"/>
      <c r="E201" s="489"/>
      <c r="F201" s="493" t="s">
        <v>495</v>
      </c>
      <c r="G201" s="493"/>
      <c r="H201" s="494" t="s">
        <v>495</v>
      </c>
      <c r="I201" s="480"/>
      <c r="J201" s="493" t="s">
        <v>495</v>
      </c>
      <c r="K201" s="494"/>
      <c r="L201" s="494" t="s">
        <v>495</v>
      </c>
      <c r="M201" s="480"/>
      <c r="N201" s="961"/>
      <c r="O201" s="963"/>
      <c r="P201" s="480"/>
      <c r="Q201" s="480"/>
      <c r="R201" s="480"/>
      <c r="S201" s="480"/>
      <c r="T201" s="480"/>
    </row>
    <row r="202" spans="1:20" x14ac:dyDescent="0.2">
      <c r="A202" s="480"/>
      <c r="B202" s="495" t="s">
        <v>496</v>
      </c>
      <c r="C202" s="495"/>
      <c r="D202" s="496" t="s">
        <v>497</v>
      </c>
      <c r="E202" s="497"/>
      <c r="F202" s="498">
        <v>29.04</v>
      </c>
      <c r="G202" s="499">
        <v>1</v>
      </c>
      <c r="H202" s="500">
        <f>G202*F202</f>
        <v>29.04</v>
      </c>
      <c r="I202" s="501"/>
      <c r="J202" s="502">
        <v>25.27</v>
      </c>
      <c r="K202" s="503">
        <v>1</v>
      </c>
      <c r="L202" s="500">
        <f>K202*J202</f>
        <v>25.27</v>
      </c>
      <c r="M202" s="501"/>
      <c r="N202" s="504">
        <f>L202-H202</f>
        <v>-3.7699999999999996</v>
      </c>
      <c r="O202" s="505">
        <f>IF((H202)=0,"",(N202/H202))</f>
        <v>-0.12982093663911845</v>
      </c>
      <c r="P202" s="480"/>
      <c r="Q202" s="480"/>
      <c r="R202" s="480"/>
      <c r="S202" s="480"/>
      <c r="T202" s="480"/>
    </row>
    <row r="203" spans="1:20" x14ac:dyDescent="0.2">
      <c r="A203" s="480"/>
      <c r="B203" s="495" t="s">
        <v>498</v>
      </c>
      <c r="C203" s="495"/>
      <c r="D203" s="496" t="s">
        <v>497</v>
      </c>
      <c r="E203" s="497"/>
      <c r="F203" s="498">
        <v>9.15</v>
      </c>
      <c r="G203" s="499">
        <v>1</v>
      </c>
      <c r="H203" s="500">
        <f t="shared" ref="H203:H217" si="65">G203*F203</f>
        <v>9.15</v>
      </c>
      <c r="I203" s="501"/>
      <c r="J203" s="502"/>
      <c r="K203" s="503">
        <v>1</v>
      </c>
      <c r="L203" s="500">
        <f>K203*J203</f>
        <v>0</v>
      </c>
      <c r="M203" s="501"/>
      <c r="N203" s="504">
        <f>L203-H203</f>
        <v>-9.15</v>
      </c>
      <c r="O203" s="505">
        <f>IF((H203)=0,"",(N203/H203))</f>
        <v>-1</v>
      </c>
      <c r="P203" s="480"/>
      <c r="Q203" s="480"/>
      <c r="R203" s="480"/>
      <c r="S203" s="480"/>
      <c r="T203" s="480"/>
    </row>
    <row r="204" spans="1:20" x14ac:dyDescent="0.2">
      <c r="A204" s="480"/>
      <c r="B204" s="506"/>
      <c r="C204" s="495"/>
      <c r="D204" s="496"/>
      <c r="E204" s="497"/>
      <c r="F204" s="498"/>
      <c r="G204" s="499">
        <v>1</v>
      </c>
      <c r="H204" s="500">
        <f t="shared" si="65"/>
        <v>0</v>
      </c>
      <c r="I204" s="501"/>
      <c r="J204" s="502"/>
      <c r="K204" s="503">
        <v>1</v>
      </c>
      <c r="L204" s="500">
        <f t="shared" ref="L204:L217" si="66">K204*J204</f>
        <v>0</v>
      </c>
      <c r="M204" s="501"/>
      <c r="N204" s="504">
        <f t="shared" ref="N204:N218" si="67">L204-H204</f>
        <v>0</v>
      </c>
      <c r="O204" s="505" t="str">
        <f t="shared" ref="O204:O218" si="68">IF((H204)=0,"",(N204/H204))</f>
        <v/>
      </c>
      <c r="P204" s="480"/>
      <c r="Q204" s="480"/>
      <c r="R204" s="480"/>
      <c r="S204" s="480"/>
      <c r="T204" s="480"/>
    </row>
    <row r="205" spans="1:20" x14ac:dyDescent="0.2">
      <c r="A205" s="480"/>
      <c r="B205" s="506"/>
      <c r="C205" s="495"/>
      <c r="D205" s="496"/>
      <c r="E205" s="497"/>
      <c r="F205" s="498"/>
      <c r="G205" s="499">
        <v>1</v>
      </c>
      <c r="H205" s="500">
        <f t="shared" si="65"/>
        <v>0</v>
      </c>
      <c r="I205" s="501"/>
      <c r="J205" s="502"/>
      <c r="K205" s="503">
        <v>1</v>
      </c>
      <c r="L205" s="500">
        <f t="shared" si="66"/>
        <v>0</v>
      </c>
      <c r="M205" s="501"/>
      <c r="N205" s="504">
        <f t="shared" si="67"/>
        <v>0</v>
      </c>
      <c r="O205" s="505" t="str">
        <f t="shared" si="68"/>
        <v/>
      </c>
      <c r="P205" s="480"/>
      <c r="Q205" s="480"/>
      <c r="R205" s="480"/>
      <c r="S205" s="480"/>
      <c r="T205" s="480"/>
    </row>
    <row r="206" spans="1:20" x14ac:dyDescent="0.2">
      <c r="A206" s="480"/>
      <c r="B206" s="506"/>
      <c r="C206" s="495"/>
      <c r="D206" s="496"/>
      <c r="E206" s="497"/>
      <c r="F206" s="498"/>
      <c r="G206" s="499">
        <v>1</v>
      </c>
      <c r="H206" s="500">
        <f t="shared" si="65"/>
        <v>0</v>
      </c>
      <c r="I206" s="501"/>
      <c r="J206" s="502"/>
      <c r="K206" s="503">
        <v>1</v>
      </c>
      <c r="L206" s="500">
        <f t="shared" si="66"/>
        <v>0</v>
      </c>
      <c r="M206" s="501"/>
      <c r="N206" s="504">
        <f t="shared" si="67"/>
        <v>0</v>
      </c>
      <c r="O206" s="505" t="str">
        <f t="shared" si="68"/>
        <v/>
      </c>
      <c r="P206" s="480"/>
      <c r="Q206" s="480"/>
      <c r="R206" s="480"/>
      <c r="S206" s="480"/>
      <c r="T206" s="480"/>
    </row>
    <row r="207" spans="1:20" x14ac:dyDescent="0.2">
      <c r="A207" s="480"/>
      <c r="B207" s="506"/>
      <c r="C207" s="495"/>
      <c r="D207" s="496"/>
      <c r="E207" s="497"/>
      <c r="F207" s="498"/>
      <c r="G207" s="499">
        <v>1</v>
      </c>
      <c r="H207" s="500">
        <f t="shared" si="65"/>
        <v>0</v>
      </c>
      <c r="I207" s="501"/>
      <c r="J207" s="502"/>
      <c r="K207" s="503">
        <v>1</v>
      </c>
      <c r="L207" s="500">
        <f t="shared" si="66"/>
        <v>0</v>
      </c>
      <c r="M207" s="501"/>
      <c r="N207" s="504">
        <f t="shared" si="67"/>
        <v>0</v>
      </c>
      <c r="O207" s="505" t="str">
        <f t="shared" si="68"/>
        <v/>
      </c>
      <c r="P207" s="480"/>
      <c r="Q207" s="480"/>
      <c r="R207" s="480"/>
      <c r="S207" s="480"/>
      <c r="T207" s="480"/>
    </row>
    <row r="208" spans="1:20" x14ac:dyDescent="0.2">
      <c r="A208" s="480"/>
      <c r="B208" s="495" t="s">
        <v>499</v>
      </c>
      <c r="C208" s="495"/>
      <c r="D208" s="496" t="s">
        <v>500</v>
      </c>
      <c r="E208" s="497"/>
      <c r="F208" s="498">
        <v>2.0500000000000001E-2</v>
      </c>
      <c r="G208" s="608">
        <f>$F$197</f>
        <v>2000</v>
      </c>
      <c r="H208" s="500">
        <f t="shared" si="65"/>
        <v>41</v>
      </c>
      <c r="I208" s="501"/>
      <c r="J208" s="502">
        <v>1.78E-2</v>
      </c>
      <c r="K208" s="608">
        <f>$F$197</f>
        <v>2000</v>
      </c>
      <c r="L208" s="500">
        <f t="shared" si="66"/>
        <v>35.6</v>
      </c>
      <c r="M208" s="501"/>
      <c r="N208" s="504">
        <f t="shared" si="67"/>
        <v>-5.3999999999999986</v>
      </c>
      <c r="O208" s="505">
        <f t="shared" si="68"/>
        <v>-0.13170731707317071</v>
      </c>
      <c r="P208" s="480"/>
      <c r="Q208" s="480"/>
      <c r="R208" s="480"/>
      <c r="S208" s="480"/>
      <c r="T208" s="480"/>
    </row>
    <row r="209" spans="1:20" x14ac:dyDescent="0.2">
      <c r="A209" s="480"/>
      <c r="B209" s="495" t="s">
        <v>501</v>
      </c>
      <c r="C209" s="495"/>
      <c r="D209" s="496"/>
      <c r="E209" s="497"/>
      <c r="F209" s="498"/>
      <c r="G209" s="608">
        <f t="shared" ref="G209:G217" si="69">$F$197</f>
        <v>2000</v>
      </c>
      <c r="H209" s="500">
        <f t="shared" si="65"/>
        <v>0</v>
      </c>
      <c r="I209" s="501"/>
      <c r="J209" s="502"/>
      <c r="K209" s="608">
        <f t="shared" ref="K209:K217" si="70">$F$197</f>
        <v>2000</v>
      </c>
      <c r="L209" s="500">
        <f t="shared" si="66"/>
        <v>0</v>
      </c>
      <c r="M209" s="501"/>
      <c r="N209" s="504">
        <f t="shared" si="67"/>
        <v>0</v>
      </c>
      <c r="O209" s="505" t="str">
        <f t="shared" si="68"/>
        <v/>
      </c>
      <c r="P209" s="480"/>
      <c r="Q209" s="480"/>
      <c r="R209" s="480"/>
      <c r="S209" s="480"/>
      <c r="T209" s="480"/>
    </row>
    <row r="210" spans="1:20" x14ac:dyDescent="0.2">
      <c r="A210" s="480"/>
      <c r="B210" s="495" t="s">
        <v>502</v>
      </c>
      <c r="C210" s="495"/>
      <c r="D210" s="496"/>
      <c r="E210" s="497"/>
      <c r="F210" s="498"/>
      <c r="G210" s="608">
        <f t="shared" si="69"/>
        <v>2000</v>
      </c>
      <c r="H210" s="500">
        <f t="shared" si="65"/>
        <v>0</v>
      </c>
      <c r="I210" s="501"/>
      <c r="J210" s="502"/>
      <c r="K210" s="608">
        <f t="shared" si="70"/>
        <v>2000</v>
      </c>
      <c r="L210" s="500">
        <f t="shared" si="66"/>
        <v>0</v>
      </c>
      <c r="M210" s="501"/>
      <c r="N210" s="504">
        <f t="shared" si="67"/>
        <v>0</v>
      </c>
      <c r="O210" s="505" t="str">
        <f t="shared" si="68"/>
        <v/>
      </c>
      <c r="P210" s="480"/>
      <c r="Q210" s="480"/>
      <c r="R210" s="480"/>
      <c r="S210" s="480"/>
      <c r="T210" s="480"/>
    </row>
    <row r="211" spans="1:20" x14ac:dyDescent="0.2">
      <c r="A211" s="480"/>
      <c r="B211" s="507" t="s">
        <v>503</v>
      </c>
      <c r="C211" s="495"/>
      <c r="D211" s="496" t="s">
        <v>500</v>
      </c>
      <c r="E211" s="497"/>
      <c r="F211" s="498">
        <v>-2.0000000000000001E-4</v>
      </c>
      <c r="G211" s="608">
        <f t="shared" si="69"/>
        <v>2000</v>
      </c>
      <c r="H211" s="500">
        <f t="shared" si="65"/>
        <v>-0.4</v>
      </c>
      <c r="I211" s="501"/>
      <c r="J211" s="502"/>
      <c r="K211" s="608">
        <f t="shared" si="70"/>
        <v>2000</v>
      </c>
      <c r="L211" s="500">
        <f t="shared" si="66"/>
        <v>0</v>
      </c>
      <c r="M211" s="501"/>
      <c r="N211" s="504">
        <f t="shared" si="67"/>
        <v>0.4</v>
      </c>
      <c r="O211" s="505">
        <f t="shared" si="68"/>
        <v>-1</v>
      </c>
      <c r="P211" s="480"/>
      <c r="Q211" s="480"/>
      <c r="R211" s="480"/>
      <c r="S211" s="480"/>
      <c r="T211" s="480"/>
    </row>
    <row r="212" spans="1:20" x14ac:dyDescent="0.2">
      <c r="A212" s="480"/>
      <c r="B212" s="507" t="s">
        <v>504</v>
      </c>
      <c r="C212" s="495"/>
      <c r="D212" s="496" t="s">
        <v>500</v>
      </c>
      <c r="E212" s="497"/>
      <c r="F212" s="498">
        <v>-1.1999999999999999E-3</v>
      </c>
      <c r="G212" s="608">
        <f t="shared" si="69"/>
        <v>2000</v>
      </c>
      <c r="H212" s="500">
        <f t="shared" si="65"/>
        <v>-2.4</v>
      </c>
      <c r="I212" s="501"/>
      <c r="J212" s="502"/>
      <c r="K212" s="608">
        <f t="shared" si="70"/>
        <v>2000</v>
      </c>
      <c r="L212" s="500">
        <f t="shared" si="66"/>
        <v>0</v>
      </c>
      <c r="M212" s="501"/>
      <c r="N212" s="504">
        <f t="shared" si="67"/>
        <v>2.4</v>
      </c>
      <c r="O212" s="505">
        <f t="shared" si="68"/>
        <v>-1</v>
      </c>
      <c r="P212" s="480"/>
      <c r="Q212" s="480"/>
      <c r="R212" s="480"/>
      <c r="S212" s="480"/>
      <c r="T212" s="480"/>
    </row>
    <row r="213" spans="1:20" x14ac:dyDescent="0.2">
      <c r="A213" s="480"/>
      <c r="B213" s="507" t="s">
        <v>505</v>
      </c>
      <c r="C213" s="495"/>
      <c r="D213" s="496" t="s">
        <v>500</v>
      </c>
      <c r="E213" s="497"/>
      <c r="F213" s="498"/>
      <c r="G213" s="608">
        <f t="shared" si="69"/>
        <v>2000</v>
      </c>
      <c r="H213" s="500">
        <f t="shared" si="65"/>
        <v>0</v>
      </c>
      <c r="I213" s="501"/>
      <c r="J213" s="502">
        <v>1.9E-3</v>
      </c>
      <c r="K213" s="608">
        <f t="shared" si="70"/>
        <v>2000</v>
      </c>
      <c r="L213" s="500">
        <f t="shared" si="66"/>
        <v>3.8</v>
      </c>
      <c r="M213" s="501"/>
      <c r="N213" s="504">
        <f t="shared" si="67"/>
        <v>3.8</v>
      </c>
      <c r="O213" s="505" t="str">
        <f t="shared" si="68"/>
        <v/>
      </c>
      <c r="P213" s="480"/>
      <c r="Q213" s="480"/>
      <c r="R213" s="480"/>
      <c r="S213" s="480"/>
      <c r="T213" s="480"/>
    </row>
    <row r="214" spans="1:20" x14ac:dyDescent="0.2">
      <c r="A214" s="480"/>
      <c r="B214" s="507" t="s">
        <v>506</v>
      </c>
      <c r="C214" s="495"/>
      <c r="D214" s="496" t="s">
        <v>500</v>
      </c>
      <c r="E214" s="497"/>
      <c r="F214" s="498"/>
      <c r="G214" s="608">
        <f t="shared" si="69"/>
        <v>2000</v>
      </c>
      <c r="H214" s="500">
        <f t="shared" si="65"/>
        <v>0</v>
      </c>
      <c r="I214" s="501"/>
      <c r="J214" s="502">
        <v>-8.9999999999999998E-4</v>
      </c>
      <c r="K214" s="608">
        <f t="shared" si="70"/>
        <v>2000</v>
      </c>
      <c r="L214" s="500">
        <f t="shared" si="66"/>
        <v>-1.8</v>
      </c>
      <c r="M214" s="501"/>
      <c r="N214" s="504">
        <f t="shared" si="67"/>
        <v>-1.8</v>
      </c>
      <c r="O214" s="505" t="str">
        <f t="shared" si="68"/>
        <v/>
      </c>
      <c r="P214" s="480"/>
      <c r="Q214" s="480"/>
      <c r="R214" s="480"/>
      <c r="S214" s="480"/>
      <c r="T214" s="480"/>
    </row>
    <row r="215" spans="1:20" x14ac:dyDescent="0.2">
      <c r="A215" s="480"/>
      <c r="B215" s="507" t="s">
        <v>507</v>
      </c>
      <c r="C215" s="495"/>
      <c r="D215" s="496" t="s">
        <v>500</v>
      </c>
      <c r="E215" s="497"/>
      <c r="F215" s="498"/>
      <c r="G215" s="608">
        <f t="shared" si="69"/>
        <v>2000</v>
      </c>
      <c r="H215" s="500">
        <f t="shared" si="65"/>
        <v>0</v>
      </c>
      <c r="I215" s="501"/>
      <c r="J215" s="502">
        <v>1E-4</v>
      </c>
      <c r="K215" s="608">
        <f t="shared" si="70"/>
        <v>2000</v>
      </c>
      <c r="L215" s="500">
        <f t="shared" si="66"/>
        <v>0.2</v>
      </c>
      <c r="M215" s="501"/>
      <c r="N215" s="504">
        <f t="shared" si="67"/>
        <v>0.2</v>
      </c>
      <c r="O215" s="505" t="str">
        <f t="shared" si="68"/>
        <v/>
      </c>
      <c r="P215" s="480"/>
      <c r="Q215" s="480"/>
      <c r="R215" s="480"/>
      <c r="S215" s="480"/>
      <c r="T215" s="480"/>
    </row>
    <row r="216" spans="1:20" x14ac:dyDescent="0.2">
      <c r="A216" s="480"/>
      <c r="B216" s="508"/>
      <c r="C216" s="495"/>
      <c r="D216" s="496"/>
      <c r="E216" s="497"/>
      <c r="F216" s="498"/>
      <c r="G216" s="608">
        <f t="shared" si="69"/>
        <v>2000</v>
      </c>
      <c r="H216" s="500">
        <f t="shared" si="65"/>
        <v>0</v>
      </c>
      <c r="I216" s="501"/>
      <c r="J216" s="502"/>
      <c r="K216" s="608">
        <f t="shared" si="70"/>
        <v>2000</v>
      </c>
      <c r="L216" s="500">
        <f t="shared" si="66"/>
        <v>0</v>
      </c>
      <c r="M216" s="501"/>
      <c r="N216" s="504">
        <f t="shared" si="67"/>
        <v>0</v>
      </c>
      <c r="O216" s="505" t="str">
        <f t="shared" si="68"/>
        <v/>
      </c>
      <c r="P216" s="480"/>
      <c r="Q216" s="480"/>
      <c r="R216" s="480"/>
      <c r="S216" s="480"/>
      <c r="T216" s="480"/>
    </row>
    <row r="217" spans="1:20" x14ac:dyDescent="0.2">
      <c r="A217" s="480"/>
      <c r="B217" s="508"/>
      <c r="C217" s="495"/>
      <c r="D217" s="496"/>
      <c r="E217" s="497"/>
      <c r="F217" s="498"/>
      <c r="G217" s="608">
        <f t="shared" si="69"/>
        <v>2000</v>
      </c>
      <c r="H217" s="500">
        <f t="shared" si="65"/>
        <v>0</v>
      </c>
      <c r="I217" s="501"/>
      <c r="J217" s="502"/>
      <c r="K217" s="608">
        <f t="shared" si="70"/>
        <v>2000</v>
      </c>
      <c r="L217" s="500">
        <f t="shared" si="66"/>
        <v>0</v>
      </c>
      <c r="M217" s="501"/>
      <c r="N217" s="504">
        <f t="shared" si="67"/>
        <v>0</v>
      </c>
      <c r="O217" s="505" t="str">
        <f t="shared" si="68"/>
        <v/>
      </c>
      <c r="P217" s="480"/>
      <c r="Q217" s="480"/>
      <c r="R217" s="480"/>
      <c r="S217" s="480"/>
      <c r="T217" s="480"/>
    </row>
    <row r="218" spans="1:20" x14ac:dyDescent="0.2">
      <c r="A218" s="509"/>
      <c r="B218" s="510" t="s">
        <v>508</v>
      </c>
      <c r="C218" s="511"/>
      <c r="D218" s="512"/>
      <c r="E218" s="511"/>
      <c r="F218" s="513"/>
      <c r="G218" s="514"/>
      <c r="H218" s="515">
        <f>SUM(H202:H217)</f>
        <v>76.389999999999986</v>
      </c>
      <c r="I218" s="516"/>
      <c r="J218" s="517"/>
      <c r="K218" s="518"/>
      <c r="L218" s="515">
        <f>SUM(L202:L217)</f>
        <v>63.070000000000007</v>
      </c>
      <c r="M218" s="516"/>
      <c r="N218" s="519">
        <f t="shared" si="67"/>
        <v>-13.319999999999979</v>
      </c>
      <c r="O218" s="520">
        <f t="shared" si="68"/>
        <v>-0.17436837282366777</v>
      </c>
      <c r="P218" s="509"/>
      <c r="Q218" s="509"/>
      <c r="R218" s="509"/>
      <c r="S218" s="509"/>
      <c r="T218" s="509"/>
    </row>
    <row r="219" spans="1:20" ht="25.5" x14ac:dyDescent="0.2">
      <c r="A219" s="480"/>
      <c r="B219" s="521" t="s">
        <v>509</v>
      </c>
      <c r="C219" s="495"/>
      <c r="D219" s="496" t="s">
        <v>500</v>
      </c>
      <c r="E219" s="497"/>
      <c r="F219" s="502">
        <v>-2.3E-3</v>
      </c>
      <c r="G219" s="608">
        <f>$F$197</f>
        <v>2000</v>
      </c>
      <c r="H219" s="500">
        <f>G219*F219</f>
        <v>-4.5999999999999996</v>
      </c>
      <c r="I219" s="501"/>
      <c r="J219" s="502">
        <v>-2E-3</v>
      </c>
      <c r="K219" s="608">
        <f>$F$197</f>
        <v>2000</v>
      </c>
      <c r="L219" s="500">
        <f>K219*J219</f>
        <v>-4</v>
      </c>
      <c r="M219" s="501"/>
      <c r="N219" s="504">
        <f>L219-H219</f>
        <v>0.59999999999999964</v>
      </c>
      <c r="O219" s="505">
        <f>IF((H219)=0,"",(N219/H219))*-1</f>
        <v>0.13043478260869559</v>
      </c>
      <c r="P219" s="480"/>
      <c r="Q219" s="480"/>
      <c r="R219" s="480"/>
      <c r="S219" s="480"/>
      <c r="T219" s="480"/>
    </row>
    <row r="220" spans="1:20" x14ac:dyDescent="0.2">
      <c r="A220" s="480"/>
      <c r="B220" s="521"/>
      <c r="C220" s="495"/>
      <c r="D220" s="496"/>
      <c r="E220" s="497"/>
      <c r="F220" s="498"/>
      <c r="G220" s="608">
        <f t="shared" ref="G220:G223" si="71">$F$197</f>
        <v>2000</v>
      </c>
      <c r="H220" s="500">
        <f t="shared" ref="H220:H222" si="72">G220*F220</f>
        <v>0</v>
      </c>
      <c r="I220" s="522"/>
      <c r="J220" s="502"/>
      <c r="K220" s="608">
        <f t="shared" ref="K220:K223" si="73">$F$197</f>
        <v>2000</v>
      </c>
      <c r="L220" s="500">
        <f t="shared" ref="L220:L222" si="74">K220*J220</f>
        <v>0</v>
      </c>
      <c r="M220" s="523"/>
      <c r="N220" s="504">
        <f t="shared" ref="N220:N222" si="75">L220-H220</f>
        <v>0</v>
      </c>
      <c r="O220" s="505" t="str">
        <f t="shared" ref="O220:O222" si="76">IF((H220)=0,"",(N220/H220))</f>
        <v/>
      </c>
      <c r="P220" s="480"/>
      <c r="Q220" s="480"/>
      <c r="R220" s="480"/>
      <c r="S220" s="480"/>
      <c r="T220" s="480"/>
    </row>
    <row r="221" spans="1:20" x14ac:dyDescent="0.2">
      <c r="A221" s="480"/>
      <c r="B221" s="521"/>
      <c r="C221" s="495"/>
      <c r="D221" s="496"/>
      <c r="E221" s="497"/>
      <c r="F221" s="498"/>
      <c r="G221" s="608">
        <f t="shared" si="71"/>
        <v>2000</v>
      </c>
      <c r="H221" s="500">
        <f t="shared" si="72"/>
        <v>0</v>
      </c>
      <c r="I221" s="522"/>
      <c r="J221" s="502"/>
      <c r="K221" s="608">
        <f t="shared" si="73"/>
        <v>2000</v>
      </c>
      <c r="L221" s="500">
        <f t="shared" si="74"/>
        <v>0</v>
      </c>
      <c r="M221" s="523"/>
      <c r="N221" s="504">
        <f t="shared" si="75"/>
        <v>0</v>
      </c>
      <c r="O221" s="505" t="str">
        <f t="shared" si="76"/>
        <v/>
      </c>
      <c r="P221" s="480"/>
      <c r="Q221" s="480"/>
      <c r="R221" s="480"/>
      <c r="S221" s="480"/>
      <c r="T221" s="480"/>
    </row>
    <row r="222" spans="1:20" x14ac:dyDescent="0.2">
      <c r="A222" s="480"/>
      <c r="B222" s="521"/>
      <c r="C222" s="495"/>
      <c r="D222" s="496"/>
      <c r="E222" s="497"/>
      <c r="F222" s="498"/>
      <c r="G222" s="608">
        <f t="shared" si="71"/>
        <v>2000</v>
      </c>
      <c r="H222" s="500">
        <f t="shared" si="72"/>
        <v>0</v>
      </c>
      <c r="I222" s="522"/>
      <c r="J222" s="502"/>
      <c r="K222" s="608">
        <f t="shared" si="73"/>
        <v>2000</v>
      </c>
      <c r="L222" s="500">
        <f t="shared" si="74"/>
        <v>0</v>
      </c>
      <c r="M222" s="523"/>
      <c r="N222" s="504">
        <f t="shared" si="75"/>
        <v>0</v>
      </c>
      <c r="O222" s="505" t="str">
        <f t="shared" si="76"/>
        <v/>
      </c>
      <c r="P222" s="480"/>
      <c r="Q222" s="480"/>
      <c r="R222" s="480"/>
      <c r="S222" s="480"/>
      <c r="T222" s="480"/>
    </row>
    <row r="223" spans="1:20" x14ac:dyDescent="0.2">
      <c r="A223" s="480"/>
      <c r="B223" s="524" t="s">
        <v>510</v>
      </c>
      <c r="C223" s="495"/>
      <c r="D223" s="496" t="s">
        <v>500</v>
      </c>
      <c r="E223" s="497"/>
      <c r="F223" s="498">
        <v>2.9999999999999997E-4</v>
      </c>
      <c r="G223" s="608">
        <f t="shared" si="71"/>
        <v>2000</v>
      </c>
      <c r="H223" s="500">
        <f>G223*F223</f>
        <v>0.6</v>
      </c>
      <c r="I223" s="501"/>
      <c r="J223" s="502">
        <v>4.0000000000000002E-4</v>
      </c>
      <c r="K223" s="608">
        <f t="shared" si="73"/>
        <v>2000</v>
      </c>
      <c r="L223" s="500">
        <f>K223*J223</f>
        <v>0.8</v>
      </c>
      <c r="M223" s="501"/>
      <c r="N223" s="504">
        <f>L223-H223</f>
        <v>0.20000000000000007</v>
      </c>
      <c r="O223" s="505">
        <f>IF((H223)=0,"",(N223/H223))</f>
        <v>0.33333333333333348</v>
      </c>
      <c r="P223" s="480"/>
      <c r="Q223" s="480"/>
      <c r="R223" s="480"/>
      <c r="S223" s="480"/>
      <c r="T223" s="480"/>
    </row>
    <row r="224" spans="1:20" x14ac:dyDescent="0.2">
      <c r="A224" s="480"/>
      <c r="B224" s="524" t="s">
        <v>511</v>
      </c>
      <c r="C224" s="495"/>
      <c r="D224" s="496" t="s">
        <v>500</v>
      </c>
      <c r="E224" s="497"/>
      <c r="F224" s="525">
        <f>IF(ISBLANK(D195)=TRUE, 0, IF(D195="TOU", 0.64*$F$110+0.18*$F$111+0.18*$F$112, IF(AND(D195="non-TOU",#REF!&gt; 0),#REF!,#REF!)))</f>
        <v>8.3919999999999995E-2</v>
      </c>
      <c r="G224" s="609">
        <f>$F$197*(1+$F$121)-$F$197</f>
        <v>136</v>
      </c>
      <c r="H224" s="500">
        <f t="shared" ref="H224" si="77">G224*F224</f>
        <v>11.413119999999999</v>
      </c>
      <c r="I224" s="501"/>
      <c r="J224" s="527">
        <f>0.64*$F$110+0.18*$F$111+0.18*$F$112</f>
        <v>8.3919999999999995E-2</v>
      </c>
      <c r="K224" s="609">
        <f>$F$197*(1+$J$121)-$F$197</f>
        <v>131</v>
      </c>
      <c r="L224" s="500">
        <f t="shared" ref="L224" si="78">K224*J224</f>
        <v>10.99352</v>
      </c>
      <c r="M224" s="501"/>
      <c r="N224" s="504">
        <f t="shared" ref="N224" si="79">L224-H224</f>
        <v>-0.41959999999999908</v>
      </c>
      <c r="O224" s="505">
        <f t="shared" ref="O224" si="80">IF((H224)=0,"",(N224/H224))</f>
        <v>-3.6764705882352866E-2</v>
      </c>
      <c r="P224" s="480"/>
      <c r="Q224" s="480"/>
      <c r="R224" s="480"/>
      <c r="S224" s="480"/>
      <c r="T224" s="480"/>
    </row>
    <row r="225" spans="1:20" x14ac:dyDescent="0.2">
      <c r="A225" s="480"/>
      <c r="B225" s="524" t="s">
        <v>512</v>
      </c>
      <c r="C225" s="495"/>
      <c r="D225" s="496" t="s">
        <v>497</v>
      </c>
      <c r="E225" s="497"/>
      <c r="F225" s="525">
        <v>0.79</v>
      </c>
      <c r="G225" s="499">
        <v>1</v>
      </c>
      <c r="H225" s="500">
        <f>G225*F225</f>
        <v>0.79</v>
      </c>
      <c r="I225" s="501"/>
      <c r="J225" s="525">
        <v>0.79</v>
      </c>
      <c r="K225" s="499">
        <v>1</v>
      </c>
      <c r="L225" s="500">
        <f>K225*J225</f>
        <v>0.79</v>
      </c>
      <c r="M225" s="501"/>
      <c r="N225" s="504">
        <f>L225-H225</f>
        <v>0</v>
      </c>
      <c r="O225" s="505"/>
      <c r="P225" s="480"/>
      <c r="Q225" s="480"/>
      <c r="R225" s="480"/>
      <c r="S225" s="480"/>
      <c r="T225" s="480"/>
    </row>
    <row r="226" spans="1:20" ht="25.5" x14ac:dyDescent="0.2">
      <c r="A226" s="480"/>
      <c r="B226" s="528" t="s">
        <v>513</v>
      </c>
      <c r="C226" s="529"/>
      <c r="D226" s="529"/>
      <c r="E226" s="529"/>
      <c r="F226" s="530"/>
      <c r="G226" s="531"/>
      <c r="H226" s="532">
        <f>SUM(H219:H225)+H218</f>
        <v>84.593119999999985</v>
      </c>
      <c r="I226" s="516"/>
      <c r="J226" s="531"/>
      <c r="K226" s="533"/>
      <c r="L226" s="532">
        <f>SUM(L219:L225)+L218</f>
        <v>71.653520000000015</v>
      </c>
      <c r="M226" s="516"/>
      <c r="N226" s="519">
        <f t="shared" ref="N226:N236" si="81">L226-H226</f>
        <v>-12.93959999999997</v>
      </c>
      <c r="O226" s="520">
        <f t="shared" ref="O226:O236" si="82">IF((H226)=0,"",(N226/H226))</f>
        <v>-0.15296279413739525</v>
      </c>
      <c r="P226" s="480"/>
      <c r="Q226" s="480"/>
      <c r="R226" s="480"/>
      <c r="S226" s="480"/>
      <c r="T226" s="480"/>
    </row>
    <row r="227" spans="1:20" x14ac:dyDescent="0.2">
      <c r="A227" s="480"/>
      <c r="B227" s="501" t="s">
        <v>514</v>
      </c>
      <c r="C227" s="501"/>
      <c r="D227" s="534" t="s">
        <v>500</v>
      </c>
      <c r="E227" s="535"/>
      <c r="F227" s="502">
        <v>5.7999999999999996E-3</v>
      </c>
      <c r="G227" s="536">
        <f>F197*(1+F245)</f>
        <v>2136</v>
      </c>
      <c r="H227" s="500">
        <f>G227*F227</f>
        <v>12.3888</v>
      </c>
      <c r="I227" s="501"/>
      <c r="J227" s="502">
        <v>6.1000000000000004E-3</v>
      </c>
      <c r="K227" s="537">
        <f>F197*(1+J245)</f>
        <v>2131</v>
      </c>
      <c r="L227" s="500">
        <f>K227*J227</f>
        <v>12.9991</v>
      </c>
      <c r="M227" s="501"/>
      <c r="N227" s="504">
        <f t="shared" si="81"/>
        <v>0.61030000000000051</v>
      </c>
      <c r="O227" s="505">
        <f t="shared" si="82"/>
        <v>4.9262236859098585E-2</v>
      </c>
      <c r="P227" s="480"/>
      <c r="Q227" s="480"/>
      <c r="R227" s="480"/>
      <c r="S227" s="480"/>
      <c r="T227" s="480"/>
    </row>
    <row r="228" spans="1:20" ht="30" x14ac:dyDescent="0.2">
      <c r="A228" s="480"/>
      <c r="B228" s="538" t="s">
        <v>515</v>
      </c>
      <c r="C228" s="501"/>
      <c r="D228" s="534" t="s">
        <v>500</v>
      </c>
      <c r="E228" s="535"/>
      <c r="F228" s="502">
        <v>4.4000000000000003E-3</v>
      </c>
      <c r="G228" s="536">
        <f>G227</f>
        <v>2136</v>
      </c>
      <c r="H228" s="500">
        <f>G228*F228</f>
        <v>9.3984000000000005</v>
      </c>
      <c r="I228" s="501"/>
      <c r="J228" s="502">
        <v>4.7999999999999996E-3</v>
      </c>
      <c r="K228" s="537">
        <f>K227</f>
        <v>2131</v>
      </c>
      <c r="L228" s="500">
        <f>K228*J228</f>
        <v>10.2288</v>
      </c>
      <c r="M228" s="501"/>
      <c r="N228" s="504">
        <f t="shared" si="81"/>
        <v>0.83039999999999914</v>
      </c>
      <c r="O228" s="505">
        <f t="shared" si="82"/>
        <v>8.8355464759959049E-2</v>
      </c>
      <c r="P228" s="480"/>
      <c r="Q228" s="480"/>
      <c r="R228" s="480"/>
      <c r="S228" s="480"/>
      <c r="T228" s="480"/>
    </row>
    <row r="229" spans="1:20" ht="25.5" x14ac:dyDescent="0.2">
      <c r="A229" s="480"/>
      <c r="B229" s="528" t="s">
        <v>516</v>
      </c>
      <c r="C229" s="511"/>
      <c r="D229" s="511"/>
      <c r="E229" s="511"/>
      <c r="F229" s="539"/>
      <c r="G229" s="531"/>
      <c r="H229" s="532">
        <f>SUM(H226:H228)</f>
        <v>106.38031999999998</v>
      </c>
      <c r="I229" s="540"/>
      <c r="J229" s="541"/>
      <c r="K229" s="542"/>
      <c r="L229" s="532">
        <f>SUM(L226:L228)</f>
        <v>94.88142000000002</v>
      </c>
      <c r="M229" s="540"/>
      <c r="N229" s="519">
        <f t="shared" si="81"/>
        <v>-11.498899999999963</v>
      </c>
      <c r="O229" s="520">
        <f t="shared" si="82"/>
        <v>-0.10809236144429689</v>
      </c>
      <c r="P229" s="480"/>
      <c r="Q229" s="480"/>
      <c r="R229" s="480"/>
      <c r="S229" s="480"/>
      <c r="T229" s="480"/>
    </row>
    <row r="230" spans="1:20" ht="30" x14ac:dyDescent="0.2">
      <c r="A230" s="480"/>
      <c r="B230" s="543" t="s">
        <v>517</v>
      </c>
      <c r="C230" s="495"/>
      <c r="D230" s="496" t="s">
        <v>500</v>
      </c>
      <c r="E230" s="497"/>
      <c r="F230" s="544">
        <v>4.4000000000000003E-3</v>
      </c>
      <c r="G230" s="536">
        <f>G228</f>
        <v>2136</v>
      </c>
      <c r="H230" s="545">
        <f t="shared" ref="H230:H236" si="83">G230*F230</f>
        <v>9.3984000000000005</v>
      </c>
      <c r="I230" s="501"/>
      <c r="J230" s="546">
        <v>4.4000000000000003E-3</v>
      </c>
      <c r="K230" s="537">
        <f>K228</f>
        <v>2131</v>
      </c>
      <c r="L230" s="545">
        <f t="shared" ref="L230:L236" si="84">K230*J230</f>
        <v>9.3764000000000003</v>
      </c>
      <c r="M230" s="501"/>
      <c r="N230" s="504">
        <f t="shared" si="81"/>
        <v>-2.2000000000000242E-2</v>
      </c>
      <c r="O230" s="547">
        <f t="shared" si="82"/>
        <v>-2.3408239700374789E-3</v>
      </c>
      <c r="P230" s="480"/>
      <c r="Q230" s="480"/>
      <c r="R230" s="480"/>
      <c r="S230" s="480"/>
      <c r="T230" s="480"/>
    </row>
    <row r="231" spans="1:20" ht="30" x14ac:dyDescent="0.2">
      <c r="A231" s="480"/>
      <c r="B231" s="543" t="s">
        <v>518</v>
      </c>
      <c r="C231" s="495"/>
      <c r="D231" s="496" t="s">
        <v>500</v>
      </c>
      <c r="E231" s="497"/>
      <c r="F231" s="544">
        <v>1.1999999999999999E-3</v>
      </c>
      <c r="G231" s="536">
        <f>G228</f>
        <v>2136</v>
      </c>
      <c r="H231" s="545">
        <f t="shared" si="83"/>
        <v>2.5631999999999997</v>
      </c>
      <c r="I231" s="501"/>
      <c r="J231" s="546">
        <v>1.2999999999999999E-3</v>
      </c>
      <c r="K231" s="537">
        <f>K228</f>
        <v>2131</v>
      </c>
      <c r="L231" s="545">
        <f t="shared" si="84"/>
        <v>2.7702999999999998</v>
      </c>
      <c r="M231" s="501"/>
      <c r="N231" s="504">
        <f t="shared" si="81"/>
        <v>0.20710000000000006</v>
      </c>
      <c r="O231" s="547">
        <f t="shared" si="82"/>
        <v>8.079744069912613E-2</v>
      </c>
      <c r="P231" s="480"/>
      <c r="Q231" s="480"/>
      <c r="R231" s="480"/>
      <c r="S231" s="480"/>
      <c r="T231" s="480"/>
    </row>
    <row r="232" spans="1:20" x14ac:dyDescent="0.2">
      <c r="A232" s="480"/>
      <c r="B232" s="495" t="s">
        <v>519</v>
      </c>
      <c r="C232" s="495"/>
      <c r="D232" s="496" t="s">
        <v>497</v>
      </c>
      <c r="E232" s="497"/>
      <c r="F232" s="544">
        <v>0.25</v>
      </c>
      <c r="G232" s="499">
        <v>1</v>
      </c>
      <c r="H232" s="545">
        <f t="shared" si="83"/>
        <v>0.25</v>
      </c>
      <c r="I232" s="501"/>
      <c r="J232" s="546">
        <v>0.25</v>
      </c>
      <c r="K232" s="503">
        <v>1</v>
      </c>
      <c r="L232" s="545">
        <f t="shared" si="84"/>
        <v>0.25</v>
      </c>
      <c r="M232" s="501"/>
      <c r="N232" s="504">
        <f t="shared" si="81"/>
        <v>0</v>
      </c>
      <c r="O232" s="547">
        <f t="shared" si="82"/>
        <v>0</v>
      </c>
      <c r="P232" s="480"/>
      <c r="Q232" s="480"/>
      <c r="R232" s="480"/>
      <c r="S232" s="480"/>
      <c r="T232" s="480"/>
    </row>
    <row r="233" spans="1:20" x14ac:dyDescent="0.2">
      <c r="A233" s="480"/>
      <c r="B233" s="495" t="s">
        <v>520</v>
      </c>
      <c r="C233" s="495"/>
      <c r="D233" s="496" t="s">
        <v>500</v>
      </c>
      <c r="E233" s="497"/>
      <c r="F233" s="544">
        <v>7.0000000000000001E-3</v>
      </c>
      <c r="G233" s="548">
        <f>F197</f>
        <v>2000</v>
      </c>
      <c r="H233" s="545">
        <f t="shared" si="83"/>
        <v>14</v>
      </c>
      <c r="I233" s="501"/>
      <c r="J233" s="546">
        <v>7.0000000000000001E-3</v>
      </c>
      <c r="K233" s="549">
        <f>F197</f>
        <v>2000</v>
      </c>
      <c r="L233" s="545">
        <f t="shared" si="84"/>
        <v>14</v>
      </c>
      <c r="M233" s="501"/>
      <c r="N233" s="504">
        <f t="shared" si="81"/>
        <v>0</v>
      </c>
      <c r="O233" s="547">
        <f t="shared" si="82"/>
        <v>0</v>
      </c>
      <c r="P233" s="480"/>
      <c r="Q233" s="480"/>
      <c r="R233" s="480"/>
      <c r="S233" s="480"/>
      <c r="T233" s="480"/>
    </row>
    <row r="234" spans="1:20" x14ac:dyDescent="0.2">
      <c r="A234" s="480"/>
      <c r="B234" s="524" t="s">
        <v>521</v>
      </c>
      <c r="C234" s="495"/>
      <c r="D234" s="496" t="s">
        <v>500</v>
      </c>
      <c r="E234" s="497"/>
      <c r="F234" s="550">
        <v>6.7000000000000004E-2</v>
      </c>
      <c r="G234" s="551">
        <f>0.64*$F$197</f>
        <v>1280</v>
      </c>
      <c r="H234" s="545">
        <f t="shared" si="83"/>
        <v>85.76</v>
      </c>
      <c r="I234" s="501"/>
      <c r="J234" s="544">
        <v>6.7000000000000004E-2</v>
      </c>
      <c r="K234" s="551">
        <f>G234</f>
        <v>1280</v>
      </c>
      <c r="L234" s="545">
        <f t="shared" si="84"/>
        <v>85.76</v>
      </c>
      <c r="M234" s="501"/>
      <c r="N234" s="504">
        <f t="shared" si="81"/>
        <v>0</v>
      </c>
      <c r="O234" s="547">
        <f t="shared" si="82"/>
        <v>0</v>
      </c>
      <c r="P234" s="480"/>
      <c r="Q234" s="480"/>
      <c r="R234" s="480"/>
      <c r="S234" s="552"/>
      <c r="T234" s="480"/>
    </row>
    <row r="235" spans="1:20" x14ac:dyDescent="0.2">
      <c r="A235" s="480"/>
      <c r="B235" s="524" t="s">
        <v>522</v>
      </c>
      <c r="C235" s="495"/>
      <c r="D235" s="496" t="s">
        <v>500</v>
      </c>
      <c r="E235" s="497"/>
      <c r="F235" s="550">
        <v>0.104</v>
      </c>
      <c r="G235" s="551">
        <f>0.18*$F$197</f>
        <v>360</v>
      </c>
      <c r="H235" s="545">
        <f t="shared" si="83"/>
        <v>37.44</v>
      </c>
      <c r="I235" s="501"/>
      <c r="J235" s="544">
        <v>0.104</v>
      </c>
      <c r="K235" s="551">
        <f>G235</f>
        <v>360</v>
      </c>
      <c r="L235" s="545">
        <f t="shared" si="84"/>
        <v>37.44</v>
      </c>
      <c r="M235" s="501"/>
      <c r="N235" s="504">
        <f t="shared" si="81"/>
        <v>0</v>
      </c>
      <c r="O235" s="547">
        <f t="shared" si="82"/>
        <v>0</v>
      </c>
      <c r="P235" s="480"/>
      <c r="Q235" s="480"/>
      <c r="R235" s="480"/>
      <c r="S235" s="552"/>
      <c r="T235" s="480"/>
    </row>
    <row r="236" spans="1:20" ht="15.75" thickBot="1" x14ac:dyDescent="0.25">
      <c r="A236" s="480"/>
      <c r="B236" s="485" t="s">
        <v>523</v>
      </c>
      <c r="C236" s="495"/>
      <c r="D236" s="496" t="s">
        <v>500</v>
      </c>
      <c r="E236" s="497"/>
      <c r="F236" s="550">
        <v>0.124</v>
      </c>
      <c r="G236" s="551">
        <f>0.18*$F$197</f>
        <v>360</v>
      </c>
      <c r="H236" s="545">
        <f t="shared" si="83"/>
        <v>44.64</v>
      </c>
      <c r="I236" s="501"/>
      <c r="J236" s="544">
        <v>0.124</v>
      </c>
      <c r="K236" s="551">
        <f>G236</f>
        <v>360</v>
      </c>
      <c r="L236" s="545">
        <f t="shared" si="84"/>
        <v>44.64</v>
      </c>
      <c r="M236" s="501"/>
      <c r="N236" s="504">
        <f t="shared" si="81"/>
        <v>0</v>
      </c>
      <c r="O236" s="547">
        <f t="shared" si="82"/>
        <v>0</v>
      </c>
      <c r="P236" s="480"/>
      <c r="Q236" s="480"/>
      <c r="R236" s="480"/>
      <c r="S236" s="552"/>
      <c r="T236" s="480"/>
    </row>
    <row r="237" spans="1:20" ht="15.75" thickBot="1" x14ac:dyDescent="0.25">
      <c r="A237" s="480"/>
      <c r="B237" s="553"/>
      <c r="C237" s="554"/>
      <c r="D237" s="555"/>
      <c r="E237" s="554"/>
      <c r="F237" s="556"/>
      <c r="G237" s="557"/>
      <c r="H237" s="558"/>
      <c r="I237" s="559"/>
      <c r="J237" s="556"/>
      <c r="K237" s="560"/>
      <c r="L237" s="558"/>
      <c r="M237" s="559"/>
      <c r="N237" s="561"/>
      <c r="O237" s="562"/>
      <c r="P237" s="480"/>
      <c r="Q237" s="480"/>
      <c r="R237" s="480"/>
      <c r="S237" s="480"/>
      <c r="T237" s="480"/>
    </row>
    <row r="238" spans="1:20" x14ac:dyDescent="0.2">
      <c r="A238" s="480"/>
      <c r="B238" s="563" t="s">
        <v>524</v>
      </c>
      <c r="C238" s="495"/>
      <c r="D238" s="495"/>
      <c r="E238" s="495"/>
      <c r="F238" s="564"/>
      <c r="G238" s="565"/>
      <c r="H238" s="566">
        <f>SUM(H230:H236,H229)</f>
        <v>300.43191999999999</v>
      </c>
      <c r="I238" s="567"/>
      <c r="J238" s="568"/>
      <c r="K238" s="568"/>
      <c r="L238" s="566">
        <f>SUM(L230:L236,L229)</f>
        <v>289.11811999999998</v>
      </c>
      <c r="M238" s="569"/>
      <c r="N238" s="570">
        <f t="shared" ref="N238:N242" si="85">L238-H238</f>
        <v>-11.313800000000015</v>
      </c>
      <c r="O238" s="571">
        <f t="shared" ref="O238:O242" si="86">IF((H238)=0,"",(N238/H238))</f>
        <v>-3.7658448543017718E-2</v>
      </c>
      <c r="P238" s="480"/>
      <c r="Q238" s="480"/>
      <c r="R238" s="480"/>
      <c r="S238" s="552"/>
      <c r="T238" s="480"/>
    </row>
    <row r="239" spans="1:20" x14ac:dyDescent="0.2">
      <c r="A239" s="480"/>
      <c r="B239" s="572" t="s">
        <v>525</v>
      </c>
      <c r="C239" s="495"/>
      <c r="D239" s="495"/>
      <c r="E239" s="495"/>
      <c r="F239" s="573">
        <v>0.13</v>
      </c>
      <c r="G239" s="574"/>
      <c r="H239" s="575">
        <f>H238*F239</f>
        <v>39.056149599999998</v>
      </c>
      <c r="I239" s="576"/>
      <c r="J239" s="577">
        <v>0.13</v>
      </c>
      <c r="K239" s="576"/>
      <c r="L239" s="578">
        <f>L238*J239</f>
        <v>37.5853556</v>
      </c>
      <c r="M239" s="579"/>
      <c r="N239" s="580">
        <f t="shared" si="85"/>
        <v>-1.4707939999999979</v>
      </c>
      <c r="O239" s="581">
        <f t="shared" si="86"/>
        <v>-3.7658448543017614E-2</v>
      </c>
      <c r="P239" s="480"/>
      <c r="Q239" s="480"/>
      <c r="R239" s="480"/>
      <c r="S239" s="552"/>
      <c r="T239" s="480"/>
    </row>
    <row r="240" spans="1:20" x14ac:dyDescent="0.2">
      <c r="A240" s="480"/>
      <c r="B240" s="582" t="s">
        <v>526</v>
      </c>
      <c r="C240" s="495"/>
      <c r="D240" s="495"/>
      <c r="E240" s="495"/>
      <c r="F240" s="583"/>
      <c r="G240" s="574"/>
      <c r="H240" s="575">
        <f>H238+H239</f>
        <v>339.48806960000002</v>
      </c>
      <c r="I240" s="576"/>
      <c r="J240" s="576"/>
      <c r="K240" s="576"/>
      <c r="L240" s="578">
        <f>L238+L239</f>
        <v>326.70347559999999</v>
      </c>
      <c r="M240" s="579"/>
      <c r="N240" s="580">
        <f t="shared" si="85"/>
        <v>-12.784594000000027</v>
      </c>
      <c r="O240" s="581">
        <f t="shared" si="86"/>
        <v>-3.7658448543017746E-2</v>
      </c>
      <c r="P240" s="480"/>
      <c r="Q240" s="480"/>
      <c r="R240" s="480"/>
      <c r="S240" s="552"/>
      <c r="T240" s="480"/>
    </row>
    <row r="241" spans="1:20" x14ac:dyDescent="0.2">
      <c r="A241" s="480"/>
      <c r="B241" s="964" t="s">
        <v>527</v>
      </c>
      <c r="C241" s="964"/>
      <c r="D241" s="964"/>
      <c r="E241" s="495"/>
      <c r="F241" s="583"/>
      <c r="G241" s="574"/>
      <c r="H241" s="584">
        <f>ROUND(-H240*10%,2)</f>
        <v>-33.950000000000003</v>
      </c>
      <c r="I241" s="576"/>
      <c r="J241" s="576"/>
      <c r="K241" s="576"/>
      <c r="L241" s="585">
        <f>ROUND(-L240*10%,2)</f>
        <v>-32.67</v>
      </c>
      <c r="M241" s="579"/>
      <c r="N241" s="586">
        <f t="shared" si="85"/>
        <v>1.2800000000000011</v>
      </c>
      <c r="O241" s="587">
        <f t="shared" si="86"/>
        <v>-3.7702503681885158E-2</v>
      </c>
      <c r="P241" s="480"/>
      <c r="Q241" s="480"/>
      <c r="R241" s="480"/>
      <c r="S241" s="480"/>
      <c r="T241" s="480"/>
    </row>
    <row r="242" spans="1:20" ht="15.75" thickBot="1" x14ac:dyDescent="0.25">
      <c r="A242" s="480"/>
      <c r="B242" s="965" t="s">
        <v>528</v>
      </c>
      <c r="C242" s="965"/>
      <c r="D242" s="965"/>
      <c r="E242" s="588"/>
      <c r="F242" s="589"/>
      <c r="G242" s="590"/>
      <c r="H242" s="591">
        <f>H240+H241</f>
        <v>305.53806960000003</v>
      </c>
      <c r="I242" s="592"/>
      <c r="J242" s="592"/>
      <c r="K242" s="592"/>
      <c r="L242" s="593">
        <f>L240+L241</f>
        <v>294.03347559999997</v>
      </c>
      <c r="M242" s="594"/>
      <c r="N242" s="595">
        <f t="shared" si="85"/>
        <v>-11.504594000000054</v>
      </c>
      <c r="O242" s="596">
        <f t="shared" si="86"/>
        <v>-3.7653553336451574E-2</v>
      </c>
      <c r="P242" s="480"/>
      <c r="Q242" s="480"/>
      <c r="R242" s="480"/>
      <c r="S242" s="480"/>
      <c r="T242" s="480"/>
    </row>
    <row r="243" spans="1:20" ht="15.75" thickBot="1" x14ac:dyDescent="0.25">
      <c r="A243" s="597"/>
      <c r="B243" s="598"/>
      <c r="C243" s="599"/>
      <c r="D243" s="600"/>
      <c r="E243" s="599"/>
      <c r="F243" s="556"/>
      <c r="G243" s="601"/>
      <c r="H243" s="558"/>
      <c r="I243" s="602"/>
      <c r="J243" s="556"/>
      <c r="K243" s="603"/>
      <c r="L243" s="558"/>
      <c r="M243" s="602"/>
      <c r="N243" s="604"/>
      <c r="O243" s="562"/>
      <c r="P243" s="597"/>
      <c r="Q243" s="597"/>
      <c r="R243" s="597"/>
      <c r="S243" s="597"/>
      <c r="T243" s="597"/>
    </row>
    <row r="244" spans="1:20" x14ac:dyDescent="0.2">
      <c r="A244" s="480"/>
      <c r="B244" s="480"/>
      <c r="C244" s="480"/>
      <c r="D244" s="480"/>
      <c r="E244" s="480"/>
      <c r="F244" s="480"/>
      <c r="G244" s="480"/>
      <c r="H244" s="480"/>
      <c r="I244" s="480"/>
      <c r="J244" s="480"/>
      <c r="K244" s="480"/>
      <c r="L244" s="552"/>
      <c r="M244" s="480"/>
      <c r="N244" s="480"/>
      <c r="O244" s="480"/>
      <c r="P244" s="480"/>
      <c r="Q244" s="480"/>
      <c r="R244" s="480"/>
      <c r="S244" s="480"/>
      <c r="T244" s="480"/>
    </row>
    <row r="245" spans="1:20" x14ac:dyDescent="0.2">
      <c r="A245" s="480"/>
      <c r="B245" s="486" t="s">
        <v>529</v>
      </c>
      <c r="C245" s="480"/>
      <c r="D245" s="480"/>
      <c r="E245" s="480"/>
      <c r="F245" s="605">
        <v>6.8000000000000005E-2</v>
      </c>
      <c r="G245" s="480"/>
      <c r="H245" s="480"/>
      <c r="I245" s="480"/>
      <c r="J245" s="605">
        <v>6.5500000000000003E-2</v>
      </c>
      <c r="K245" s="480"/>
      <c r="L245" s="480"/>
      <c r="M245" s="480"/>
      <c r="N245" s="480"/>
      <c r="O245" s="480"/>
      <c r="P245" s="480"/>
      <c r="Q245" s="480"/>
      <c r="R245" s="480"/>
      <c r="S245" s="480"/>
      <c r="T245" s="480"/>
    </row>
    <row r="246" spans="1:20" x14ac:dyDescent="0.2">
      <c r="A246" s="480"/>
      <c r="B246" s="480"/>
      <c r="C246" s="480"/>
      <c r="D246" s="480"/>
      <c r="E246" s="480"/>
      <c r="F246" s="480"/>
      <c r="G246" s="480"/>
      <c r="H246" s="480"/>
      <c r="I246" s="480"/>
      <c r="J246" s="480"/>
      <c r="K246" s="480"/>
      <c r="L246" s="480"/>
      <c r="M246" s="480"/>
      <c r="N246" s="480"/>
      <c r="O246" s="480"/>
      <c r="P246" s="480"/>
      <c r="Q246" s="480"/>
      <c r="R246" s="480"/>
      <c r="S246" s="480"/>
      <c r="T246" s="480"/>
    </row>
    <row r="247" spans="1:20" x14ac:dyDescent="0.2">
      <c r="A247" s="606" t="s">
        <v>531</v>
      </c>
      <c r="B247" s="480"/>
      <c r="C247" s="480"/>
      <c r="D247" s="480"/>
      <c r="E247" s="480"/>
      <c r="F247" s="480"/>
      <c r="G247" s="480"/>
      <c r="H247" s="480"/>
      <c r="I247" s="480"/>
      <c r="J247" s="480"/>
      <c r="K247" s="480"/>
      <c r="L247" s="480"/>
      <c r="M247" s="480"/>
      <c r="N247" s="480"/>
      <c r="O247" s="480"/>
      <c r="P247" s="480"/>
      <c r="Q247" s="480"/>
      <c r="R247" s="480"/>
      <c r="S247" s="480"/>
      <c r="T247" s="480"/>
    </row>
    <row r="248" spans="1:20" x14ac:dyDescent="0.2">
      <c r="A248" s="480"/>
      <c r="B248" s="480"/>
      <c r="C248" s="480"/>
      <c r="D248" s="480"/>
      <c r="E248" s="480"/>
      <c r="F248" s="480"/>
      <c r="G248" s="480"/>
      <c r="H248" s="480"/>
      <c r="I248" s="480"/>
      <c r="J248" s="480"/>
      <c r="K248" s="480"/>
      <c r="L248" s="480"/>
      <c r="M248" s="480"/>
      <c r="N248" s="480"/>
      <c r="O248" s="480"/>
      <c r="P248" s="480"/>
      <c r="Q248" s="480"/>
      <c r="R248" s="480"/>
      <c r="S248" s="480"/>
      <c r="T248" s="480"/>
    </row>
    <row r="249" spans="1:20" ht="15.75" x14ac:dyDescent="0.2">
      <c r="A249" s="480"/>
      <c r="B249" s="481" t="s">
        <v>480</v>
      </c>
      <c r="C249" s="480"/>
      <c r="D249" s="966" t="s">
        <v>544</v>
      </c>
      <c r="E249" s="966"/>
      <c r="F249" s="966"/>
      <c r="G249" s="966"/>
      <c r="H249" s="966"/>
      <c r="I249" s="966"/>
      <c r="J249" s="966"/>
      <c r="K249" s="966"/>
      <c r="L249" s="966"/>
      <c r="M249" s="966"/>
      <c r="N249" s="966"/>
      <c r="O249" s="966"/>
      <c r="P249" s="480"/>
      <c r="Q249" s="480"/>
      <c r="R249" s="480"/>
      <c r="S249" s="480"/>
      <c r="T249" s="480"/>
    </row>
    <row r="250" spans="1:20" ht="15.75" x14ac:dyDescent="0.25">
      <c r="A250" s="480"/>
      <c r="B250" s="482"/>
      <c r="C250" s="480"/>
      <c r="D250" s="483"/>
      <c r="E250" s="483"/>
      <c r="F250" s="483"/>
      <c r="G250" s="483"/>
      <c r="H250" s="483"/>
      <c r="I250" s="483"/>
      <c r="J250" s="483"/>
      <c r="K250" s="483"/>
      <c r="L250" s="483"/>
      <c r="M250" s="483"/>
      <c r="N250" s="483"/>
      <c r="O250" s="483"/>
      <c r="P250" s="480"/>
      <c r="Q250" s="480"/>
      <c r="R250" s="480"/>
      <c r="S250" s="480"/>
      <c r="T250" s="480"/>
    </row>
    <row r="251" spans="1:20" ht="15.75" x14ac:dyDescent="0.25">
      <c r="A251" s="480"/>
      <c r="B251" s="481" t="s">
        <v>482</v>
      </c>
      <c r="C251" s="480"/>
      <c r="D251" s="484" t="s">
        <v>483</v>
      </c>
      <c r="E251" s="483"/>
      <c r="F251" s="483"/>
      <c r="G251" s="483"/>
      <c r="H251" s="483"/>
      <c r="I251" s="483"/>
      <c r="J251" s="483"/>
      <c r="K251" s="483"/>
      <c r="L251" s="483"/>
      <c r="M251" s="483"/>
      <c r="N251" s="483"/>
      <c r="O251" s="483"/>
      <c r="P251" s="480"/>
      <c r="Q251" s="480"/>
      <c r="R251" s="480"/>
      <c r="S251" s="480"/>
      <c r="T251" s="480"/>
    </row>
    <row r="252" spans="1:20" ht="15.75" x14ac:dyDescent="0.25">
      <c r="A252" s="480"/>
      <c r="B252" s="482"/>
      <c r="C252" s="480"/>
      <c r="D252" s="483"/>
      <c r="E252" s="483"/>
      <c r="F252" s="483"/>
      <c r="G252" s="483"/>
      <c r="H252" s="483"/>
      <c r="I252" s="483"/>
      <c r="J252" s="483"/>
      <c r="K252" s="483"/>
      <c r="L252" s="483"/>
      <c r="M252" s="483"/>
      <c r="N252" s="483"/>
      <c r="O252" s="483"/>
      <c r="P252" s="480"/>
      <c r="Q252" s="480"/>
      <c r="R252" s="480"/>
      <c r="S252" s="480"/>
      <c r="T252" s="480"/>
    </row>
    <row r="253" spans="1:20" x14ac:dyDescent="0.2">
      <c r="A253" s="480"/>
      <c r="B253" s="485"/>
      <c r="C253" s="480"/>
      <c r="D253" s="486" t="s">
        <v>484</v>
      </c>
      <c r="E253" s="486"/>
      <c r="F253" s="487">
        <v>5000</v>
      </c>
      <c r="G253" s="486" t="s">
        <v>485</v>
      </c>
      <c r="H253" s="480"/>
      <c r="I253" s="480"/>
      <c r="J253" s="480"/>
      <c r="K253" s="480"/>
      <c r="L253" s="480"/>
      <c r="M253" s="480"/>
      <c r="N253" s="480"/>
      <c r="O253" s="480"/>
      <c r="P253" s="480"/>
      <c r="Q253" s="480"/>
      <c r="R253" s="480"/>
      <c r="S253" s="480"/>
      <c r="T253" s="480"/>
    </row>
    <row r="254" spans="1:20" x14ac:dyDescent="0.2">
      <c r="A254" s="480"/>
      <c r="B254" s="485"/>
      <c r="C254" s="480"/>
      <c r="D254" s="480"/>
      <c r="E254" s="480"/>
      <c r="F254" s="480"/>
      <c r="G254" s="480"/>
      <c r="H254" s="480"/>
      <c r="I254" s="480"/>
      <c r="J254" s="480"/>
      <c r="K254" s="480"/>
      <c r="L254" s="480"/>
      <c r="M254" s="480"/>
      <c r="N254" s="480"/>
      <c r="O254" s="480"/>
      <c r="P254" s="480"/>
      <c r="Q254" s="480"/>
      <c r="R254" s="480"/>
      <c r="S254" s="480"/>
      <c r="T254" s="480"/>
    </row>
    <row r="255" spans="1:20" x14ac:dyDescent="0.2">
      <c r="A255" s="480"/>
      <c r="B255" s="485"/>
      <c r="C255" s="480"/>
      <c r="D255" s="488"/>
      <c r="E255" s="488"/>
      <c r="F255" s="967" t="s">
        <v>486</v>
      </c>
      <c r="G255" s="968"/>
      <c r="H255" s="969"/>
      <c r="I255" s="480"/>
      <c r="J255" s="967" t="s">
        <v>487</v>
      </c>
      <c r="K255" s="968"/>
      <c r="L255" s="969"/>
      <c r="M255" s="480"/>
      <c r="N255" s="967" t="s">
        <v>488</v>
      </c>
      <c r="O255" s="969"/>
      <c r="P255" s="480"/>
      <c r="Q255" s="480"/>
      <c r="R255" s="480"/>
      <c r="S255" s="480"/>
      <c r="T255" s="480"/>
    </row>
    <row r="256" spans="1:20" x14ac:dyDescent="0.2">
      <c r="A256" s="480"/>
      <c r="B256" s="485"/>
      <c r="C256" s="480"/>
      <c r="D256" s="958" t="s">
        <v>489</v>
      </c>
      <c r="E256" s="489"/>
      <c r="F256" s="490" t="s">
        <v>490</v>
      </c>
      <c r="G256" s="490" t="s">
        <v>491</v>
      </c>
      <c r="H256" s="491" t="s">
        <v>492</v>
      </c>
      <c r="I256" s="480"/>
      <c r="J256" s="490" t="s">
        <v>490</v>
      </c>
      <c r="K256" s="492" t="s">
        <v>491</v>
      </c>
      <c r="L256" s="491" t="s">
        <v>492</v>
      </c>
      <c r="M256" s="480"/>
      <c r="N256" s="960" t="s">
        <v>493</v>
      </c>
      <c r="O256" s="962" t="s">
        <v>494</v>
      </c>
      <c r="P256" s="480"/>
      <c r="Q256" s="480"/>
      <c r="R256" s="480"/>
      <c r="S256" s="480"/>
      <c r="T256" s="480"/>
    </row>
    <row r="257" spans="1:20" x14ac:dyDescent="0.2">
      <c r="A257" s="480"/>
      <c r="B257" s="485"/>
      <c r="C257" s="480"/>
      <c r="D257" s="959"/>
      <c r="E257" s="489"/>
      <c r="F257" s="493" t="s">
        <v>495</v>
      </c>
      <c r="G257" s="493"/>
      <c r="H257" s="494" t="s">
        <v>495</v>
      </c>
      <c r="I257" s="480"/>
      <c r="J257" s="493" t="s">
        <v>495</v>
      </c>
      <c r="K257" s="494"/>
      <c r="L257" s="494" t="s">
        <v>495</v>
      </c>
      <c r="M257" s="480"/>
      <c r="N257" s="961"/>
      <c r="O257" s="963"/>
      <c r="P257" s="480"/>
      <c r="Q257" s="480"/>
      <c r="R257" s="480"/>
      <c r="S257" s="480"/>
      <c r="T257" s="480"/>
    </row>
    <row r="258" spans="1:20" x14ac:dyDescent="0.2">
      <c r="A258" s="480"/>
      <c r="B258" s="495" t="s">
        <v>496</v>
      </c>
      <c r="C258" s="495"/>
      <c r="D258" s="496" t="s">
        <v>497</v>
      </c>
      <c r="E258" s="497"/>
      <c r="F258" s="498">
        <v>29.04</v>
      </c>
      <c r="G258" s="499">
        <v>1</v>
      </c>
      <c r="H258" s="500">
        <f>G258*F258</f>
        <v>29.04</v>
      </c>
      <c r="I258" s="501"/>
      <c r="J258" s="502">
        <v>25.27</v>
      </c>
      <c r="K258" s="503">
        <v>1</v>
      </c>
      <c r="L258" s="500">
        <f>K258*J258</f>
        <v>25.27</v>
      </c>
      <c r="M258" s="501"/>
      <c r="N258" s="504">
        <f>L258-H258</f>
        <v>-3.7699999999999996</v>
      </c>
      <c r="O258" s="505">
        <f>IF((H258)=0,"",(N258/H258))</f>
        <v>-0.12982093663911845</v>
      </c>
      <c r="P258" s="480"/>
      <c r="Q258" s="480"/>
      <c r="R258" s="480"/>
      <c r="S258" s="480"/>
      <c r="T258" s="480"/>
    </row>
    <row r="259" spans="1:20" x14ac:dyDescent="0.2">
      <c r="A259" s="480"/>
      <c r="B259" s="495" t="s">
        <v>498</v>
      </c>
      <c r="C259" s="495"/>
      <c r="D259" s="496" t="s">
        <v>497</v>
      </c>
      <c r="E259" s="497"/>
      <c r="F259" s="498">
        <v>9.15</v>
      </c>
      <c r="G259" s="499">
        <v>1</v>
      </c>
      <c r="H259" s="500">
        <f t="shared" ref="H259:H273" si="87">G259*F259</f>
        <v>9.15</v>
      </c>
      <c r="I259" s="501"/>
      <c r="J259" s="502"/>
      <c r="K259" s="503">
        <v>1</v>
      </c>
      <c r="L259" s="500">
        <f>K259*J259</f>
        <v>0</v>
      </c>
      <c r="M259" s="501"/>
      <c r="N259" s="504">
        <f>L259-H259</f>
        <v>-9.15</v>
      </c>
      <c r="O259" s="505">
        <f>IF((H259)=0,"",(N259/H259))</f>
        <v>-1</v>
      </c>
      <c r="P259" s="480"/>
      <c r="Q259" s="480"/>
      <c r="R259" s="480"/>
      <c r="S259" s="480"/>
      <c r="T259" s="480"/>
    </row>
    <row r="260" spans="1:20" x14ac:dyDescent="0.2">
      <c r="A260" s="480"/>
      <c r="B260" s="506"/>
      <c r="C260" s="495"/>
      <c r="D260" s="496"/>
      <c r="E260" s="497"/>
      <c r="F260" s="498"/>
      <c r="G260" s="499">
        <v>1</v>
      </c>
      <c r="H260" s="500">
        <f t="shared" si="87"/>
        <v>0</v>
      </c>
      <c r="I260" s="501"/>
      <c r="J260" s="502"/>
      <c r="K260" s="503">
        <v>1</v>
      </c>
      <c r="L260" s="500">
        <f t="shared" ref="L260:L273" si="88">K260*J260</f>
        <v>0</v>
      </c>
      <c r="M260" s="501"/>
      <c r="N260" s="504">
        <f t="shared" ref="N260:N274" si="89">L260-H260</f>
        <v>0</v>
      </c>
      <c r="O260" s="505" t="str">
        <f t="shared" ref="O260:O274" si="90">IF((H260)=0,"",(N260/H260))</f>
        <v/>
      </c>
      <c r="P260" s="480"/>
      <c r="Q260" s="480"/>
      <c r="R260" s="480"/>
      <c r="S260" s="480"/>
      <c r="T260" s="480"/>
    </row>
    <row r="261" spans="1:20" x14ac:dyDescent="0.2">
      <c r="A261" s="480"/>
      <c r="B261" s="506"/>
      <c r="C261" s="495"/>
      <c r="D261" s="496"/>
      <c r="E261" s="497"/>
      <c r="F261" s="498"/>
      <c r="G261" s="499">
        <v>1</v>
      </c>
      <c r="H261" s="500">
        <f t="shared" si="87"/>
        <v>0</v>
      </c>
      <c r="I261" s="501"/>
      <c r="J261" s="502"/>
      <c r="K261" s="503">
        <v>1</v>
      </c>
      <c r="L261" s="500">
        <f t="shared" si="88"/>
        <v>0</v>
      </c>
      <c r="M261" s="501"/>
      <c r="N261" s="504">
        <f t="shared" si="89"/>
        <v>0</v>
      </c>
      <c r="O261" s="505" t="str">
        <f t="shared" si="90"/>
        <v/>
      </c>
      <c r="P261" s="480"/>
      <c r="Q261" s="480"/>
      <c r="R261" s="480"/>
      <c r="S261" s="480"/>
      <c r="T261" s="480"/>
    </row>
    <row r="262" spans="1:20" x14ac:dyDescent="0.2">
      <c r="A262" s="480"/>
      <c r="B262" s="506"/>
      <c r="C262" s="495"/>
      <c r="D262" s="496"/>
      <c r="E262" s="497"/>
      <c r="F262" s="498"/>
      <c r="G262" s="499">
        <v>1</v>
      </c>
      <c r="H262" s="500">
        <f t="shared" si="87"/>
        <v>0</v>
      </c>
      <c r="I262" s="501"/>
      <c r="J262" s="502"/>
      <c r="K262" s="503">
        <v>1</v>
      </c>
      <c r="L262" s="500">
        <f t="shared" si="88"/>
        <v>0</v>
      </c>
      <c r="M262" s="501"/>
      <c r="N262" s="504">
        <f t="shared" si="89"/>
        <v>0</v>
      </c>
      <c r="O262" s="505" t="str">
        <f t="shared" si="90"/>
        <v/>
      </c>
      <c r="P262" s="480"/>
      <c r="Q262" s="480"/>
      <c r="R262" s="480"/>
      <c r="S262" s="480"/>
      <c r="T262" s="480"/>
    </row>
    <row r="263" spans="1:20" x14ac:dyDescent="0.2">
      <c r="A263" s="480"/>
      <c r="B263" s="506"/>
      <c r="C263" s="495"/>
      <c r="D263" s="496"/>
      <c r="E263" s="497"/>
      <c r="F263" s="498"/>
      <c r="G263" s="499">
        <v>1</v>
      </c>
      <c r="H263" s="500">
        <f t="shared" si="87"/>
        <v>0</v>
      </c>
      <c r="I263" s="501"/>
      <c r="J263" s="502"/>
      <c r="K263" s="503">
        <v>1</v>
      </c>
      <c r="L263" s="500">
        <f t="shared" si="88"/>
        <v>0</v>
      </c>
      <c r="M263" s="501"/>
      <c r="N263" s="504">
        <f t="shared" si="89"/>
        <v>0</v>
      </c>
      <c r="O263" s="505" t="str">
        <f t="shared" si="90"/>
        <v/>
      </c>
      <c r="P263" s="480"/>
      <c r="Q263" s="480"/>
      <c r="R263" s="480"/>
      <c r="S263" s="480"/>
      <c r="T263" s="480"/>
    </row>
    <row r="264" spans="1:20" x14ac:dyDescent="0.2">
      <c r="A264" s="480"/>
      <c r="B264" s="495" t="s">
        <v>499</v>
      </c>
      <c r="C264" s="495"/>
      <c r="D264" s="496" t="s">
        <v>500</v>
      </c>
      <c r="E264" s="497"/>
      <c r="F264" s="498">
        <v>2.0500000000000001E-2</v>
      </c>
      <c r="G264" s="608">
        <f>$F$197</f>
        <v>2000</v>
      </c>
      <c r="H264" s="500">
        <f t="shared" si="87"/>
        <v>41</v>
      </c>
      <c r="I264" s="501"/>
      <c r="J264" s="502">
        <v>1.78E-2</v>
      </c>
      <c r="K264" s="608">
        <f>$F$197</f>
        <v>2000</v>
      </c>
      <c r="L264" s="500">
        <f t="shared" si="88"/>
        <v>35.6</v>
      </c>
      <c r="M264" s="501"/>
      <c r="N264" s="504">
        <f t="shared" si="89"/>
        <v>-5.3999999999999986</v>
      </c>
      <c r="O264" s="505">
        <f t="shared" si="90"/>
        <v>-0.13170731707317071</v>
      </c>
      <c r="P264" s="480"/>
      <c r="Q264" s="480"/>
      <c r="R264" s="480"/>
      <c r="S264" s="480"/>
      <c r="T264" s="480"/>
    </row>
    <row r="265" spans="1:20" x14ac:dyDescent="0.2">
      <c r="A265" s="480"/>
      <c r="B265" s="495" t="s">
        <v>501</v>
      </c>
      <c r="C265" s="495"/>
      <c r="D265" s="496"/>
      <c r="E265" s="497"/>
      <c r="F265" s="498"/>
      <c r="G265" s="608">
        <f t="shared" ref="G265:G273" si="91">$F$197</f>
        <v>2000</v>
      </c>
      <c r="H265" s="500">
        <f t="shared" si="87"/>
        <v>0</v>
      </c>
      <c r="I265" s="501"/>
      <c r="J265" s="502"/>
      <c r="K265" s="608">
        <f t="shared" ref="K265:K273" si="92">$F$197</f>
        <v>2000</v>
      </c>
      <c r="L265" s="500">
        <f t="shared" si="88"/>
        <v>0</v>
      </c>
      <c r="M265" s="501"/>
      <c r="N265" s="504">
        <f t="shared" si="89"/>
        <v>0</v>
      </c>
      <c r="O265" s="505" t="str">
        <f t="shared" si="90"/>
        <v/>
      </c>
      <c r="P265" s="480"/>
      <c r="Q265" s="480"/>
      <c r="R265" s="480"/>
      <c r="S265" s="480"/>
      <c r="T265" s="480"/>
    </row>
    <row r="266" spans="1:20" x14ac:dyDescent="0.2">
      <c r="A266" s="480"/>
      <c r="B266" s="495" t="s">
        <v>502</v>
      </c>
      <c r="C266" s="495"/>
      <c r="D266" s="496"/>
      <c r="E266" s="497"/>
      <c r="F266" s="498"/>
      <c r="G266" s="608">
        <f t="shared" si="91"/>
        <v>2000</v>
      </c>
      <c r="H266" s="500">
        <f t="shared" si="87"/>
        <v>0</v>
      </c>
      <c r="I266" s="501"/>
      <c r="J266" s="502"/>
      <c r="K266" s="608">
        <f t="shared" si="92"/>
        <v>2000</v>
      </c>
      <c r="L266" s="500">
        <f t="shared" si="88"/>
        <v>0</v>
      </c>
      <c r="M266" s="501"/>
      <c r="N266" s="504">
        <f t="shared" si="89"/>
        <v>0</v>
      </c>
      <c r="O266" s="505" t="str">
        <f t="shared" si="90"/>
        <v/>
      </c>
      <c r="P266" s="480"/>
      <c r="Q266" s="480"/>
      <c r="R266" s="480"/>
      <c r="S266" s="480"/>
      <c r="T266" s="480"/>
    </row>
    <row r="267" spans="1:20" x14ac:dyDescent="0.2">
      <c r="A267" s="480"/>
      <c r="B267" s="507" t="s">
        <v>503</v>
      </c>
      <c r="C267" s="495"/>
      <c r="D267" s="496" t="s">
        <v>500</v>
      </c>
      <c r="E267" s="497"/>
      <c r="F267" s="498">
        <v>-2.0000000000000001E-4</v>
      </c>
      <c r="G267" s="608">
        <f t="shared" si="91"/>
        <v>2000</v>
      </c>
      <c r="H267" s="500">
        <f t="shared" si="87"/>
        <v>-0.4</v>
      </c>
      <c r="I267" s="501"/>
      <c r="J267" s="502"/>
      <c r="K267" s="608">
        <f t="shared" si="92"/>
        <v>2000</v>
      </c>
      <c r="L267" s="500">
        <f t="shared" si="88"/>
        <v>0</v>
      </c>
      <c r="M267" s="501"/>
      <c r="N267" s="504">
        <f t="shared" si="89"/>
        <v>0.4</v>
      </c>
      <c r="O267" s="505">
        <f t="shared" si="90"/>
        <v>-1</v>
      </c>
      <c r="P267" s="480"/>
      <c r="Q267" s="480"/>
      <c r="R267" s="480"/>
      <c r="S267" s="480"/>
      <c r="T267" s="480"/>
    </row>
    <row r="268" spans="1:20" x14ac:dyDescent="0.2">
      <c r="A268" s="480"/>
      <c r="B268" s="507" t="s">
        <v>504</v>
      </c>
      <c r="C268" s="495"/>
      <c r="D268" s="496" t="s">
        <v>500</v>
      </c>
      <c r="E268" s="497"/>
      <c r="F268" s="498">
        <v>-1.1999999999999999E-3</v>
      </c>
      <c r="G268" s="608">
        <f t="shared" si="91"/>
        <v>2000</v>
      </c>
      <c r="H268" s="500">
        <f t="shared" si="87"/>
        <v>-2.4</v>
      </c>
      <c r="I268" s="501"/>
      <c r="J268" s="502"/>
      <c r="K268" s="608">
        <f t="shared" si="92"/>
        <v>2000</v>
      </c>
      <c r="L268" s="500">
        <f t="shared" si="88"/>
        <v>0</v>
      </c>
      <c r="M268" s="501"/>
      <c r="N268" s="504">
        <f t="shared" si="89"/>
        <v>2.4</v>
      </c>
      <c r="O268" s="505">
        <f t="shared" si="90"/>
        <v>-1</v>
      </c>
      <c r="P268" s="480"/>
      <c r="Q268" s="480"/>
      <c r="R268" s="480"/>
      <c r="S268" s="480"/>
      <c r="T268" s="480"/>
    </row>
    <row r="269" spans="1:20" x14ac:dyDescent="0.2">
      <c r="A269" s="480"/>
      <c r="B269" s="507" t="s">
        <v>505</v>
      </c>
      <c r="C269" s="495"/>
      <c r="D269" s="496" t="s">
        <v>500</v>
      </c>
      <c r="E269" s="497"/>
      <c r="F269" s="498"/>
      <c r="G269" s="608">
        <f t="shared" si="91"/>
        <v>2000</v>
      </c>
      <c r="H269" s="500">
        <f t="shared" si="87"/>
        <v>0</v>
      </c>
      <c r="I269" s="501"/>
      <c r="J269" s="502">
        <v>1.9E-3</v>
      </c>
      <c r="K269" s="608">
        <f t="shared" si="92"/>
        <v>2000</v>
      </c>
      <c r="L269" s="500">
        <f t="shared" si="88"/>
        <v>3.8</v>
      </c>
      <c r="M269" s="501"/>
      <c r="N269" s="504">
        <f t="shared" si="89"/>
        <v>3.8</v>
      </c>
      <c r="O269" s="505" t="str">
        <f t="shared" si="90"/>
        <v/>
      </c>
      <c r="P269" s="480"/>
      <c r="Q269" s="480"/>
      <c r="R269" s="480"/>
      <c r="S269" s="480"/>
      <c r="T269" s="480"/>
    </row>
    <row r="270" spans="1:20" x14ac:dyDescent="0.2">
      <c r="A270" s="480"/>
      <c r="B270" s="507" t="s">
        <v>506</v>
      </c>
      <c r="C270" s="495"/>
      <c r="D270" s="496" t="s">
        <v>500</v>
      </c>
      <c r="E270" s="497"/>
      <c r="F270" s="498"/>
      <c r="G270" s="608">
        <f t="shared" si="91"/>
        <v>2000</v>
      </c>
      <c r="H270" s="500">
        <f t="shared" si="87"/>
        <v>0</v>
      </c>
      <c r="I270" s="501"/>
      <c r="J270" s="502">
        <v>-8.9999999999999998E-4</v>
      </c>
      <c r="K270" s="608">
        <f t="shared" si="92"/>
        <v>2000</v>
      </c>
      <c r="L270" s="500">
        <f t="shared" si="88"/>
        <v>-1.8</v>
      </c>
      <c r="M270" s="501"/>
      <c r="N270" s="504">
        <f t="shared" si="89"/>
        <v>-1.8</v>
      </c>
      <c r="O270" s="505" t="str">
        <f t="shared" si="90"/>
        <v/>
      </c>
      <c r="P270" s="480"/>
      <c r="Q270" s="480"/>
      <c r="R270" s="480"/>
      <c r="S270" s="480"/>
      <c r="T270" s="480"/>
    </row>
    <row r="271" spans="1:20" x14ac:dyDescent="0.2">
      <c r="A271" s="480"/>
      <c r="B271" s="507" t="s">
        <v>507</v>
      </c>
      <c r="C271" s="495"/>
      <c r="D271" s="496" t="s">
        <v>500</v>
      </c>
      <c r="E271" s="497"/>
      <c r="F271" s="498"/>
      <c r="G271" s="608">
        <f t="shared" si="91"/>
        <v>2000</v>
      </c>
      <c r="H271" s="500">
        <f t="shared" si="87"/>
        <v>0</v>
      </c>
      <c r="I271" s="501"/>
      <c r="J271" s="502">
        <v>1E-4</v>
      </c>
      <c r="K271" s="608">
        <f t="shared" si="92"/>
        <v>2000</v>
      </c>
      <c r="L271" s="500">
        <f t="shared" si="88"/>
        <v>0.2</v>
      </c>
      <c r="M271" s="501"/>
      <c r="N271" s="504">
        <f t="shared" si="89"/>
        <v>0.2</v>
      </c>
      <c r="O271" s="505" t="str">
        <f t="shared" si="90"/>
        <v/>
      </c>
      <c r="P271" s="480"/>
      <c r="Q271" s="480"/>
      <c r="R271" s="480"/>
      <c r="S271" s="480"/>
      <c r="T271" s="480"/>
    </row>
    <row r="272" spans="1:20" x14ac:dyDescent="0.2">
      <c r="A272" s="480"/>
      <c r="B272" s="508"/>
      <c r="C272" s="495"/>
      <c r="D272" s="496"/>
      <c r="E272" s="497"/>
      <c r="F272" s="498"/>
      <c r="G272" s="608">
        <f t="shared" si="91"/>
        <v>2000</v>
      </c>
      <c r="H272" s="500">
        <f t="shared" si="87"/>
        <v>0</v>
      </c>
      <c r="I272" s="501"/>
      <c r="J272" s="502"/>
      <c r="K272" s="608">
        <f t="shared" si="92"/>
        <v>2000</v>
      </c>
      <c r="L272" s="500">
        <f t="shared" si="88"/>
        <v>0</v>
      </c>
      <c r="M272" s="501"/>
      <c r="N272" s="504">
        <f t="shared" si="89"/>
        <v>0</v>
      </c>
      <c r="O272" s="505" t="str">
        <f t="shared" si="90"/>
        <v/>
      </c>
      <c r="P272" s="480"/>
      <c r="Q272" s="480"/>
      <c r="R272" s="480"/>
      <c r="S272" s="480"/>
      <c r="T272" s="480"/>
    </row>
    <row r="273" spans="1:20" x14ac:dyDescent="0.2">
      <c r="A273" s="480"/>
      <c r="B273" s="508"/>
      <c r="C273" s="495"/>
      <c r="D273" s="496"/>
      <c r="E273" s="497"/>
      <c r="F273" s="498"/>
      <c r="G273" s="608">
        <f t="shared" si="91"/>
        <v>2000</v>
      </c>
      <c r="H273" s="500">
        <f t="shared" si="87"/>
        <v>0</v>
      </c>
      <c r="I273" s="501"/>
      <c r="J273" s="502"/>
      <c r="K273" s="608">
        <f t="shared" si="92"/>
        <v>2000</v>
      </c>
      <c r="L273" s="500">
        <f t="shared" si="88"/>
        <v>0</v>
      </c>
      <c r="M273" s="501"/>
      <c r="N273" s="504">
        <f t="shared" si="89"/>
        <v>0</v>
      </c>
      <c r="O273" s="505" t="str">
        <f t="shared" si="90"/>
        <v/>
      </c>
      <c r="P273" s="480"/>
      <c r="Q273" s="480"/>
      <c r="R273" s="480"/>
      <c r="S273" s="480"/>
      <c r="T273" s="480"/>
    </row>
    <row r="274" spans="1:20" x14ac:dyDescent="0.2">
      <c r="A274" s="509"/>
      <c r="B274" s="510" t="s">
        <v>508</v>
      </c>
      <c r="C274" s="511"/>
      <c r="D274" s="512"/>
      <c r="E274" s="511"/>
      <c r="F274" s="513"/>
      <c r="G274" s="514"/>
      <c r="H274" s="515">
        <f>SUM(H258:H273)</f>
        <v>76.389999999999986</v>
      </c>
      <c r="I274" s="516"/>
      <c r="J274" s="517"/>
      <c r="K274" s="518"/>
      <c r="L274" s="515">
        <f>SUM(L258:L273)</f>
        <v>63.070000000000007</v>
      </c>
      <c r="M274" s="516"/>
      <c r="N274" s="519">
        <f t="shared" si="89"/>
        <v>-13.319999999999979</v>
      </c>
      <c r="O274" s="520">
        <f t="shared" si="90"/>
        <v>-0.17436837282366777</v>
      </c>
      <c r="P274" s="509"/>
      <c r="Q274" s="509"/>
      <c r="R274" s="509"/>
      <c r="S274" s="509"/>
      <c r="T274" s="509"/>
    </row>
    <row r="275" spans="1:20" ht="25.5" x14ac:dyDescent="0.2">
      <c r="A275" s="480"/>
      <c r="B275" s="521" t="s">
        <v>509</v>
      </c>
      <c r="C275" s="495"/>
      <c r="D275" s="496" t="s">
        <v>500</v>
      </c>
      <c r="E275" s="497"/>
      <c r="F275" s="502">
        <v>-2.3E-3</v>
      </c>
      <c r="G275" s="608">
        <f>$F$197</f>
        <v>2000</v>
      </c>
      <c r="H275" s="500">
        <f>G275*F275</f>
        <v>-4.5999999999999996</v>
      </c>
      <c r="I275" s="501"/>
      <c r="J275" s="502">
        <v>-2E-3</v>
      </c>
      <c r="K275" s="608">
        <f>$F$197</f>
        <v>2000</v>
      </c>
      <c r="L275" s="500">
        <f>K275*J275</f>
        <v>-4</v>
      </c>
      <c r="M275" s="501"/>
      <c r="N275" s="504">
        <f>L275-H275</f>
        <v>0.59999999999999964</v>
      </c>
      <c r="O275" s="505">
        <f>IF((H275)=0,"",(N275/H275))*-1</f>
        <v>0.13043478260869559</v>
      </c>
      <c r="P275" s="480"/>
      <c r="Q275" s="480"/>
      <c r="R275" s="480"/>
      <c r="S275" s="480"/>
      <c r="T275" s="480"/>
    </row>
    <row r="276" spans="1:20" x14ac:dyDescent="0.2">
      <c r="A276" s="480"/>
      <c r="B276" s="521"/>
      <c r="C276" s="495"/>
      <c r="D276" s="496"/>
      <c r="E276" s="497"/>
      <c r="F276" s="498"/>
      <c r="G276" s="608">
        <f t="shared" ref="G276:G279" si="93">$F$197</f>
        <v>2000</v>
      </c>
      <c r="H276" s="500">
        <f t="shared" ref="H276:H278" si="94">G276*F276</f>
        <v>0</v>
      </c>
      <c r="I276" s="522"/>
      <c r="J276" s="502"/>
      <c r="K276" s="608">
        <f t="shared" ref="K276:K279" si="95">$F$197</f>
        <v>2000</v>
      </c>
      <c r="L276" s="500">
        <f t="shared" ref="L276:L278" si="96">K276*J276</f>
        <v>0</v>
      </c>
      <c r="M276" s="523"/>
      <c r="N276" s="504">
        <f t="shared" ref="N276:N278" si="97">L276-H276</f>
        <v>0</v>
      </c>
      <c r="O276" s="505" t="str">
        <f t="shared" ref="O276:O278" si="98">IF((H276)=0,"",(N276/H276))</f>
        <v/>
      </c>
      <c r="P276" s="480"/>
      <c r="Q276" s="480"/>
      <c r="R276" s="480"/>
      <c r="S276" s="480"/>
      <c r="T276" s="480"/>
    </row>
    <row r="277" spans="1:20" x14ac:dyDescent="0.2">
      <c r="A277" s="480"/>
      <c r="B277" s="521"/>
      <c r="C277" s="495"/>
      <c r="D277" s="496"/>
      <c r="E277" s="497"/>
      <c r="F277" s="498"/>
      <c r="G277" s="608">
        <f t="shared" si="93"/>
        <v>2000</v>
      </c>
      <c r="H277" s="500">
        <f t="shared" si="94"/>
        <v>0</v>
      </c>
      <c r="I277" s="522"/>
      <c r="J277" s="502"/>
      <c r="K277" s="608">
        <f t="shared" si="95"/>
        <v>2000</v>
      </c>
      <c r="L277" s="500">
        <f t="shared" si="96"/>
        <v>0</v>
      </c>
      <c r="M277" s="523"/>
      <c r="N277" s="504">
        <f t="shared" si="97"/>
        <v>0</v>
      </c>
      <c r="O277" s="505" t="str">
        <f t="shared" si="98"/>
        <v/>
      </c>
      <c r="P277" s="480"/>
      <c r="Q277" s="480"/>
      <c r="R277" s="480"/>
      <c r="S277" s="480"/>
      <c r="T277" s="480"/>
    </row>
    <row r="278" spans="1:20" x14ac:dyDescent="0.2">
      <c r="A278" s="480"/>
      <c r="B278" s="521"/>
      <c r="C278" s="495"/>
      <c r="D278" s="496"/>
      <c r="E278" s="497"/>
      <c r="F278" s="498"/>
      <c r="G278" s="608">
        <f t="shared" si="93"/>
        <v>2000</v>
      </c>
      <c r="H278" s="500">
        <f t="shared" si="94"/>
        <v>0</v>
      </c>
      <c r="I278" s="522"/>
      <c r="J278" s="502"/>
      <c r="K278" s="608">
        <f t="shared" si="95"/>
        <v>2000</v>
      </c>
      <c r="L278" s="500">
        <f t="shared" si="96"/>
        <v>0</v>
      </c>
      <c r="M278" s="523"/>
      <c r="N278" s="504">
        <f t="shared" si="97"/>
        <v>0</v>
      </c>
      <c r="O278" s="505" t="str">
        <f t="shared" si="98"/>
        <v/>
      </c>
      <c r="P278" s="480"/>
      <c r="Q278" s="480"/>
      <c r="R278" s="480"/>
      <c r="S278" s="480"/>
      <c r="T278" s="480"/>
    </row>
    <row r="279" spans="1:20" x14ac:dyDescent="0.2">
      <c r="A279" s="480"/>
      <c r="B279" s="524" t="s">
        <v>510</v>
      </c>
      <c r="C279" s="495"/>
      <c r="D279" s="496" t="s">
        <v>500</v>
      </c>
      <c r="E279" s="497"/>
      <c r="F279" s="498">
        <v>2.9999999999999997E-4</v>
      </c>
      <c r="G279" s="608">
        <f t="shared" si="93"/>
        <v>2000</v>
      </c>
      <c r="H279" s="500">
        <f>G279*F279</f>
        <v>0.6</v>
      </c>
      <c r="I279" s="501"/>
      <c r="J279" s="502">
        <v>4.0000000000000002E-4</v>
      </c>
      <c r="K279" s="608">
        <f t="shared" si="95"/>
        <v>2000</v>
      </c>
      <c r="L279" s="500">
        <f>K279*J279</f>
        <v>0.8</v>
      </c>
      <c r="M279" s="501"/>
      <c r="N279" s="504">
        <f>L279-H279</f>
        <v>0.20000000000000007</v>
      </c>
      <c r="O279" s="505">
        <f>IF((H279)=0,"",(N279/H279))</f>
        <v>0.33333333333333348</v>
      </c>
      <c r="P279" s="480"/>
      <c r="Q279" s="480"/>
      <c r="R279" s="480"/>
      <c r="S279" s="480"/>
      <c r="T279" s="480"/>
    </row>
    <row r="280" spans="1:20" x14ac:dyDescent="0.2">
      <c r="A280" s="480"/>
      <c r="B280" s="524" t="s">
        <v>511</v>
      </c>
      <c r="C280" s="495"/>
      <c r="D280" s="496" t="s">
        <v>500</v>
      </c>
      <c r="E280" s="497"/>
      <c r="F280" s="525">
        <f>IF(ISBLANK(D251)=TRUE, 0, IF(D251="TOU", 0.64*$F$110+0.18*$F$111+0.18*$F$112, IF(AND(D251="non-TOU",#REF!&gt; 0),#REF!,#REF!)))</f>
        <v>8.3919999999999995E-2</v>
      </c>
      <c r="G280" s="609">
        <f>$F$197*(1+$F$121)-$F$197</f>
        <v>136</v>
      </c>
      <c r="H280" s="500">
        <f t="shared" ref="H280" si="99">G280*F280</f>
        <v>11.413119999999999</v>
      </c>
      <c r="I280" s="501"/>
      <c r="J280" s="527">
        <f>0.64*$F$110+0.18*$F$111+0.18*$F$112</f>
        <v>8.3919999999999995E-2</v>
      </c>
      <c r="K280" s="609">
        <f>$F$197*(1+$J$121)-$F$197</f>
        <v>131</v>
      </c>
      <c r="L280" s="500">
        <f t="shared" ref="L280" si="100">K280*J280</f>
        <v>10.99352</v>
      </c>
      <c r="M280" s="501"/>
      <c r="N280" s="504">
        <f t="shared" ref="N280" si="101">L280-H280</f>
        <v>-0.41959999999999908</v>
      </c>
      <c r="O280" s="505">
        <f t="shared" ref="O280" si="102">IF((H280)=0,"",(N280/H280))</f>
        <v>-3.6764705882352866E-2</v>
      </c>
      <c r="P280" s="480"/>
      <c r="Q280" s="480"/>
      <c r="R280" s="480"/>
      <c r="S280" s="480"/>
      <c r="T280" s="480"/>
    </row>
    <row r="281" spans="1:20" x14ac:dyDescent="0.2">
      <c r="A281" s="480"/>
      <c r="B281" s="524" t="s">
        <v>512</v>
      </c>
      <c r="C281" s="495"/>
      <c r="D281" s="496" t="s">
        <v>497</v>
      </c>
      <c r="E281" s="497"/>
      <c r="F281" s="525">
        <v>0.79</v>
      </c>
      <c r="G281" s="499">
        <v>1</v>
      </c>
      <c r="H281" s="500">
        <f>G281*F281</f>
        <v>0.79</v>
      </c>
      <c r="I281" s="501"/>
      <c r="J281" s="525">
        <v>0.79</v>
      </c>
      <c r="K281" s="499">
        <v>1</v>
      </c>
      <c r="L281" s="500">
        <f>K281*J281</f>
        <v>0.79</v>
      </c>
      <c r="M281" s="501"/>
      <c r="N281" s="504">
        <f>L281-H281</f>
        <v>0</v>
      </c>
      <c r="O281" s="505"/>
      <c r="P281" s="480"/>
      <c r="Q281" s="480"/>
      <c r="R281" s="480"/>
      <c r="S281" s="480"/>
      <c r="T281" s="480"/>
    </row>
    <row r="282" spans="1:20" ht="25.5" x14ac:dyDescent="0.2">
      <c r="A282" s="480"/>
      <c r="B282" s="528" t="s">
        <v>513</v>
      </c>
      <c r="C282" s="529"/>
      <c r="D282" s="529"/>
      <c r="E282" s="529"/>
      <c r="F282" s="530"/>
      <c r="G282" s="531"/>
      <c r="H282" s="532">
        <f>SUM(H275:H281)+H274</f>
        <v>84.593119999999985</v>
      </c>
      <c r="I282" s="516"/>
      <c r="J282" s="531"/>
      <c r="K282" s="533"/>
      <c r="L282" s="532">
        <f>SUM(L275:L281)+L274</f>
        <v>71.653520000000015</v>
      </c>
      <c r="M282" s="516"/>
      <c r="N282" s="519">
        <f t="shared" ref="N282:N292" si="103">L282-H282</f>
        <v>-12.93959999999997</v>
      </c>
      <c r="O282" s="520">
        <f t="shared" ref="O282:O292" si="104">IF((H282)=0,"",(N282/H282))</f>
        <v>-0.15296279413739525</v>
      </c>
      <c r="P282" s="480"/>
      <c r="Q282" s="480"/>
      <c r="R282" s="480"/>
      <c r="S282" s="480"/>
      <c r="T282" s="480"/>
    </row>
    <row r="283" spans="1:20" x14ac:dyDescent="0.2">
      <c r="A283" s="480"/>
      <c r="B283" s="501" t="s">
        <v>514</v>
      </c>
      <c r="C283" s="501"/>
      <c r="D283" s="534" t="s">
        <v>500</v>
      </c>
      <c r="E283" s="535"/>
      <c r="F283" s="502">
        <v>5.7999999999999996E-3</v>
      </c>
      <c r="G283" s="536">
        <f>F253*(1+F301)</f>
        <v>5340</v>
      </c>
      <c r="H283" s="500">
        <f>G283*F283</f>
        <v>30.971999999999998</v>
      </c>
      <c r="I283" s="501"/>
      <c r="J283" s="502">
        <v>6.1000000000000004E-3</v>
      </c>
      <c r="K283" s="537">
        <f>F253*(1+J301)</f>
        <v>5327.5000000000009</v>
      </c>
      <c r="L283" s="500">
        <f>K283*J283</f>
        <v>32.497750000000011</v>
      </c>
      <c r="M283" s="501"/>
      <c r="N283" s="504">
        <f t="shared" si="103"/>
        <v>1.5257500000000128</v>
      </c>
      <c r="O283" s="505">
        <f t="shared" si="104"/>
        <v>4.926223685909896E-2</v>
      </c>
      <c r="P283" s="480"/>
      <c r="Q283" s="480"/>
      <c r="R283" s="480"/>
      <c r="S283" s="480"/>
      <c r="T283" s="480"/>
    </row>
    <row r="284" spans="1:20" ht="30" x14ac:dyDescent="0.2">
      <c r="A284" s="480"/>
      <c r="B284" s="538" t="s">
        <v>515</v>
      </c>
      <c r="C284" s="501"/>
      <c r="D284" s="534" t="s">
        <v>500</v>
      </c>
      <c r="E284" s="535"/>
      <c r="F284" s="502">
        <v>4.4000000000000003E-3</v>
      </c>
      <c r="G284" s="536">
        <f>G283</f>
        <v>5340</v>
      </c>
      <c r="H284" s="500">
        <f>G284*F284</f>
        <v>23.496000000000002</v>
      </c>
      <c r="I284" s="501"/>
      <c r="J284" s="502">
        <v>4.7999999999999996E-3</v>
      </c>
      <c r="K284" s="537">
        <f>K283</f>
        <v>5327.5000000000009</v>
      </c>
      <c r="L284" s="500">
        <f>K284*J284</f>
        <v>25.572000000000003</v>
      </c>
      <c r="M284" s="501"/>
      <c r="N284" s="504">
        <f t="shared" si="103"/>
        <v>2.0760000000000005</v>
      </c>
      <c r="O284" s="505">
        <f t="shared" si="104"/>
        <v>8.835546475995916E-2</v>
      </c>
      <c r="P284" s="480"/>
      <c r="Q284" s="480"/>
      <c r="R284" s="480"/>
      <c r="S284" s="480"/>
      <c r="T284" s="480"/>
    </row>
    <row r="285" spans="1:20" ht="25.5" x14ac:dyDescent="0.2">
      <c r="A285" s="480"/>
      <c r="B285" s="528" t="s">
        <v>516</v>
      </c>
      <c r="C285" s="511"/>
      <c r="D285" s="511"/>
      <c r="E285" s="511"/>
      <c r="F285" s="539"/>
      <c r="G285" s="531"/>
      <c r="H285" s="532">
        <f>SUM(H282:H284)</f>
        <v>139.06111999999999</v>
      </c>
      <c r="I285" s="540"/>
      <c r="J285" s="541"/>
      <c r="K285" s="542"/>
      <c r="L285" s="532">
        <f>SUM(L282:L284)</f>
        <v>129.72327000000001</v>
      </c>
      <c r="M285" s="540"/>
      <c r="N285" s="519">
        <f t="shared" si="103"/>
        <v>-9.3378499999999747</v>
      </c>
      <c r="O285" s="520">
        <f t="shared" si="104"/>
        <v>-6.714925063166452E-2</v>
      </c>
      <c r="P285" s="480"/>
      <c r="Q285" s="480"/>
      <c r="R285" s="480"/>
      <c r="S285" s="480"/>
      <c r="T285" s="480"/>
    </row>
    <row r="286" spans="1:20" ht="30" x14ac:dyDescent="0.2">
      <c r="A286" s="480"/>
      <c r="B286" s="543" t="s">
        <v>517</v>
      </c>
      <c r="C286" s="495"/>
      <c r="D286" s="496" t="s">
        <v>500</v>
      </c>
      <c r="E286" s="497"/>
      <c r="F286" s="544">
        <v>4.4000000000000003E-3</v>
      </c>
      <c r="G286" s="536">
        <f>G284</f>
        <v>5340</v>
      </c>
      <c r="H286" s="545">
        <f t="shared" ref="H286:H292" si="105">G286*F286</f>
        <v>23.496000000000002</v>
      </c>
      <c r="I286" s="501"/>
      <c r="J286" s="546">
        <v>4.4000000000000003E-3</v>
      </c>
      <c r="K286" s="537">
        <f>K284</f>
        <v>5327.5000000000009</v>
      </c>
      <c r="L286" s="545">
        <f t="shared" ref="L286:L292" si="106">K286*J286</f>
        <v>23.441000000000006</v>
      </c>
      <c r="M286" s="501"/>
      <c r="N286" s="504">
        <f t="shared" si="103"/>
        <v>-5.4999999999996163E-2</v>
      </c>
      <c r="O286" s="547">
        <f t="shared" si="104"/>
        <v>-2.3408239700372898E-3</v>
      </c>
      <c r="P286" s="480"/>
      <c r="Q286" s="480"/>
      <c r="R286" s="480"/>
      <c r="S286" s="480"/>
      <c r="T286" s="480"/>
    </row>
    <row r="287" spans="1:20" ht="30" x14ac:dyDescent="0.2">
      <c r="A287" s="480"/>
      <c r="B287" s="543" t="s">
        <v>518</v>
      </c>
      <c r="C287" s="495"/>
      <c r="D287" s="496" t="s">
        <v>500</v>
      </c>
      <c r="E287" s="497"/>
      <c r="F287" s="544">
        <v>1.1999999999999999E-3</v>
      </c>
      <c r="G287" s="536">
        <f>G284</f>
        <v>5340</v>
      </c>
      <c r="H287" s="545">
        <f t="shared" si="105"/>
        <v>6.4079999999999995</v>
      </c>
      <c r="I287" s="501"/>
      <c r="J287" s="546">
        <v>1.2999999999999999E-3</v>
      </c>
      <c r="K287" s="537">
        <f>K284</f>
        <v>5327.5000000000009</v>
      </c>
      <c r="L287" s="545">
        <f t="shared" si="106"/>
        <v>6.9257500000000007</v>
      </c>
      <c r="M287" s="501"/>
      <c r="N287" s="504">
        <f t="shared" si="103"/>
        <v>0.51775000000000126</v>
      </c>
      <c r="O287" s="547">
        <f t="shared" si="104"/>
        <v>8.0797440699126297E-2</v>
      </c>
      <c r="P287" s="480"/>
      <c r="Q287" s="480"/>
      <c r="R287" s="480"/>
      <c r="S287" s="480"/>
      <c r="T287" s="480"/>
    </row>
    <row r="288" spans="1:20" x14ac:dyDescent="0.2">
      <c r="A288" s="480"/>
      <c r="B288" s="495" t="s">
        <v>519</v>
      </c>
      <c r="C288" s="495"/>
      <c r="D288" s="496" t="s">
        <v>497</v>
      </c>
      <c r="E288" s="497"/>
      <c r="F288" s="544">
        <v>0.25</v>
      </c>
      <c r="G288" s="499">
        <v>1</v>
      </c>
      <c r="H288" s="545">
        <f t="shared" si="105"/>
        <v>0.25</v>
      </c>
      <c r="I288" s="501"/>
      <c r="J288" s="546">
        <v>0.25</v>
      </c>
      <c r="K288" s="503">
        <v>1</v>
      </c>
      <c r="L288" s="545">
        <f t="shared" si="106"/>
        <v>0.25</v>
      </c>
      <c r="M288" s="501"/>
      <c r="N288" s="504">
        <f t="shared" si="103"/>
        <v>0</v>
      </c>
      <c r="O288" s="547">
        <f t="shared" si="104"/>
        <v>0</v>
      </c>
      <c r="P288" s="480"/>
      <c r="Q288" s="480"/>
      <c r="R288" s="480"/>
      <c r="S288" s="480"/>
      <c r="T288" s="480"/>
    </row>
    <row r="289" spans="1:20" x14ac:dyDescent="0.2">
      <c r="A289" s="480"/>
      <c r="B289" s="495" t="s">
        <v>520</v>
      </c>
      <c r="C289" s="495"/>
      <c r="D289" s="496" t="s">
        <v>500</v>
      </c>
      <c r="E289" s="497"/>
      <c r="F289" s="544">
        <v>7.0000000000000001E-3</v>
      </c>
      <c r="G289" s="548">
        <f>F253</f>
        <v>5000</v>
      </c>
      <c r="H289" s="545">
        <f t="shared" si="105"/>
        <v>35</v>
      </c>
      <c r="I289" s="501"/>
      <c r="J289" s="546">
        <v>7.0000000000000001E-3</v>
      </c>
      <c r="K289" s="549">
        <f>F253</f>
        <v>5000</v>
      </c>
      <c r="L289" s="545">
        <f t="shared" si="106"/>
        <v>35</v>
      </c>
      <c r="M289" s="501"/>
      <c r="N289" s="504">
        <f t="shared" si="103"/>
        <v>0</v>
      </c>
      <c r="O289" s="547">
        <f t="shared" si="104"/>
        <v>0</v>
      </c>
      <c r="P289" s="480"/>
      <c r="Q289" s="480"/>
      <c r="R289" s="480"/>
      <c r="S289" s="480"/>
      <c r="T289" s="480"/>
    </row>
    <row r="290" spans="1:20" x14ac:dyDescent="0.2">
      <c r="A290" s="480"/>
      <c r="B290" s="524" t="s">
        <v>521</v>
      </c>
      <c r="C290" s="495"/>
      <c r="D290" s="496" t="s">
        <v>500</v>
      </c>
      <c r="E290" s="497"/>
      <c r="F290" s="550">
        <v>6.7000000000000004E-2</v>
      </c>
      <c r="G290" s="551">
        <f>0.64*$F$197</f>
        <v>1280</v>
      </c>
      <c r="H290" s="545">
        <f t="shared" si="105"/>
        <v>85.76</v>
      </c>
      <c r="I290" s="501"/>
      <c r="J290" s="544">
        <v>6.7000000000000004E-2</v>
      </c>
      <c r="K290" s="551">
        <f>G290</f>
        <v>1280</v>
      </c>
      <c r="L290" s="545">
        <f t="shared" si="106"/>
        <v>85.76</v>
      </c>
      <c r="M290" s="501"/>
      <c r="N290" s="504">
        <f t="shared" si="103"/>
        <v>0</v>
      </c>
      <c r="O290" s="547">
        <f t="shared" si="104"/>
        <v>0</v>
      </c>
      <c r="P290" s="480"/>
      <c r="Q290" s="480"/>
      <c r="R290" s="480"/>
      <c r="S290" s="552"/>
      <c r="T290" s="480"/>
    </row>
    <row r="291" spans="1:20" x14ac:dyDescent="0.2">
      <c r="A291" s="480"/>
      <c r="B291" s="524" t="s">
        <v>522</v>
      </c>
      <c r="C291" s="495"/>
      <c r="D291" s="496" t="s">
        <v>500</v>
      </c>
      <c r="E291" s="497"/>
      <c r="F291" s="550">
        <v>0.104</v>
      </c>
      <c r="G291" s="551">
        <f>0.18*$F$197</f>
        <v>360</v>
      </c>
      <c r="H291" s="545">
        <f t="shared" si="105"/>
        <v>37.44</v>
      </c>
      <c r="I291" s="501"/>
      <c r="J291" s="544">
        <v>0.104</v>
      </c>
      <c r="K291" s="551">
        <f>G291</f>
        <v>360</v>
      </c>
      <c r="L291" s="545">
        <f t="shared" si="106"/>
        <v>37.44</v>
      </c>
      <c r="M291" s="501"/>
      <c r="N291" s="504">
        <f t="shared" si="103"/>
        <v>0</v>
      </c>
      <c r="O291" s="547">
        <f t="shared" si="104"/>
        <v>0</v>
      </c>
      <c r="P291" s="480"/>
      <c r="Q291" s="480"/>
      <c r="R291" s="480"/>
      <c r="S291" s="552"/>
      <c r="T291" s="480"/>
    </row>
    <row r="292" spans="1:20" ht="15.75" thickBot="1" x14ac:dyDescent="0.25">
      <c r="A292" s="480"/>
      <c r="B292" s="485" t="s">
        <v>523</v>
      </c>
      <c r="C292" s="495"/>
      <c r="D292" s="496" t="s">
        <v>500</v>
      </c>
      <c r="E292" s="497"/>
      <c r="F292" s="550">
        <v>0.124</v>
      </c>
      <c r="G292" s="551">
        <f>0.18*$F$197</f>
        <v>360</v>
      </c>
      <c r="H292" s="545">
        <f t="shared" si="105"/>
        <v>44.64</v>
      </c>
      <c r="I292" s="501"/>
      <c r="J292" s="544">
        <v>0.124</v>
      </c>
      <c r="K292" s="551">
        <f>G292</f>
        <v>360</v>
      </c>
      <c r="L292" s="545">
        <f t="shared" si="106"/>
        <v>44.64</v>
      </c>
      <c r="M292" s="501"/>
      <c r="N292" s="504">
        <f t="shared" si="103"/>
        <v>0</v>
      </c>
      <c r="O292" s="547">
        <f t="shared" si="104"/>
        <v>0</v>
      </c>
      <c r="P292" s="480"/>
      <c r="Q292" s="480"/>
      <c r="R292" s="480"/>
      <c r="S292" s="552"/>
      <c r="T292" s="480"/>
    </row>
    <row r="293" spans="1:20" ht="15.75" thickBot="1" x14ac:dyDescent="0.25">
      <c r="A293" s="480"/>
      <c r="B293" s="553"/>
      <c r="C293" s="554"/>
      <c r="D293" s="555"/>
      <c r="E293" s="554"/>
      <c r="F293" s="556"/>
      <c r="G293" s="557"/>
      <c r="H293" s="558"/>
      <c r="I293" s="559"/>
      <c r="J293" s="556"/>
      <c r="K293" s="560"/>
      <c r="L293" s="558"/>
      <c r="M293" s="559"/>
      <c r="N293" s="561"/>
      <c r="O293" s="562"/>
      <c r="P293" s="480"/>
      <c r="Q293" s="480"/>
      <c r="R293" s="480"/>
      <c r="S293" s="480"/>
      <c r="T293" s="480"/>
    </row>
    <row r="294" spans="1:20" x14ac:dyDescent="0.2">
      <c r="A294" s="480"/>
      <c r="B294" s="563" t="s">
        <v>524</v>
      </c>
      <c r="C294" s="495"/>
      <c r="D294" s="495"/>
      <c r="E294" s="495"/>
      <c r="F294" s="564"/>
      <c r="G294" s="565"/>
      <c r="H294" s="566">
        <f>SUM(H286:H292,H285)</f>
        <v>372.05511999999999</v>
      </c>
      <c r="I294" s="567"/>
      <c r="J294" s="568"/>
      <c r="K294" s="568"/>
      <c r="L294" s="566">
        <f>SUM(L286:L292,L285)</f>
        <v>363.18002000000001</v>
      </c>
      <c r="M294" s="569"/>
      <c r="N294" s="570">
        <f t="shared" ref="N294:N298" si="107">L294-H294</f>
        <v>-8.8750999999999749</v>
      </c>
      <c r="O294" s="571">
        <f t="shared" ref="O294:O298" si="108">IF((H294)=0,"",(N294/H294))</f>
        <v>-2.3854261164313436E-2</v>
      </c>
      <c r="P294" s="480"/>
      <c r="Q294" s="480"/>
      <c r="R294" s="480"/>
      <c r="S294" s="552"/>
      <c r="T294" s="480"/>
    </row>
    <row r="295" spans="1:20" x14ac:dyDescent="0.2">
      <c r="A295" s="480"/>
      <c r="B295" s="572" t="s">
        <v>525</v>
      </c>
      <c r="C295" s="495"/>
      <c r="D295" s="495"/>
      <c r="E295" s="495"/>
      <c r="F295" s="573">
        <v>0.13</v>
      </c>
      <c r="G295" s="574"/>
      <c r="H295" s="575">
        <f>H294*F295</f>
        <v>48.3671656</v>
      </c>
      <c r="I295" s="576"/>
      <c r="J295" s="577">
        <v>0.13</v>
      </c>
      <c r="K295" s="576"/>
      <c r="L295" s="578">
        <f>L294*J295</f>
        <v>47.213402600000002</v>
      </c>
      <c r="M295" s="579"/>
      <c r="N295" s="580">
        <f t="shared" si="107"/>
        <v>-1.1537629999999979</v>
      </c>
      <c r="O295" s="581">
        <f t="shared" si="108"/>
        <v>-2.385426116431346E-2</v>
      </c>
      <c r="P295" s="480"/>
      <c r="Q295" s="480"/>
      <c r="R295" s="480"/>
      <c r="S295" s="552"/>
      <c r="T295" s="480"/>
    </row>
    <row r="296" spans="1:20" x14ac:dyDescent="0.2">
      <c r="A296" s="480"/>
      <c r="B296" s="582" t="s">
        <v>526</v>
      </c>
      <c r="C296" s="495"/>
      <c r="D296" s="495"/>
      <c r="E296" s="495"/>
      <c r="F296" s="583"/>
      <c r="G296" s="574"/>
      <c r="H296" s="575">
        <f>H294+H295</f>
        <v>420.42228560000001</v>
      </c>
      <c r="I296" s="576"/>
      <c r="J296" s="576"/>
      <c r="K296" s="576"/>
      <c r="L296" s="578">
        <f>L294+L295</f>
        <v>410.39342260000001</v>
      </c>
      <c r="M296" s="579"/>
      <c r="N296" s="580">
        <f t="shared" si="107"/>
        <v>-10.028863000000001</v>
      </c>
      <c r="O296" s="581">
        <f t="shared" si="108"/>
        <v>-2.3854261164313505E-2</v>
      </c>
      <c r="P296" s="480"/>
      <c r="Q296" s="480"/>
      <c r="R296" s="480"/>
      <c r="S296" s="552"/>
      <c r="T296" s="480"/>
    </row>
    <row r="297" spans="1:20" x14ac:dyDescent="0.2">
      <c r="A297" s="480"/>
      <c r="B297" s="964" t="s">
        <v>527</v>
      </c>
      <c r="C297" s="964"/>
      <c r="D297" s="964"/>
      <c r="E297" s="495"/>
      <c r="F297" s="583"/>
      <c r="G297" s="574"/>
      <c r="H297" s="584">
        <f>ROUND(-H296*10%,2)</f>
        <v>-42.04</v>
      </c>
      <c r="I297" s="576"/>
      <c r="J297" s="576"/>
      <c r="K297" s="576"/>
      <c r="L297" s="585">
        <f>ROUND(-L296*10%,2)</f>
        <v>-41.04</v>
      </c>
      <c r="M297" s="579"/>
      <c r="N297" s="586">
        <f t="shared" si="107"/>
        <v>1</v>
      </c>
      <c r="O297" s="587">
        <f t="shared" si="108"/>
        <v>-2.3786869647954331E-2</v>
      </c>
      <c r="P297" s="480"/>
      <c r="Q297" s="480"/>
      <c r="R297" s="480"/>
      <c r="S297" s="480"/>
      <c r="T297" s="480"/>
    </row>
    <row r="298" spans="1:20" ht="15.75" thickBot="1" x14ac:dyDescent="0.25">
      <c r="A298" s="480"/>
      <c r="B298" s="965" t="s">
        <v>528</v>
      </c>
      <c r="C298" s="965"/>
      <c r="D298" s="965"/>
      <c r="E298" s="588"/>
      <c r="F298" s="589"/>
      <c r="G298" s="590"/>
      <c r="H298" s="591">
        <f>H296+H297</f>
        <v>378.38228559999999</v>
      </c>
      <c r="I298" s="592"/>
      <c r="J298" s="592"/>
      <c r="K298" s="592"/>
      <c r="L298" s="593">
        <f>L296+L297</f>
        <v>369.35342259999999</v>
      </c>
      <c r="M298" s="594"/>
      <c r="N298" s="595">
        <f t="shared" si="107"/>
        <v>-9.0288630000000012</v>
      </c>
      <c r="O298" s="596">
        <f t="shared" si="108"/>
        <v>-2.38617486695577E-2</v>
      </c>
      <c r="P298" s="480"/>
      <c r="Q298" s="480"/>
      <c r="R298" s="480"/>
      <c r="S298" s="480"/>
      <c r="T298" s="480"/>
    </row>
    <row r="299" spans="1:20" ht="15.75" thickBot="1" x14ac:dyDescent="0.25">
      <c r="A299" s="597"/>
      <c r="B299" s="598"/>
      <c r="C299" s="599"/>
      <c r="D299" s="600"/>
      <c r="E299" s="599"/>
      <c r="F299" s="556"/>
      <c r="G299" s="601"/>
      <c r="H299" s="558"/>
      <c r="I299" s="602"/>
      <c r="J299" s="556"/>
      <c r="K299" s="603"/>
      <c r="L299" s="558"/>
      <c r="M299" s="602"/>
      <c r="N299" s="604"/>
      <c r="O299" s="562"/>
      <c r="P299" s="597"/>
      <c r="Q299" s="597"/>
      <c r="R299" s="597"/>
      <c r="S299" s="597"/>
      <c r="T299" s="597"/>
    </row>
    <row r="300" spans="1:20" x14ac:dyDescent="0.2">
      <c r="A300" s="480"/>
      <c r="B300" s="480"/>
      <c r="C300" s="480"/>
      <c r="D300" s="480"/>
      <c r="E300" s="480"/>
      <c r="F300" s="480"/>
      <c r="G300" s="480"/>
      <c r="H300" s="480"/>
      <c r="I300" s="480"/>
      <c r="J300" s="480"/>
      <c r="K300" s="480"/>
      <c r="L300" s="552"/>
      <c r="M300" s="480"/>
      <c r="N300" s="480"/>
      <c r="O300" s="480"/>
      <c r="P300" s="480"/>
      <c r="Q300" s="480"/>
      <c r="R300" s="480"/>
      <c r="S300" s="480"/>
      <c r="T300" s="480"/>
    </row>
    <row r="301" spans="1:20" x14ac:dyDescent="0.2">
      <c r="A301" s="480"/>
      <c r="B301" s="486" t="s">
        <v>529</v>
      </c>
      <c r="C301" s="480"/>
      <c r="D301" s="480"/>
      <c r="E301" s="480"/>
      <c r="F301" s="605">
        <v>6.8000000000000005E-2</v>
      </c>
      <c r="G301" s="480"/>
      <c r="H301" s="480"/>
      <c r="I301" s="480"/>
      <c r="J301" s="605">
        <v>6.5500000000000003E-2</v>
      </c>
      <c r="K301" s="480"/>
      <c r="L301" s="480"/>
      <c r="M301" s="480"/>
      <c r="N301" s="480"/>
      <c r="O301" s="480"/>
      <c r="P301" s="480"/>
      <c r="Q301" s="480"/>
      <c r="R301" s="480"/>
      <c r="S301" s="480"/>
      <c r="T301" s="480"/>
    </row>
    <row r="302" spans="1:20" x14ac:dyDescent="0.2">
      <c r="A302" s="480"/>
      <c r="B302" s="480"/>
      <c r="C302" s="480"/>
      <c r="D302" s="480"/>
      <c r="E302" s="480"/>
      <c r="F302" s="480"/>
      <c r="G302" s="480"/>
      <c r="H302" s="480"/>
      <c r="I302" s="480"/>
      <c r="J302" s="480"/>
      <c r="K302" s="480"/>
      <c r="L302" s="480"/>
      <c r="M302" s="480"/>
      <c r="N302" s="480"/>
      <c r="O302" s="480"/>
      <c r="P302" s="480"/>
      <c r="Q302" s="480"/>
      <c r="R302" s="480"/>
      <c r="S302" s="480"/>
      <c r="T302" s="480"/>
    </row>
    <row r="303" spans="1:20" x14ac:dyDescent="0.2">
      <c r="A303" s="606" t="s">
        <v>531</v>
      </c>
      <c r="B303" s="480"/>
      <c r="C303" s="480"/>
      <c r="D303" s="480"/>
      <c r="E303" s="480"/>
      <c r="F303" s="480"/>
      <c r="G303" s="480"/>
      <c r="H303" s="480"/>
      <c r="I303" s="480"/>
      <c r="J303" s="480"/>
      <c r="K303" s="480"/>
      <c r="L303" s="480"/>
      <c r="M303" s="480"/>
      <c r="N303" s="480"/>
      <c r="O303" s="480"/>
      <c r="P303" s="480"/>
      <c r="Q303" s="480"/>
      <c r="R303" s="480"/>
      <c r="S303" s="480"/>
      <c r="T303" s="480"/>
    </row>
    <row r="304" spans="1:20" x14ac:dyDescent="0.2">
      <c r="A304" s="480"/>
      <c r="B304" s="480"/>
      <c r="C304" s="480"/>
      <c r="D304" s="480"/>
      <c r="E304" s="480"/>
      <c r="F304" s="480"/>
      <c r="G304" s="480"/>
      <c r="H304" s="480"/>
      <c r="I304" s="480"/>
      <c r="J304" s="480"/>
      <c r="K304" s="480"/>
      <c r="L304" s="480"/>
      <c r="M304" s="480"/>
      <c r="N304" s="480"/>
      <c r="O304" s="480"/>
      <c r="P304" s="480"/>
      <c r="Q304" s="480"/>
      <c r="R304" s="480"/>
      <c r="S304" s="480"/>
      <c r="T304" s="480"/>
    </row>
    <row r="305" spans="1:20" ht="15.75" x14ac:dyDescent="0.2">
      <c r="A305" s="480"/>
      <c r="B305" s="481" t="s">
        <v>480</v>
      </c>
      <c r="C305" s="480"/>
      <c r="D305" s="966" t="s">
        <v>545</v>
      </c>
      <c r="E305" s="966"/>
      <c r="F305" s="966"/>
      <c r="G305" s="966"/>
      <c r="H305" s="966"/>
      <c r="I305" s="966"/>
      <c r="J305" s="966"/>
      <c r="K305" s="966"/>
      <c r="L305" s="966"/>
      <c r="M305" s="966"/>
      <c r="N305" s="966"/>
      <c r="O305" s="966"/>
      <c r="P305" s="480"/>
      <c r="Q305" s="480"/>
      <c r="R305" s="480"/>
      <c r="S305" s="480"/>
      <c r="T305" s="480"/>
    </row>
    <row r="306" spans="1:20" ht="15.75" x14ac:dyDescent="0.25">
      <c r="A306" s="480"/>
      <c r="B306" s="482"/>
      <c r="C306" s="480"/>
      <c r="D306" s="483"/>
      <c r="E306" s="483"/>
      <c r="F306" s="483"/>
      <c r="G306" s="483"/>
      <c r="H306" s="483"/>
      <c r="I306" s="483"/>
      <c r="J306" s="483"/>
      <c r="K306" s="483"/>
      <c r="L306" s="483"/>
      <c r="M306" s="483"/>
      <c r="N306" s="483"/>
      <c r="O306" s="483"/>
      <c r="P306" s="480"/>
      <c r="Q306" s="480"/>
      <c r="R306" s="480"/>
      <c r="S306" s="480"/>
      <c r="T306" s="480"/>
    </row>
    <row r="307" spans="1:20" ht="15.75" x14ac:dyDescent="0.25">
      <c r="A307" s="480"/>
      <c r="B307" s="481" t="s">
        <v>482</v>
      </c>
      <c r="C307" s="480"/>
      <c r="D307" s="484" t="s">
        <v>546</v>
      </c>
      <c r="E307" s="483"/>
      <c r="F307" s="483"/>
      <c r="G307" s="483"/>
      <c r="H307" s="483"/>
      <c r="I307" s="483"/>
      <c r="J307" s="483"/>
      <c r="K307" s="483"/>
      <c r="L307" s="483"/>
      <c r="M307" s="483"/>
      <c r="N307" s="483"/>
      <c r="O307" s="483"/>
      <c r="P307" s="480"/>
      <c r="Q307" s="480"/>
      <c r="R307" s="480"/>
      <c r="S307" s="480"/>
      <c r="T307" s="480"/>
    </row>
    <row r="308" spans="1:20" ht="15.75" x14ac:dyDescent="0.25">
      <c r="A308" s="480"/>
      <c r="B308" s="482"/>
      <c r="C308" s="480"/>
      <c r="D308" s="483"/>
      <c r="E308" s="483"/>
      <c r="F308" s="483"/>
      <c r="G308" s="483"/>
      <c r="H308" s="483"/>
      <c r="I308" s="483"/>
      <c r="J308" s="483"/>
      <c r="K308" s="483"/>
      <c r="L308" s="483"/>
      <c r="M308" s="483"/>
      <c r="N308" s="483"/>
      <c r="O308" s="483"/>
      <c r="P308" s="480"/>
      <c r="Q308" s="480"/>
      <c r="R308" s="480"/>
      <c r="S308" s="480"/>
      <c r="T308" s="480"/>
    </row>
    <row r="309" spans="1:20" x14ac:dyDescent="0.2">
      <c r="A309" s="480"/>
      <c r="B309" s="485"/>
      <c r="C309" s="480"/>
      <c r="D309" s="486" t="s">
        <v>484</v>
      </c>
      <c r="E309" s="486"/>
      <c r="F309" s="487">
        <v>50000</v>
      </c>
      <c r="G309" s="486" t="s">
        <v>485</v>
      </c>
      <c r="H309" s="480"/>
      <c r="I309" s="480"/>
      <c r="J309" s="480"/>
      <c r="K309" s="480"/>
      <c r="L309" s="480"/>
      <c r="M309" s="480"/>
      <c r="N309" s="480"/>
      <c r="O309" s="480"/>
      <c r="P309" s="480"/>
      <c r="Q309" s="480"/>
      <c r="R309" s="480"/>
      <c r="S309" s="480"/>
      <c r="T309" s="480"/>
    </row>
    <row r="310" spans="1:20" x14ac:dyDescent="0.2">
      <c r="A310" s="480"/>
      <c r="B310" s="485"/>
      <c r="C310" s="480"/>
      <c r="D310" s="480"/>
      <c r="E310" s="480"/>
      <c r="F310" s="487">
        <v>75</v>
      </c>
      <c r="G310" s="486" t="s">
        <v>547</v>
      </c>
      <c r="H310" s="480"/>
      <c r="I310" s="480"/>
      <c r="J310" s="480"/>
      <c r="K310" s="480"/>
      <c r="L310" s="480"/>
      <c r="M310" s="480"/>
      <c r="N310" s="480"/>
      <c r="O310" s="480"/>
      <c r="P310" s="480"/>
      <c r="Q310" s="480"/>
      <c r="R310" s="480"/>
      <c r="S310" s="480"/>
      <c r="T310" s="480"/>
    </row>
    <row r="311" spans="1:20" x14ac:dyDescent="0.2">
      <c r="A311" s="480"/>
      <c r="B311" s="485"/>
      <c r="C311" s="480"/>
      <c r="D311" s="488"/>
      <c r="E311" s="488"/>
      <c r="F311" s="967" t="s">
        <v>486</v>
      </c>
      <c r="G311" s="968"/>
      <c r="H311" s="969"/>
      <c r="I311" s="480"/>
      <c r="J311" s="967" t="s">
        <v>487</v>
      </c>
      <c r="K311" s="968"/>
      <c r="L311" s="969"/>
      <c r="M311" s="480"/>
      <c r="N311" s="967" t="s">
        <v>488</v>
      </c>
      <c r="O311" s="969"/>
      <c r="P311" s="480"/>
      <c r="Q311" s="480"/>
      <c r="R311" s="480"/>
      <c r="S311" s="480"/>
      <c r="T311" s="480"/>
    </row>
    <row r="312" spans="1:20" x14ac:dyDescent="0.2">
      <c r="A312" s="480"/>
      <c r="B312" s="485"/>
      <c r="C312" s="480"/>
      <c r="D312" s="958" t="s">
        <v>489</v>
      </c>
      <c r="E312" s="489"/>
      <c r="F312" s="490" t="s">
        <v>490</v>
      </c>
      <c r="G312" s="490" t="s">
        <v>491</v>
      </c>
      <c r="H312" s="491" t="s">
        <v>492</v>
      </c>
      <c r="I312" s="480"/>
      <c r="J312" s="490" t="s">
        <v>490</v>
      </c>
      <c r="K312" s="492" t="s">
        <v>491</v>
      </c>
      <c r="L312" s="491" t="s">
        <v>492</v>
      </c>
      <c r="M312" s="480"/>
      <c r="N312" s="960" t="s">
        <v>493</v>
      </c>
      <c r="O312" s="962" t="s">
        <v>494</v>
      </c>
      <c r="P312" s="480"/>
      <c r="Q312" s="480"/>
      <c r="R312" s="480"/>
      <c r="S312" s="480"/>
      <c r="T312" s="480"/>
    </row>
    <row r="313" spans="1:20" x14ac:dyDescent="0.2">
      <c r="A313" s="480"/>
      <c r="B313" s="485"/>
      <c r="C313" s="480"/>
      <c r="D313" s="959"/>
      <c r="E313" s="489"/>
      <c r="F313" s="493" t="s">
        <v>495</v>
      </c>
      <c r="G313" s="493"/>
      <c r="H313" s="494" t="s">
        <v>495</v>
      </c>
      <c r="I313" s="480"/>
      <c r="J313" s="493" t="s">
        <v>495</v>
      </c>
      <c r="K313" s="494"/>
      <c r="L313" s="494" t="s">
        <v>495</v>
      </c>
      <c r="M313" s="480"/>
      <c r="N313" s="961"/>
      <c r="O313" s="963"/>
      <c r="P313" s="480"/>
      <c r="Q313" s="480"/>
      <c r="R313" s="480"/>
      <c r="S313" s="480"/>
      <c r="T313" s="480"/>
    </row>
    <row r="314" spans="1:20" x14ac:dyDescent="0.2">
      <c r="A314" s="480"/>
      <c r="B314" s="495" t="s">
        <v>496</v>
      </c>
      <c r="C314" s="495"/>
      <c r="D314" s="496" t="s">
        <v>497</v>
      </c>
      <c r="E314" s="497"/>
      <c r="F314" s="498">
        <v>104.06</v>
      </c>
      <c r="G314" s="499">
        <v>1</v>
      </c>
      <c r="H314" s="500">
        <f>G314*F314</f>
        <v>104.06</v>
      </c>
      <c r="I314" s="501"/>
      <c r="J314" s="502">
        <v>85.37</v>
      </c>
      <c r="K314" s="503">
        <v>1</v>
      </c>
      <c r="L314" s="500">
        <f>K314*J314</f>
        <v>85.37</v>
      </c>
      <c r="M314" s="501"/>
      <c r="N314" s="504">
        <f>L314-H314</f>
        <v>-18.689999999999998</v>
      </c>
      <c r="O314" s="505">
        <f>IF((H314)=0,"",(N314/H314))</f>
        <v>-0.17960791850855273</v>
      </c>
      <c r="P314" s="480"/>
      <c r="Q314" s="480"/>
      <c r="R314" s="480"/>
      <c r="S314" s="480"/>
      <c r="T314" s="480"/>
    </row>
    <row r="315" spans="1:20" x14ac:dyDescent="0.2">
      <c r="A315" s="480"/>
      <c r="B315" s="495" t="s">
        <v>498</v>
      </c>
      <c r="C315" s="495"/>
      <c r="D315" s="496" t="s">
        <v>497</v>
      </c>
      <c r="E315" s="497"/>
      <c r="F315" s="498">
        <v>12.24</v>
      </c>
      <c r="G315" s="499">
        <v>1</v>
      </c>
      <c r="H315" s="500">
        <f t="shared" ref="H315:H329" si="109">G315*F315</f>
        <v>12.24</v>
      </c>
      <c r="I315" s="501"/>
      <c r="J315" s="502"/>
      <c r="K315" s="503">
        <v>1</v>
      </c>
      <c r="L315" s="500">
        <f>K315*J315</f>
        <v>0</v>
      </c>
      <c r="M315" s="501"/>
      <c r="N315" s="504">
        <f>L315-H315</f>
        <v>-12.24</v>
      </c>
      <c r="O315" s="505">
        <f>IF((H315)=0,"",(N315/H315))</f>
        <v>-1</v>
      </c>
      <c r="P315" s="480"/>
      <c r="Q315" s="480"/>
      <c r="R315" s="480"/>
      <c r="S315" s="480"/>
      <c r="T315" s="480"/>
    </row>
    <row r="316" spans="1:20" x14ac:dyDescent="0.2">
      <c r="A316" s="480"/>
      <c r="B316" s="506"/>
      <c r="C316" s="495"/>
      <c r="D316" s="496"/>
      <c r="E316" s="497"/>
      <c r="F316" s="498"/>
      <c r="G316" s="499">
        <v>1</v>
      </c>
      <c r="H316" s="500">
        <f t="shared" si="109"/>
        <v>0</v>
      </c>
      <c r="I316" s="501"/>
      <c r="J316" s="502"/>
      <c r="K316" s="503">
        <v>1</v>
      </c>
      <c r="L316" s="500">
        <f t="shared" ref="L316:L329" si="110">K316*J316</f>
        <v>0</v>
      </c>
      <c r="M316" s="501"/>
      <c r="N316" s="504">
        <f t="shared" ref="N316:N330" si="111">L316-H316</f>
        <v>0</v>
      </c>
      <c r="O316" s="505" t="str">
        <f t="shared" ref="O316:O330" si="112">IF((H316)=0,"",(N316/H316))</f>
        <v/>
      </c>
      <c r="P316" s="480"/>
      <c r="Q316" s="480"/>
      <c r="R316" s="480"/>
      <c r="S316" s="480"/>
      <c r="T316" s="480"/>
    </row>
    <row r="317" spans="1:20" x14ac:dyDescent="0.2">
      <c r="A317" s="480"/>
      <c r="B317" s="506"/>
      <c r="C317" s="495"/>
      <c r="D317" s="496"/>
      <c r="E317" s="497"/>
      <c r="F317" s="498"/>
      <c r="G317" s="499">
        <v>1</v>
      </c>
      <c r="H317" s="500">
        <f t="shared" si="109"/>
        <v>0</v>
      </c>
      <c r="I317" s="501"/>
      <c r="J317" s="502"/>
      <c r="K317" s="503">
        <v>1</v>
      </c>
      <c r="L317" s="500">
        <f t="shared" si="110"/>
        <v>0</v>
      </c>
      <c r="M317" s="501"/>
      <c r="N317" s="504">
        <f t="shared" si="111"/>
        <v>0</v>
      </c>
      <c r="O317" s="505" t="str">
        <f t="shared" si="112"/>
        <v/>
      </c>
      <c r="P317" s="480"/>
      <c r="Q317" s="480"/>
      <c r="R317" s="480"/>
      <c r="S317" s="480"/>
      <c r="T317" s="480"/>
    </row>
    <row r="318" spans="1:20" x14ac:dyDescent="0.2">
      <c r="A318" s="480"/>
      <c r="B318" s="506"/>
      <c r="C318" s="495"/>
      <c r="D318" s="496"/>
      <c r="E318" s="497"/>
      <c r="F318" s="498"/>
      <c r="G318" s="499">
        <v>1</v>
      </c>
      <c r="H318" s="500">
        <f t="shared" si="109"/>
        <v>0</v>
      </c>
      <c r="I318" s="501"/>
      <c r="J318" s="502"/>
      <c r="K318" s="503">
        <v>1</v>
      </c>
      <c r="L318" s="500">
        <f t="shared" si="110"/>
        <v>0</v>
      </c>
      <c r="M318" s="501"/>
      <c r="N318" s="504">
        <f t="shared" si="111"/>
        <v>0</v>
      </c>
      <c r="O318" s="505" t="str">
        <f t="shared" si="112"/>
        <v/>
      </c>
      <c r="P318" s="480"/>
      <c r="Q318" s="480"/>
      <c r="R318" s="480"/>
      <c r="S318" s="480"/>
      <c r="T318" s="480"/>
    </row>
    <row r="319" spans="1:20" x14ac:dyDescent="0.2">
      <c r="A319" s="480"/>
      <c r="B319" s="506"/>
      <c r="C319" s="495"/>
      <c r="D319" s="496"/>
      <c r="E319" s="497"/>
      <c r="F319" s="498"/>
      <c r="G319" s="499">
        <v>1</v>
      </c>
      <c r="H319" s="500">
        <f t="shared" si="109"/>
        <v>0</v>
      </c>
      <c r="I319" s="501"/>
      <c r="J319" s="502"/>
      <c r="K319" s="503">
        <v>1</v>
      </c>
      <c r="L319" s="500">
        <f t="shared" si="110"/>
        <v>0</v>
      </c>
      <c r="M319" s="501"/>
      <c r="N319" s="504">
        <f t="shared" si="111"/>
        <v>0</v>
      </c>
      <c r="O319" s="505" t="str">
        <f t="shared" si="112"/>
        <v/>
      </c>
      <c r="P319" s="480"/>
      <c r="Q319" s="480"/>
      <c r="R319" s="480"/>
      <c r="S319" s="480"/>
      <c r="T319" s="480"/>
    </row>
    <row r="320" spans="1:20" x14ac:dyDescent="0.2">
      <c r="A320" s="480"/>
      <c r="B320" s="495" t="s">
        <v>499</v>
      </c>
      <c r="C320" s="495"/>
      <c r="D320" s="496" t="s">
        <v>548</v>
      </c>
      <c r="E320" s="497"/>
      <c r="F320" s="498">
        <v>4.8285999999999998</v>
      </c>
      <c r="G320" s="608">
        <f>$F$310</f>
        <v>75</v>
      </c>
      <c r="H320" s="500">
        <f t="shared" si="109"/>
        <v>362.14499999999998</v>
      </c>
      <c r="I320" s="501"/>
      <c r="J320" s="502">
        <v>4.0107999999999997</v>
      </c>
      <c r="K320" s="608">
        <f>$F$310</f>
        <v>75</v>
      </c>
      <c r="L320" s="500">
        <f t="shared" si="110"/>
        <v>300.81</v>
      </c>
      <c r="M320" s="501"/>
      <c r="N320" s="504">
        <f t="shared" si="111"/>
        <v>-61.33499999999998</v>
      </c>
      <c r="O320" s="505">
        <f t="shared" si="112"/>
        <v>-0.16936586174046303</v>
      </c>
      <c r="P320" s="480"/>
      <c r="Q320" s="480"/>
      <c r="R320" s="480"/>
      <c r="S320" s="480"/>
      <c r="T320" s="480"/>
    </row>
    <row r="321" spans="1:20" x14ac:dyDescent="0.2">
      <c r="A321" s="480"/>
      <c r="B321" s="495" t="s">
        <v>501</v>
      </c>
      <c r="C321" s="495"/>
      <c r="D321" s="496"/>
      <c r="E321" s="497"/>
      <c r="F321" s="498"/>
      <c r="G321" s="608">
        <f t="shared" ref="G321:G329" si="113">$F$310</f>
        <v>75</v>
      </c>
      <c r="H321" s="500">
        <f t="shared" si="109"/>
        <v>0</v>
      </c>
      <c r="I321" s="501"/>
      <c r="J321" s="502"/>
      <c r="K321" s="608">
        <f t="shared" ref="K321:K329" si="114">$F$310</f>
        <v>75</v>
      </c>
      <c r="L321" s="500">
        <f t="shared" si="110"/>
        <v>0</v>
      </c>
      <c r="M321" s="501"/>
      <c r="N321" s="504">
        <f t="shared" si="111"/>
        <v>0</v>
      </c>
      <c r="O321" s="505" t="str">
        <f t="shared" si="112"/>
        <v/>
      </c>
      <c r="P321" s="480"/>
      <c r="Q321" s="480"/>
      <c r="R321" s="480"/>
      <c r="S321" s="480"/>
      <c r="T321" s="480"/>
    </row>
    <row r="322" spans="1:20" x14ac:dyDescent="0.2">
      <c r="A322" s="480"/>
      <c r="B322" s="495" t="s">
        <v>502</v>
      </c>
      <c r="C322" s="495"/>
      <c r="D322" s="496"/>
      <c r="E322" s="497"/>
      <c r="F322" s="498"/>
      <c r="G322" s="608">
        <f t="shared" si="113"/>
        <v>75</v>
      </c>
      <c r="H322" s="500">
        <f t="shared" si="109"/>
        <v>0</v>
      </c>
      <c r="I322" s="501"/>
      <c r="J322" s="502"/>
      <c r="K322" s="608">
        <f t="shared" si="114"/>
        <v>75</v>
      </c>
      <c r="L322" s="500">
        <f t="shared" si="110"/>
        <v>0</v>
      </c>
      <c r="M322" s="501"/>
      <c r="N322" s="504">
        <f t="shared" si="111"/>
        <v>0</v>
      </c>
      <c r="O322" s="505" t="str">
        <f t="shared" si="112"/>
        <v/>
      </c>
      <c r="P322" s="480"/>
      <c r="Q322" s="480"/>
      <c r="R322" s="480"/>
      <c r="S322" s="480"/>
      <c r="T322" s="480"/>
    </row>
    <row r="323" spans="1:20" x14ac:dyDescent="0.2">
      <c r="A323" s="480"/>
      <c r="B323" s="507" t="s">
        <v>503</v>
      </c>
      <c r="C323" s="495"/>
      <c r="D323" s="496" t="s">
        <v>548</v>
      </c>
      <c r="E323" s="497"/>
      <c r="F323" s="498">
        <v>-2.7099999999999999E-2</v>
      </c>
      <c r="G323" s="608">
        <f t="shared" si="113"/>
        <v>75</v>
      </c>
      <c r="H323" s="500">
        <f t="shared" si="109"/>
        <v>-2.0324999999999998</v>
      </c>
      <c r="I323" s="501"/>
      <c r="J323" s="502"/>
      <c r="K323" s="608">
        <f t="shared" si="114"/>
        <v>75</v>
      </c>
      <c r="L323" s="500">
        <f t="shared" si="110"/>
        <v>0</v>
      </c>
      <c r="M323" s="501"/>
      <c r="N323" s="504">
        <f t="shared" si="111"/>
        <v>2.0324999999999998</v>
      </c>
      <c r="O323" s="505">
        <f t="shared" si="112"/>
        <v>-1</v>
      </c>
      <c r="P323" s="480"/>
      <c r="Q323" s="480"/>
      <c r="R323" s="480"/>
      <c r="S323" s="480"/>
      <c r="T323" s="480"/>
    </row>
    <row r="324" spans="1:20" x14ac:dyDescent="0.2">
      <c r="A324" s="480"/>
      <c r="B324" s="507" t="s">
        <v>504</v>
      </c>
      <c r="C324" s="495"/>
      <c r="D324" s="496" t="s">
        <v>548</v>
      </c>
      <c r="E324" s="497"/>
      <c r="F324" s="498">
        <v>-0.19950000000000001</v>
      </c>
      <c r="G324" s="608">
        <f t="shared" si="113"/>
        <v>75</v>
      </c>
      <c r="H324" s="500">
        <f t="shared" si="109"/>
        <v>-14.9625</v>
      </c>
      <c r="I324" s="501"/>
      <c r="J324" s="502"/>
      <c r="K324" s="608">
        <f t="shared" si="114"/>
        <v>75</v>
      </c>
      <c r="L324" s="500">
        <f t="shared" si="110"/>
        <v>0</v>
      </c>
      <c r="M324" s="501"/>
      <c r="N324" s="504">
        <f t="shared" si="111"/>
        <v>14.9625</v>
      </c>
      <c r="O324" s="505">
        <f t="shared" si="112"/>
        <v>-1</v>
      </c>
      <c r="P324" s="480"/>
      <c r="Q324" s="480"/>
      <c r="R324" s="480"/>
      <c r="S324" s="480"/>
      <c r="T324" s="480"/>
    </row>
    <row r="325" spans="1:20" x14ac:dyDescent="0.2">
      <c r="A325" s="480"/>
      <c r="B325" s="507" t="s">
        <v>505</v>
      </c>
      <c r="C325" s="495"/>
      <c r="D325" s="496" t="s">
        <v>548</v>
      </c>
      <c r="E325" s="497"/>
      <c r="F325" s="498"/>
      <c r="G325" s="608">
        <f t="shared" si="113"/>
        <v>75</v>
      </c>
      <c r="H325" s="500">
        <f t="shared" si="109"/>
        <v>0</v>
      </c>
      <c r="I325" s="501"/>
      <c r="J325" s="502">
        <v>5.8500000000000003E-2</v>
      </c>
      <c r="K325" s="608">
        <f t="shared" si="114"/>
        <v>75</v>
      </c>
      <c r="L325" s="500">
        <f t="shared" si="110"/>
        <v>4.3875000000000002</v>
      </c>
      <c r="M325" s="501"/>
      <c r="N325" s="504">
        <f t="shared" si="111"/>
        <v>4.3875000000000002</v>
      </c>
      <c r="O325" s="505" t="str">
        <f t="shared" si="112"/>
        <v/>
      </c>
      <c r="P325" s="480"/>
      <c r="Q325" s="480"/>
      <c r="R325" s="480"/>
      <c r="S325" s="480"/>
      <c r="T325" s="480"/>
    </row>
    <row r="326" spans="1:20" x14ac:dyDescent="0.2">
      <c r="A326" s="480"/>
      <c r="B326" s="507" t="s">
        <v>506</v>
      </c>
      <c r="C326" s="495"/>
      <c r="D326" s="496" t="s">
        <v>548</v>
      </c>
      <c r="E326" s="497"/>
      <c r="F326" s="498"/>
      <c r="G326" s="608">
        <f t="shared" si="113"/>
        <v>75</v>
      </c>
      <c r="H326" s="500">
        <f t="shared" si="109"/>
        <v>0</v>
      </c>
      <c r="I326" s="501"/>
      <c r="J326" s="502">
        <v>-0.128</v>
      </c>
      <c r="K326" s="608">
        <f t="shared" si="114"/>
        <v>75</v>
      </c>
      <c r="L326" s="500">
        <f t="shared" si="110"/>
        <v>-9.6</v>
      </c>
      <c r="M326" s="501"/>
      <c r="N326" s="504">
        <f t="shared" si="111"/>
        <v>-9.6</v>
      </c>
      <c r="O326" s="505" t="str">
        <f t="shared" si="112"/>
        <v/>
      </c>
      <c r="P326" s="480"/>
      <c r="Q326" s="480"/>
      <c r="R326" s="480"/>
      <c r="S326" s="480"/>
      <c r="T326" s="480"/>
    </row>
    <row r="327" spans="1:20" x14ac:dyDescent="0.2">
      <c r="A327" s="480"/>
      <c r="B327" s="507" t="s">
        <v>507</v>
      </c>
      <c r="C327" s="495"/>
      <c r="D327" s="496" t="s">
        <v>548</v>
      </c>
      <c r="E327" s="497"/>
      <c r="F327" s="498"/>
      <c r="G327" s="608">
        <f t="shared" si="113"/>
        <v>75</v>
      </c>
      <c r="H327" s="500">
        <f t="shared" si="109"/>
        <v>0</v>
      </c>
      <c r="I327" s="501"/>
      <c r="J327" s="502">
        <v>1.9300000000000001E-2</v>
      </c>
      <c r="K327" s="608">
        <f t="shared" si="114"/>
        <v>75</v>
      </c>
      <c r="L327" s="500">
        <f t="shared" si="110"/>
        <v>1.4475</v>
      </c>
      <c r="M327" s="501"/>
      <c r="N327" s="504">
        <f t="shared" si="111"/>
        <v>1.4475</v>
      </c>
      <c r="O327" s="505" t="str">
        <f t="shared" si="112"/>
        <v/>
      </c>
      <c r="P327" s="480"/>
      <c r="Q327" s="480"/>
      <c r="R327" s="480"/>
      <c r="S327" s="480"/>
      <c r="T327" s="480"/>
    </row>
    <row r="328" spans="1:20" x14ac:dyDescent="0.2">
      <c r="A328" s="480"/>
      <c r="B328" s="508"/>
      <c r="C328" s="495"/>
      <c r="D328" s="496"/>
      <c r="E328" s="497"/>
      <c r="F328" s="498"/>
      <c r="G328" s="608">
        <f t="shared" si="113"/>
        <v>75</v>
      </c>
      <c r="H328" s="500">
        <f t="shared" si="109"/>
        <v>0</v>
      </c>
      <c r="I328" s="501"/>
      <c r="J328" s="502"/>
      <c r="K328" s="608">
        <f t="shared" si="114"/>
        <v>75</v>
      </c>
      <c r="L328" s="500">
        <f t="shared" si="110"/>
        <v>0</v>
      </c>
      <c r="M328" s="501"/>
      <c r="N328" s="504">
        <f t="shared" si="111"/>
        <v>0</v>
      </c>
      <c r="O328" s="505" t="str">
        <f t="shared" si="112"/>
        <v/>
      </c>
      <c r="P328" s="480"/>
      <c r="Q328" s="480"/>
      <c r="R328" s="480"/>
      <c r="S328" s="480"/>
      <c r="T328" s="480"/>
    </row>
    <row r="329" spans="1:20" x14ac:dyDescent="0.2">
      <c r="A329" s="480"/>
      <c r="B329" s="508"/>
      <c r="C329" s="495"/>
      <c r="D329" s="496"/>
      <c r="E329" s="497"/>
      <c r="F329" s="498"/>
      <c r="G329" s="608">
        <f t="shared" si="113"/>
        <v>75</v>
      </c>
      <c r="H329" s="500">
        <f t="shared" si="109"/>
        <v>0</v>
      </c>
      <c r="I329" s="501"/>
      <c r="J329" s="502"/>
      <c r="K329" s="608">
        <f t="shared" si="114"/>
        <v>75</v>
      </c>
      <c r="L329" s="500">
        <f t="shared" si="110"/>
        <v>0</v>
      </c>
      <c r="M329" s="501"/>
      <c r="N329" s="504">
        <f t="shared" si="111"/>
        <v>0</v>
      </c>
      <c r="O329" s="505" t="str">
        <f t="shared" si="112"/>
        <v/>
      </c>
      <c r="P329" s="480"/>
      <c r="Q329" s="480"/>
      <c r="R329" s="480"/>
      <c r="S329" s="480"/>
      <c r="T329" s="480"/>
    </row>
    <row r="330" spans="1:20" x14ac:dyDescent="0.2">
      <c r="A330" s="509"/>
      <c r="B330" s="510" t="s">
        <v>508</v>
      </c>
      <c r="C330" s="511"/>
      <c r="D330" s="512"/>
      <c r="E330" s="511"/>
      <c r="F330" s="513"/>
      <c r="G330" s="514"/>
      <c r="H330" s="515">
        <f>SUM(H314:H329)</f>
        <v>461.45</v>
      </c>
      <c r="I330" s="516"/>
      <c r="J330" s="517"/>
      <c r="K330" s="518"/>
      <c r="L330" s="515">
        <f>SUM(L314:L329)</f>
        <v>382.41499999999996</v>
      </c>
      <c r="M330" s="516"/>
      <c r="N330" s="519">
        <f t="shared" si="111"/>
        <v>-79.035000000000025</v>
      </c>
      <c r="O330" s="520">
        <f t="shared" si="112"/>
        <v>-0.1712753277711562</v>
      </c>
      <c r="P330" s="509"/>
      <c r="Q330" s="509"/>
      <c r="R330" s="509"/>
      <c r="S330" s="509"/>
      <c r="T330" s="509"/>
    </row>
    <row r="331" spans="1:20" ht="25.5" x14ac:dyDescent="0.2">
      <c r="A331" s="480"/>
      <c r="B331" s="521" t="s">
        <v>509</v>
      </c>
      <c r="C331" s="495"/>
      <c r="D331" s="496" t="s">
        <v>548</v>
      </c>
      <c r="E331" s="497"/>
      <c r="F331" s="502">
        <f>-0.8179-0.3687</f>
        <v>-1.1865999999999999</v>
      </c>
      <c r="G331" s="608">
        <f>$F$310</f>
        <v>75</v>
      </c>
      <c r="H331" s="500">
        <f>G331*F331</f>
        <v>-88.99499999999999</v>
      </c>
      <c r="I331" s="501"/>
      <c r="J331" s="502">
        <f>-0.9743+1.5444</f>
        <v>0.57009999999999994</v>
      </c>
      <c r="K331" s="608">
        <f>$F$310</f>
        <v>75</v>
      </c>
      <c r="L331" s="500">
        <f>K331*J331</f>
        <v>42.757499999999993</v>
      </c>
      <c r="M331" s="501"/>
      <c r="N331" s="504">
        <f>L331-H331</f>
        <v>131.7525</v>
      </c>
      <c r="O331" s="505">
        <f>IF((H331)=0,"",(N331/H331))*-1</f>
        <v>1.4804483397943706</v>
      </c>
      <c r="P331" s="480"/>
      <c r="Q331" s="480"/>
      <c r="R331" s="480"/>
      <c r="S331" s="480"/>
      <c r="T331" s="480"/>
    </row>
    <row r="332" spans="1:20" x14ac:dyDescent="0.2">
      <c r="A332" s="480"/>
      <c r="B332" s="521"/>
      <c r="C332" s="495"/>
      <c r="D332" s="496"/>
      <c r="E332" s="497"/>
      <c r="F332" s="498"/>
      <c r="G332" s="608">
        <f t="shared" ref="G332:G335" si="115">$F$310</f>
        <v>75</v>
      </c>
      <c r="H332" s="500">
        <f t="shared" ref="H332:H334" si="116">G332*F332</f>
        <v>0</v>
      </c>
      <c r="I332" s="522"/>
      <c r="J332" s="502"/>
      <c r="K332" s="608">
        <f t="shared" ref="K332:K335" si="117">$F$310</f>
        <v>75</v>
      </c>
      <c r="L332" s="500">
        <f t="shared" ref="L332:L334" si="118">K332*J332</f>
        <v>0</v>
      </c>
      <c r="M332" s="523"/>
      <c r="N332" s="504">
        <f t="shared" ref="N332:N334" si="119">L332-H332</f>
        <v>0</v>
      </c>
      <c r="O332" s="505" t="str">
        <f t="shared" ref="O332:O334" si="120">IF((H332)=0,"",(N332/H332))</f>
        <v/>
      </c>
      <c r="P332" s="480"/>
      <c r="Q332" s="480"/>
      <c r="R332" s="480"/>
      <c r="S332" s="480"/>
      <c r="T332" s="480"/>
    </row>
    <row r="333" spans="1:20" x14ac:dyDescent="0.2">
      <c r="A333" s="480"/>
      <c r="B333" s="521"/>
      <c r="C333" s="495"/>
      <c r="D333" s="496"/>
      <c r="E333" s="497"/>
      <c r="F333" s="498"/>
      <c r="G333" s="608">
        <f t="shared" si="115"/>
        <v>75</v>
      </c>
      <c r="H333" s="500">
        <f t="shared" si="116"/>
        <v>0</v>
      </c>
      <c r="I333" s="522"/>
      <c r="J333" s="502"/>
      <c r="K333" s="608">
        <f t="shared" si="117"/>
        <v>75</v>
      </c>
      <c r="L333" s="500">
        <f t="shared" si="118"/>
        <v>0</v>
      </c>
      <c r="M333" s="523"/>
      <c r="N333" s="504">
        <f t="shared" si="119"/>
        <v>0</v>
      </c>
      <c r="O333" s="505" t="str">
        <f t="shared" si="120"/>
        <v/>
      </c>
      <c r="P333" s="480"/>
      <c r="Q333" s="480"/>
      <c r="R333" s="480"/>
      <c r="S333" s="480"/>
      <c r="T333" s="480"/>
    </row>
    <row r="334" spans="1:20" x14ac:dyDescent="0.2">
      <c r="A334" s="480"/>
      <c r="B334" s="521"/>
      <c r="C334" s="495"/>
      <c r="D334" s="496"/>
      <c r="E334" s="497"/>
      <c r="F334" s="498"/>
      <c r="G334" s="608">
        <f t="shared" si="115"/>
        <v>75</v>
      </c>
      <c r="H334" s="500">
        <f t="shared" si="116"/>
        <v>0</v>
      </c>
      <c r="I334" s="522"/>
      <c r="J334" s="502"/>
      <c r="K334" s="608">
        <f t="shared" si="117"/>
        <v>75</v>
      </c>
      <c r="L334" s="500">
        <f t="shared" si="118"/>
        <v>0</v>
      </c>
      <c r="M334" s="523"/>
      <c r="N334" s="504">
        <f t="shared" si="119"/>
        <v>0</v>
      </c>
      <c r="O334" s="505" t="str">
        <f t="shared" si="120"/>
        <v/>
      </c>
      <c r="P334" s="480"/>
      <c r="Q334" s="480"/>
      <c r="R334" s="480"/>
      <c r="S334" s="480"/>
      <c r="T334" s="480"/>
    </row>
    <row r="335" spans="1:20" x14ac:dyDescent="0.2">
      <c r="A335" s="480"/>
      <c r="B335" s="524" t="s">
        <v>510</v>
      </c>
      <c r="C335" s="495"/>
      <c r="D335" s="496" t="s">
        <v>548</v>
      </c>
      <c r="E335" s="497"/>
      <c r="F335" s="498">
        <v>0.1502</v>
      </c>
      <c r="G335" s="608">
        <f t="shared" si="115"/>
        <v>75</v>
      </c>
      <c r="H335" s="500">
        <f>G335*F335</f>
        <v>11.265000000000001</v>
      </c>
      <c r="I335" s="501"/>
      <c r="J335" s="502">
        <v>0.1484</v>
      </c>
      <c r="K335" s="608">
        <f t="shared" si="117"/>
        <v>75</v>
      </c>
      <c r="L335" s="500">
        <f>K335*J335</f>
        <v>11.13</v>
      </c>
      <c r="M335" s="501"/>
      <c r="N335" s="504">
        <f>L335-H335</f>
        <v>-0.13499999999999979</v>
      </c>
      <c r="O335" s="505">
        <f>IF((H335)=0,"",(N335/H335))</f>
        <v>-1.1984021304926745E-2</v>
      </c>
      <c r="P335" s="480"/>
      <c r="Q335" s="480"/>
      <c r="R335" s="480"/>
      <c r="S335" s="480"/>
      <c r="T335" s="480"/>
    </row>
    <row r="336" spans="1:20" x14ac:dyDescent="0.2">
      <c r="A336" s="480"/>
      <c r="B336" s="524" t="s">
        <v>511</v>
      </c>
      <c r="C336" s="495"/>
      <c r="D336" s="496" t="s">
        <v>500</v>
      </c>
      <c r="E336" s="497"/>
      <c r="F336" s="525">
        <f>IF(ISBLANK(D307)=TRUE, 0, IF(D307="TOU", 0.64*$F$110+0.18*$F$111+0.18*$F$112, IF(AND(D307="non-TOU", G347&gt;0), F347,F346)))</f>
        <v>9.0999999999999998E-2</v>
      </c>
      <c r="G336" s="609">
        <f>$F$309*(1+$F$121)-$F$309</f>
        <v>3400</v>
      </c>
      <c r="H336" s="500">
        <f t="shared" ref="H336" si="121">G336*F336</f>
        <v>309.39999999999998</v>
      </c>
      <c r="I336" s="501"/>
      <c r="J336" s="525">
        <f>IF(ISBLANK(D307)=TRUE, 0, IF(D307="TOU", 0.64*$F$110+0.18*$F$111+0.18*$F$112, IF(AND(D307="non-TOU", K347&gt;0), J347,J346)))</f>
        <v>9.0999999999999998E-2</v>
      </c>
      <c r="K336" s="609">
        <f>$F$309*(1+$J$121)-$F$309</f>
        <v>3275.0000000000073</v>
      </c>
      <c r="L336" s="500">
        <f t="shared" ref="L336" si="122">K336*J336</f>
        <v>298.02500000000066</v>
      </c>
      <c r="M336" s="501"/>
      <c r="N336" s="504">
        <f t="shared" ref="N336" si="123">L336-H336</f>
        <v>-11.374999999999318</v>
      </c>
      <c r="O336" s="505">
        <f t="shared" ref="O336" si="124">IF((H336)=0,"",(N336/H336))</f>
        <v>-3.6764705882350736E-2</v>
      </c>
      <c r="P336" s="480"/>
      <c r="Q336" s="480"/>
      <c r="R336" s="480"/>
      <c r="S336" s="480"/>
      <c r="T336" s="480"/>
    </row>
    <row r="337" spans="1:20" x14ac:dyDescent="0.2">
      <c r="A337" s="480"/>
      <c r="B337" s="524" t="s">
        <v>512</v>
      </c>
      <c r="C337" s="495"/>
      <c r="D337" s="496"/>
      <c r="E337" s="497"/>
      <c r="F337" s="525">
        <v>0.79</v>
      </c>
      <c r="G337" s="499"/>
      <c r="H337" s="500">
        <f>G337*F337</f>
        <v>0</v>
      </c>
      <c r="I337" s="501"/>
      <c r="J337" s="525">
        <v>0.79</v>
      </c>
      <c r="K337" s="499"/>
      <c r="L337" s="500">
        <f>K337*J337</f>
        <v>0</v>
      </c>
      <c r="M337" s="501"/>
      <c r="N337" s="504">
        <f>L337-H337</f>
        <v>0</v>
      </c>
      <c r="O337" s="505"/>
      <c r="P337" s="480"/>
      <c r="Q337" s="480"/>
      <c r="R337" s="480"/>
      <c r="S337" s="480"/>
      <c r="T337" s="480"/>
    </row>
    <row r="338" spans="1:20" ht="25.5" x14ac:dyDescent="0.2">
      <c r="A338" s="480"/>
      <c r="B338" s="528" t="s">
        <v>513</v>
      </c>
      <c r="C338" s="529"/>
      <c r="D338" s="529"/>
      <c r="E338" s="529"/>
      <c r="F338" s="530"/>
      <c r="G338" s="531"/>
      <c r="H338" s="532">
        <f>SUM(H331:H337)+H330</f>
        <v>693.12</v>
      </c>
      <c r="I338" s="516"/>
      <c r="J338" s="531"/>
      <c r="K338" s="533"/>
      <c r="L338" s="532">
        <f>SUM(L331:L337)+L330</f>
        <v>734.32750000000055</v>
      </c>
      <c r="M338" s="516"/>
      <c r="N338" s="519">
        <f t="shared" ref="N338:N347" si="125">L338-H338</f>
        <v>41.20750000000055</v>
      </c>
      <c r="O338" s="520">
        <f t="shared" ref="O338:O347" si="126">IF((H338)=0,"",(N338/H338))</f>
        <v>5.9452187211450472E-2</v>
      </c>
      <c r="P338" s="480"/>
      <c r="Q338" s="480"/>
      <c r="R338" s="480"/>
      <c r="S338" s="480"/>
      <c r="T338" s="480"/>
    </row>
    <row r="339" spans="1:20" x14ac:dyDescent="0.2">
      <c r="A339" s="480"/>
      <c r="B339" s="501" t="s">
        <v>514</v>
      </c>
      <c r="C339" s="501"/>
      <c r="D339" s="534" t="s">
        <v>548</v>
      </c>
      <c r="E339" s="535"/>
      <c r="F339" s="502">
        <v>2.3782999999999999</v>
      </c>
      <c r="G339" s="536">
        <f>F310</f>
        <v>75</v>
      </c>
      <c r="H339" s="500">
        <f>G339*F339</f>
        <v>178.3725</v>
      </c>
      <c r="I339" s="501"/>
      <c r="J339" s="502">
        <v>2.6015999999999999</v>
      </c>
      <c r="K339" s="537">
        <f>F310</f>
        <v>75</v>
      </c>
      <c r="L339" s="500">
        <f>K339*J339</f>
        <v>195.12</v>
      </c>
      <c r="M339" s="501"/>
      <c r="N339" s="504">
        <f t="shared" si="125"/>
        <v>16.747500000000002</v>
      </c>
      <c r="O339" s="505">
        <f t="shared" si="126"/>
        <v>9.3890594121851759E-2</v>
      </c>
      <c r="P339" s="480"/>
      <c r="Q339" s="480"/>
      <c r="R339" s="480"/>
      <c r="S339" s="480"/>
      <c r="T339" s="480"/>
    </row>
    <row r="340" spans="1:20" ht="30" x14ac:dyDescent="0.2">
      <c r="A340" s="480"/>
      <c r="B340" s="538" t="s">
        <v>515</v>
      </c>
      <c r="C340" s="501"/>
      <c r="D340" s="534" t="s">
        <v>548</v>
      </c>
      <c r="E340" s="535"/>
      <c r="F340" s="502">
        <v>1.7324999999999999</v>
      </c>
      <c r="G340" s="536">
        <f>G339</f>
        <v>75</v>
      </c>
      <c r="H340" s="500">
        <f>G340*F340</f>
        <v>129.9375</v>
      </c>
      <c r="I340" s="501"/>
      <c r="J340" s="502">
        <v>2.0329000000000002</v>
      </c>
      <c r="K340" s="537">
        <f>K339</f>
        <v>75</v>
      </c>
      <c r="L340" s="500">
        <f>K340*J340</f>
        <v>152.4675</v>
      </c>
      <c r="M340" s="501"/>
      <c r="N340" s="504">
        <f t="shared" si="125"/>
        <v>22.53</v>
      </c>
      <c r="O340" s="505">
        <f t="shared" si="126"/>
        <v>0.1733910533910534</v>
      </c>
      <c r="P340" s="480"/>
      <c r="Q340" s="480"/>
      <c r="R340" s="480"/>
      <c r="S340" s="480"/>
      <c r="T340" s="480"/>
    </row>
    <row r="341" spans="1:20" ht="25.5" x14ac:dyDescent="0.2">
      <c r="A341" s="480"/>
      <c r="B341" s="528" t="s">
        <v>516</v>
      </c>
      <c r="C341" s="511"/>
      <c r="D341" s="511"/>
      <c r="E341" s="511"/>
      <c r="F341" s="539"/>
      <c r="G341" s="531"/>
      <c r="H341" s="532">
        <f>SUM(H338:H340)</f>
        <v>1001.4300000000001</v>
      </c>
      <c r="I341" s="540"/>
      <c r="J341" s="541"/>
      <c r="K341" s="542"/>
      <c r="L341" s="532">
        <f>SUM(L338:L340)</f>
        <v>1081.9150000000006</v>
      </c>
      <c r="M341" s="540"/>
      <c r="N341" s="519">
        <f t="shared" si="125"/>
        <v>80.485000000000582</v>
      </c>
      <c r="O341" s="520">
        <f t="shared" si="126"/>
        <v>8.0370070798758353E-2</v>
      </c>
      <c r="P341" s="480"/>
      <c r="Q341" s="480"/>
      <c r="R341" s="480"/>
      <c r="S341" s="480"/>
      <c r="T341" s="480"/>
    </row>
    <row r="342" spans="1:20" ht="30" x14ac:dyDescent="0.2">
      <c r="A342" s="480"/>
      <c r="B342" s="543" t="s">
        <v>517</v>
      </c>
      <c r="C342" s="495"/>
      <c r="D342" s="496" t="s">
        <v>500</v>
      </c>
      <c r="E342" s="497"/>
      <c r="F342" s="544">
        <v>4.4000000000000003E-3</v>
      </c>
      <c r="G342" s="536">
        <f>F309*(1+F356)</f>
        <v>53400</v>
      </c>
      <c r="H342" s="545">
        <f t="shared" ref="H342:H345" si="127">G342*F342</f>
        <v>234.96</v>
      </c>
      <c r="I342" s="501"/>
      <c r="J342" s="546">
        <v>4.4000000000000003E-3</v>
      </c>
      <c r="K342" s="537">
        <f>F309*(1+J356)</f>
        <v>53275.000000000007</v>
      </c>
      <c r="L342" s="545">
        <f t="shared" ref="L342:L345" si="128">K342*J342</f>
        <v>234.41000000000005</v>
      </c>
      <c r="M342" s="501"/>
      <c r="N342" s="504">
        <f t="shared" si="125"/>
        <v>-0.54999999999995453</v>
      </c>
      <c r="O342" s="547">
        <f t="shared" si="126"/>
        <v>-2.3408239700372594E-3</v>
      </c>
      <c r="P342" s="480"/>
      <c r="Q342" s="480"/>
      <c r="R342" s="480"/>
      <c r="S342" s="480"/>
      <c r="T342" s="480"/>
    </row>
    <row r="343" spans="1:20" ht="30" x14ac:dyDescent="0.2">
      <c r="A343" s="480"/>
      <c r="B343" s="543" t="s">
        <v>518</v>
      </c>
      <c r="C343" s="495"/>
      <c r="D343" s="496" t="s">
        <v>500</v>
      </c>
      <c r="E343" s="497"/>
      <c r="F343" s="544">
        <v>1.1999999999999999E-3</v>
      </c>
      <c r="G343" s="536">
        <f>G342</f>
        <v>53400</v>
      </c>
      <c r="H343" s="545">
        <f t="shared" si="127"/>
        <v>64.08</v>
      </c>
      <c r="I343" s="501"/>
      <c r="J343" s="546">
        <v>1.2999999999999999E-3</v>
      </c>
      <c r="K343" s="537">
        <f>K342</f>
        <v>53275.000000000007</v>
      </c>
      <c r="L343" s="545">
        <f t="shared" si="128"/>
        <v>69.257500000000007</v>
      </c>
      <c r="M343" s="501"/>
      <c r="N343" s="504">
        <f t="shared" si="125"/>
        <v>5.1775000000000091</v>
      </c>
      <c r="O343" s="547">
        <f t="shared" si="126"/>
        <v>8.0797440699126241E-2</v>
      </c>
      <c r="P343" s="480"/>
      <c r="Q343" s="480"/>
      <c r="R343" s="480"/>
      <c r="S343" s="480"/>
      <c r="T343" s="480"/>
    </row>
    <row r="344" spans="1:20" x14ac:dyDescent="0.2">
      <c r="A344" s="480"/>
      <c r="B344" s="495" t="s">
        <v>519</v>
      </c>
      <c r="C344" s="495"/>
      <c r="D344" s="496" t="s">
        <v>497</v>
      </c>
      <c r="E344" s="497"/>
      <c r="F344" s="544">
        <v>0.25</v>
      </c>
      <c r="G344" s="499">
        <v>1</v>
      </c>
      <c r="H344" s="545">
        <f t="shared" si="127"/>
        <v>0.25</v>
      </c>
      <c r="I344" s="501"/>
      <c r="J344" s="546">
        <v>0.25</v>
      </c>
      <c r="K344" s="503">
        <v>1</v>
      </c>
      <c r="L344" s="545">
        <f t="shared" si="128"/>
        <v>0.25</v>
      </c>
      <c r="M344" s="501"/>
      <c r="N344" s="504">
        <f t="shared" si="125"/>
        <v>0</v>
      </c>
      <c r="O344" s="547">
        <f t="shared" si="126"/>
        <v>0</v>
      </c>
      <c r="P344" s="480"/>
      <c r="Q344" s="480"/>
      <c r="R344" s="480"/>
      <c r="S344" s="480"/>
      <c r="T344" s="480"/>
    </row>
    <row r="345" spans="1:20" x14ac:dyDescent="0.2">
      <c r="A345" s="480"/>
      <c r="B345" s="495" t="s">
        <v>520</v>
      </c>
      <c r="C345" s="495"/>
      <c r="D345" s="496" t="s">
        <v>500</v>
      </c>
      <c r="E345" s="497"/>
      <c r="F345" s="544">
        <v>7.0000000000000001E-3</v>
      </c>
      <c r="G345" s="548">
        <f>F309</f>
        <v>50000</v>
      </c>
      <c r="H345" s="545">
        <f t="shared" si="127"/>
        <v>350</v>
      </c>
      <c r="I345" s="501"/>
      <c r="J345" s="546">
        <v>7.0000000000000001E-3</v>
      </c>
      <c r="K345" s="549">
        <f>F309</f>
        <v>50000</v>
      </c>
      <c r="L345" s="545">
        <f t="shared" si="128"/>
        <v>350</v>
      </c>
      <c r="M345" s="501"/>
      <c r="N345" s="504">
        <f t="shared" si="125"/>
        <v>0</v>
      </c>
      <c r="O345" s="547">
        <f t="shared" si="126"/>
        <v>0</v>
      </c>
      <c r="P345" s="480"/>
      <c r="Q345" s="480"/>
      <c r="R345" s="480"/>
      <c r="S345" s="480"/>
      <c r="T345" s="480"/>
    </row>
    <row r="346" spans="1:20" x14ac:dyDescent="0.2">
      <c r="A346" s="597"/>
      <c r="B346" s="610" t="s">
        <v>549</v>
      </c>
      <c r="C346" s="611"/>
      <c r="D346" s="612" t="s">
        <v>500</v>
      </c>
      <c r="E346" s="613"/>
      <c r="F346" s="550">
        <v>7.8E-2</v>
      </c>
      <c r="G346" s="614">
        <f>IF(AND($T$2=1, F309&gt;=600), 600, IF(AND($T$2=1, AND(F309&lt;600, F309&gt;=0)), F309, IF(AND($T$3=2, F309&gt;=1000), 1000, IF(AND($T$3=2, AND(F309&lt;1000, F309&gt;=0)), F309))))</f>
        <v>600</v>
      </c>
      <c r="H346" s="545">
        <f>G346*F346</f>
        <v>46.8</v>
      </c>
      <c r="I346" s="615"/>
      <c r="J346" s="544">
        <v>7.8E-2</v>
      </c>
      <c r="K346" s="614">
        <f>G346</f>
        <v>600</v>
      </c>
      <c r="L346" s="545">
        <f>K346*J346</f>
        <v>46.8</v>
      </c>
      <c r="M346" s="615"/>
      <c r="N346" s="616">
        <f t="shared" si="125"/>
        <v>0</v>
      </c>
      <c r="O346" s="547">
        <f t="shared" si="126"/>
        <v>0</v>
      </c>
      <c r="P346" s="597"/>
      <c r="Q346" s="597"/>
      <c r="R346" s="597"/>
      <c r="S346" s="597"/>
      <c r="T346" s="597"/>
    </row>
    <row r="347" spans="1:20" ht="15.75" thickBot="1" x14ac:dyDescent="0.25">
      <c r="A347" s="597"/>
      <c r="B347" s="610" t="s">
        <v>550</v>
      </c>
      <c r="C347" s="611"/>
      <c r="D347" s="612" t="s">
        <v>500</v>
      </c>
      <c r="E347" s="613"/>
      <c r="F347" s="550">
        <v>9.0999999999999998E-2</v>
      </c>
      <c r="G347" s="614">
        <f>IF(AND($T$2=1, F309&gt;=600), F309-600, IF(AND($T$2=1, AND(F309&lt;600, F309&gt;=0)), 0, IF(AND($T$3=2, F309&gt;=1000), F309-1000, IF(AND($T$3=2, AND(F309&lt;1000, F309&gt;=0)), 0))))</f>
        <v>49400</v>
      </c>
      <c r="H347" s="545">
        <f>G347*F347</f>
        <v>4495.3999999999996</v>
      </c>
      <c r="I347" s="615"/>
      <c r="J347" s="544">
        <v>9.0999999999999998E-2</v>
      </c>
      <c r="K347" s="614">
        <f>G347</f>
        <v>49400</v>
      </c>
      <c r="L347" s="545">
        <f>K347*J347</f>
        <v>4495.3999999999996</v>
      </c>
      <c r="M347" s="615"/>
      <c r="N347" s="616">
        <f t="shared" si="125"/>
        <v>0</v>
      </c>
      <c r="O347" s="547">
        <f t="shared" si="126"/>
        <v>0</v>
      </c>
      <c r="P347" s="597"/>
      <c r="Q347" s="597"/>
      <c r="R347" s="597"/>
      <c r="S347" s="597"/>
      <c r="T347" s="597"/>
    </row>
    <row r="348" spans="1:20" ht="15.75" thickBot="1" x14ac:dyDescent="0.25">
      <c r="A348" s="480"/>
      <c r="B348" s="553"/>
      <c r="C348" s="554"/>
      <c r="D348" s="555"/>
      <c r="E348" s="554"/>
      <c r="F348" s="556"/>
      <c r="G348" s="557"/>
      <c r="H348" s="558"/>
      <c r="I348" s="559"/>
      <c r="J348" s="556"/>
      <c r="K348" s="560"/>
      <c r="L348" s="558"/>
      <c r="M348" s="559"/>
      <c r="N348" s="561"/>
      <c r="O348" s="562"/>
      <c r="P348" s="480"/>
      <c r="Q348" s="480"/>
      <c r="R348" s="480"/>
      <c r="S348" s="480"/>
      <c r="T348" s="480"/>
    </row>
    <row r="349" spans="1:20" x14ac:dyDescent="0.2">
      <c r="A349" s="597"/>
      <c r="B349" s="617" t="s">
        <v>551</v>
      </c>
      <c r="C349" s="611"/>
      <c r="D349" s="611"/>
      <c r="E349" s="611"/>
      <c r="F349" s="618"/>
      <c r="G349" s="619"/>
      <c r="H349" s="620">
        <f>SUM(H346:H347,H341,H342:H345)</f>
        <v>6192.92</v>
      </c>
      <c r="I349" s="621"/>
      <c r="J349" s="622"/>
      <c r="K349" s="622"/>
      <c r="L349" s="620">
        <f>SUM(L346:L347,L341,L342:L345)</f>
        <v>6278.0325000000003</v>
      </c>
      <c r="M349" s="623"/>
      <c r="N349" s="624">
        <f t="shared" ref="N349:N353" si="129">L349-H349</f>
        <v>85.112500000000182</v>
      </c>
      <c r="O349" s="571">
        <f t="shared" ref="O349:O353" si="130">IF((H349)=0,"",(N349/H349))</f>
        <v>1.374351679014103E-2</v>
      </c>
      <c r="P349" s="597"/>
      <c r="Q349" s="597"/>
      <c r="R349" s="597"/>
      <c r="S349" s="597"/>
      <c r="T349" s="597"/>
    </row>
    <row r="350" spans="1:20" x14ac:dyDescent="0.2">
      <c r="A350" s="597"/>
      <c r="B350" s="625" t="s">
        <v>525</v>
      </c>
      <c r="C350" s="611"/>
      <c r="D350" s="611"/>
      <c r="E350" s="611"/>
      <c r="F350" s="626">
        <v>0.13</v>
      </c>
      <c r="G350" s="619"/>
      <c r="H350" s="627">
        <f>H349*F350</f>
        <v>805.07960000000003</v>
      </c>
      <c r="I350" s="628"/>
      <c r="J350" s="629">
        <v>0.13</v>
      </c>
      <c r="K350" s="630"/>
      <c r="L350" s="631">
        <f>L349*J350</f>
        <v>816.14422500000001</v>
      </c>
      <c r="M350" s="632"/>
      <c r="N350" s="633">
        <f t="shared" si="129"/>
        <v>11.064624999999978</v>
      </c>
      <c r="O350" s="581">
        <f t="shared" si="130"/>
        <v>1.3743516790140973E-2</v>
      </c>
      <c r="P350" s="597"/>
      <c r="Q350" s="597"/>
      <c r="R350" s="597"/>
      <c r="S350" s="597"/>
      <c r="T350" s="597"/>
    </row>
    <row r="351" spans="1:20" x14ac:dyDescent="0.2">
      <c r="A351" s="597"/>
      <c r="B351" s="634" t="s">
        <v>526</v>
      </c>
      <c r="C351" s="611"/>
      <c r="D351" s="611"/>
      <c r="E351" s="611"/>
      <c r="F351" s="635"/>
      <c r="G351" s="636"/>
      <c r="H351" s="627">
        <f>H349+H350</f>
        <v>6997.9996000000001</v>
      </c>
      <c r="I351" s="628"/>
      <c r="J351" s="628"/>
      <c r="K351" s="628"/>
      <c r="L351" s="631">
        <f>L349+L350</f>
        <v>7094.1767250000003</v>
      </c>
      <c r="M351" s="632"/>
      <c r="N351" s="633">
        <f t="shared" si="129"/>
        <v>96.17712500000016</v>
      </c>
      <c r="O351" s="581">
        <f t="shared" si="130"/>
        <v>1.3743516790141023E-2</v>
      </c>
      <c r="P351" s="597"/>
      <c r="Q351" s="597"/>
      <c r="R351" s="597"/>
      <c r="S351" s="597"/>
      <c r="T351" s="597"/>
    </row>
    <row r="352" spans="1:20" x14ac:dyDescent="0.2">
      <c r="A352" s="597"/>
      <c r="B352" s="970" t="s">
        <v>527</v>
      </c>
      <c r="C352" s="970"/>
      <c r="D352" s="970"/>
      <c r="E352" s="611"/>
      <c r="F352" s="635"/>
      <c r="G352" s="636"/>
      <c r="H352" s="637"/>
      <c r="I352" s="628"/>
      <c r="J352" s="628"/>
      <c r="K352" s="628"/>
      <c r="L352" s="638"/>
      <c r="M352" s="632"/>
      <c r="N352" s="639">
        <f t="shared" si="129"/>
        <v>0</v>
      </c>
      <c r="O352" s="587" t="str">
        <f t="shared" si="130"/>
        <v/>
      </c>
      <c r="P352" s="597"/>
      <c r="Q352" s="597"/>
      <c r="R352" s="597"/>
      <c r="S352" s="597"/>
      <c r="T352" s="597"/>
    </row>
    <row r="353" spans="1:20" ht="15.75" thickBot="1" x14ac:dyDescent="0.25">
      <c r="A353" s="597"/>
      <c r="B353" s="971" t="s">
        <v>552</v>
      </c>
      <c r="C353" s="971"/>
      <c r="D353" s="971"/>
      <c r="E353" s="640"/>
      <c r="F353" s="641"/>
      <c r="G353" s="642"/>
      <c r="H353" s="643">
        <f>SUM(H351:H352)</f>
        <v>6997.9996000000001</v>
      </c>
      <c r="I353" s="644"/>
      <c r="J353" s="644"/>
      <c r="K353" s="644"/>
      <c r="L353" s="645">
        <f>SUM(L351:L352)</f>
        <v>7094.1767250000003</v>
      </c>
      <c r="M353" s="646"/>
      <c r="N353" s="647">
        <f t="shared" si="129"/>
        <v>96.17712500000016</v>
      </c>
      <c r="O353" s="648">
        <f t="shared" si="130"/>
        <v>1.3743516790141023E-2</v>
      </c>
      <c r="P353" s="597"/>
      <c r="Q353" s="597"/>
      <c r="R353" s="597"/>
      <c r="S353" s="597"/>
      <c r="T353" s="597"/>
    </row>
    <row r="354" spans="1:20" ht="15.75" thickBot="1" x14ac:dyDescent="0.25">
      <c r="A354" s="597"/>
      <c r="B354" s="598"/>
      <c r="C354" s="599"/>
      <c r="D354" s="600"/>
      <c r="E354" s="599"/>
      <c r="F354" s="649"/>
      <c r="G354" s="650"/>
      <c r="H354" s="651"/>
      <c r="I354" s="652"/>
      <c r="J354" s="649"/>
      <c r="K354" s="601"/>
      <c r="L354" s="653"/>
      <c r="M354" s="602"/>
      <c r="N354" s="654"/>
      <c r="O354" s="562"/>
      <c r="P354" s="597"/>
      <c r="Q354" s="597"/>
      <c r="R354" s="597"/>
      <c r="S354" s="597"/>
      <c r="T354" s="597"/>
    </row>
    <row r="355" spans="1:20" x14ac:dyDescent="0.2">
      <c r="A355" s="480"/>
      <c r="B355" s="480"/>
      <c r="C355" s="480"/>
      <c r="D355" s="480"/>
      <c r="E355" s="480"/>
      <c r="F355" s="480"/>
      <c r="G355" s="480"/>
      <c r="H355" s="480"/>
      <c r="I355" s="480"/>
      <c r="J355" s="480"/>
      <c r="K355" s="480"/>
      <c r="L355" s="552"/>
      <c r="M355" s="480"/>
      <c r="N355" s="480"/>
      <c r="O355" s="480"/>
      <c r="P355" s="480"/>
      <c r="Q355" s="480"/>
      <c r="R355" s="480"/>
      <c r="S355" s="480"/>
      <c r="T355" s="480"/>
    </row>
    <row r="356" spans="1:20" x14ac:dyDescent="0.2">
      <c r="A356" s="480"/>
      <c r="B356" s="486" t="s">
        <v>529</v>
      </c>
      <c r="C356" s="480"/>
      <c r="D356" s="480"/>
      <c r="E356" s="480"/>
      <c r="F356" s="605">
        <v>6.8000000000000005E-2</v>
      </c>
      <c r="G356" s="480"/>
      <c r="H356" s="480"/>
      <c r="I356" s="480"/>
      <c r="J356" s="605">
        <v>6.5500000000000003E-2</v>
      </c>
      <c r="K356" s="480"/>
      <c r="L356" s="480"/>
      <c r="M356" s="480"/>
      <c r="N356" s="480"/>
      <c r="O356" s="480"/>
      <c r="P356" s="480"/>
      <c r="Q356" s="480"/>
      <c r="R356" s="480"/>
      <c r="S356" s="480"/>
      <c r="T356" s="480"/>
    </row>
    <row r="357" spans="1:20" x14ac:dyDescent="0.2">
      <c r="A357" s="480"/>
      <c r="B357" s="480"/>
      <c r="C357" s="480"/>
      <c r="D357" s="480"/>
      <c r="E357" s="480"/>
      <c r="F357" s="480"/>
      <c r="G357" s="480"/>
      <c r="H357" s="480"/>
      <c r="I357" s="480"/>
      <c r="J357" s="480"/>
      <c r="K357" s="480"/>
      <c r="L357" s="480"/>
      <c r="M357" s="480"/>
      <c r="N357" s="480"/>
      <c r="O357" s="480"/>
      <c r="P357" s="480"/>
      <c r="Q357" s="480"/>
      <c r="R357" s="480"/>
      <c r="S357" s="480"/>
      <c r="T357" s="480"/>
    </row>
    <row r="358" spans="1:20" x14ac:dyDescent="0.2">
      <c r="A358" s="606" t="s">
        <v>531</v>
      </c>
      <c r="B358" s="480"/>
      <c r="C358" s="480"/>
      <c r="D358" s="480"/>
      <c r="E358" s="480"/>
      <c r="F358" s="480"/>
      <c r="G358" s="480"/>
      <c r="H358" s="480"/>
      <c r="I358" s="480"/>
      <c r="J358" s="480"/>
      <c r="K358" s="480"/>
      <c r="L358" s="480"/>
      <c r="M358" s="480"/>
      <c r="N358" s="480"/>
      <c r="O358" s="480"/>
      <c r="P358" s="480"/>
      <c r="Q358" s="480"/>
      <c r="R358" s="480"/>
      <c r="S358" s="480"/>
      <c r="T358" s="480"/>
    </row>
    <row r="359" spans="1:20" x14ac:dyDescent="0.2">
      <c r="A359" s="480"/>
      <c r="B359" s="480"/>
      <c r="C359" s="480"/>
      <c r="D359" s="480"/>
      <c r="E359" s="480"/>
      <c r="F359" s="480"/>
      <c r="G359" s="480"/>
      <c r="H359" s="480"/>
      <c r="I359" s="480"/>
      <c r="J359" s="480"/>
      <c r="K359" s="480"/>
      <c r="L359" s="480"/>
      <c r="M359" s="480"/>
      <c r="N359" s="480"/>
      <c r="O359" s="480"/>
      <c r="P359" s="480"/>
      <c r="Q359" s="480"/>
      <c r="R359" s="480"/>
      <c r="S359" s="480"/>
      <c r="T359" s="480"/>
    </row>
    <row r="360" spans="1:20" ht="15.75" x14ac:dyDescent="0.2">
      <c r="A360" s="480"/>
      <c r="B360" s="481" t="s">
        <v>480</v>
      </c>
      <c r="C360" s="480"/>
      <c r="D360" s="966" t="s">
        <v>553</v>
      </c>
      <c r="E360" s="966"/>
      <c r="F360" s="966"/>
      <c r="G360" s="966"/>
      <c r="H360" s="966"/>
      <c r="I360" s="966"/>
      <c r="J360" s="966"/>
      <c r="K360" s="966"/>
      <c r="L360" s="966"/>
      <c r="M360" s="966"/>
      <c r="N360" s="966"/>
      <c r="O360" s="966"/>
      <c r="P360" s="480"/>
      <c r="Q360" s="480"/>
      <c r="R360" s="480"/>
      <c r="S360" s="480"/>
      <c r="T360" s="480"/>
    </row>
    <row r="361" spans="1:20" ht="15.75" x14ac:dyDescent="0.25">
      <c r="A361" s="480"/>
      <c r="B361" s="482"/>
      <c r="C361" s="480"/>
      <c r="D361" s="483"/>
      <c r="E361" s="483"/>
      <c r="F361" s="483"/>
      <c r="G361" s="483"/>
      <c r="H361" s="483"/>
      <c r="I361" s="483"/>
      <c r="J361" s="483"/>
      <c r="K361" s="483"/>
      <c r="L361" s="483"/>
      <c r="M361" s="483"/>
      <c r="N361" s="483"/>
      <c r="O361" s="483"/>
      <c r="P361" s="480"/>
      <c r="Q361" s="480"/>
      <c r="R361" s="480"/>
      <c r="S361" s="480"/>
      <c r="T361" s="480"/>
    </row>
    <row r="362" spans="1:20" ht="15.75" x14ac:dyDescent="0.25">
      <c r="A362" s="480"/>
      <c r="B362" s="481" t="s">
        <v>482</v>
      </c>
      <c r="C362" s="480"/>
      <c r="D362" s="484" t="s">
        <v>546</v>
      </c>
      <c r="E362" s="483"/>
      <c r="F362" s="483"/>
      <c r="G362" s="483"/>
      <c r="H362" s="483"/>
      <c r="I362" s="483"/>
      <c r="J362" s="483"/>
      <c r="K362" s="483"/>
      <c r="L362" s="483"/>
      <c r="M362" s="483"/>
      <c r="N362" s="483"/>
      <c r="O362" s="483"/>
      <c r="P362" s="480"/>
      <c r="Q362" s="480"/>
      <c r="R362" s="480"/>
      <c r="S362" s="480"/>
      <c r="T362" s="480"/>
    </row>
    <row r="363" spans="1:20" ht="15.75" x14ac:dyDescent="0.25">
      <c r="A363" s="480"/>
      <c r="B363" s="482"/>
      <c r="C363" s="480"/>
      <c r="D363" s="483"/>
      <c r="E363" s="483"/>
      <c r="F363" s="483"/>
      <c r="G363" s="483"/>
      <c r="H363" s="483"/>
      <c r="I363" s="483"/>
      <c r="J363" s="483"/>
      <c r="K363" s="483"/>
      <c r="L363" s="483"/>
      <c r="M363" s="483"/>
      <c r="N363" s="483"/>
      <c r="O363" s="483"/>
      <c r="P363" s="480"/>
      <c r="Q363" s="480"/>
      <c r="R363" s="480"/>
      <c r="S363" s="480"/>
      <c r="T363" s="480"/>
    </row>
    <row r="364" spans="1:20" x14ac:dyDescent="0.2">
      <c r="A364" s="480"/>
      <c r="B364" s="485"/>
      <c r="C364" s="480"/>
      <c r="D364" s="486" t="s">
        <v>484</v>
      </c>
      <c r="E364" s="486"/>
      <c r="F364" s="487">
        <v>500000</v>
      </c>
      <c r="G364" s="486" t="s">
        <v>485</v>
      </c>
      <c r="H364" s="480"/>
      <c r="I364" s="480"/>
      <c r="J364" s="480"/>
      <c r="K364" s="480"/>
      <c r="L364" s="480"/>
      <c r="M364" s="480"/>
      <c r="N364" s="480"/>
      <c r="O364" s="480"/>
      <c r="P364" s="480"/>
      <c r="Q364" s="480"/>
      <c r="R364" s="480"/>
      <c r="S364" s="480"/>
      <c r="T364" s="480"/>
    </row>
    <row r="365" spans="1:20" x14ac:dyDescent="0.2">
      <c r="A365" s="480"/>
      <c r="B365" s="485"/>
      <c r="C365" s="480"/>
      <c r="D365" s="480"/>
      <c r="E365" s="480"/>
      <c r="F365" s="487">
        <v>1000</v>
      </c>
      <c r="G365" s="486" t="s">
        <v>547</v>
      </c>
      <c r="H365" s="480"/>
      <c r="I365" s="480"/>
      <c r="J365" s="480"/>
      <c r="K365" s="480"/>
      <c r="L365" s="480"/>
      <c r="M365" s="480"/>
      <c r="N365" s="480"/>
      <c r="O365" s="480"/>
      <c r="P365" s="480"/>
      <c r="Q365" s="480"/>
      <c r="R365" s="480"/>
      <c r="S365" s="480"/>
      <c r="T365" s="480"/>
    </row>
    <row r="366" spans="1:20" x14ac:dyDescent="0.2">
      <c r="A366" s="480"/>
      <c r="B366" s="485"/>
      <c r="C366" s="480"/>
      <c r="D366" s="488"/>
      <c r="E366" s="488"/>
      <c r="F366" s="967" t="s">
        <v>486</v>
      </c>
      <c r="G366" s="968"/>
      <c r="H366" s="969"/>
      <c r="I366" s="480"/>
      <c r="J366" s="967" t="s">
        <v>487</v>
      </c>
      <c r="K366" s="968"/>
      <c r="L366" s="969"/>
      <c r="M366" s="480"/>
      <c r="N366" s="967" t="s">
        <v>488</v>
      </c>
      <c r="O366" s="969"/>
      <c r="P366" s="480"/>
      <c r="Q366" s="480"/>
      <c r="R366" s="480"/>
      <c r="S366" s="480"/>
      <c r="T366" s="480"/>
    </row>
    <row r="367" spans="1:20" x14ac:dyDescent="0.2">
      <c r="A367" s="480"/>
      <c r="B367" s="485"/>
      <c r="C367" s="480"/>
      <c r="D367" s="958" t="s">
        <v>489</v>
      </c>
      <c r="E367" s="489"/>
      <c r="F367" s="490" t="s">
        <v>490</v>
      </c>
      <c r="G367" s="490" t="s">
        <v>491</v>
      </c>
      <c r="H367" s="491" t="s">
        <v>492</v>
      </c>
      <c r="I367" s="480"/>
      <c r="J367" s="490" t="s">
        <v>490</v>
      </c>
      <c r="K367" s="492" t="s">
        <v>491</v>
      </c>
      <c r="L367" s="491" t="s">
        <v>492</v>
      </c>
      <c r="M367" s="480"/>
      <c r="N367" s="960" t="s">
        <v>493</v>
      </c>
      <c r="O367" s="962" t="s">
        <v>494</v>
      </c>
      <c r="P367" s="480"/>
      <c r="Q367" s="480"/>
      <c r="R367" s="480"/>
      <c r="S367" s="480"/>
      <c r="T367" s="480"/>
    </row>
    <row r="368" spans="1:20" x14ac:dyDescent="0.2">
      <c r="A368" s="480"/>
      <c r="B368" s="485"/>
      <c r="C368" s="480"/>
      <c r="D368" s="959"/>
      <c r="E368" s="489"/>
      <c r="F368" s="493" t="s">
        <v>495</v>
      </c>
      <c r="G368" s="493"/>
      <c r="H368" s="494" t="s">
        <v>495</v>
      </c>
      <c r="I368" s="480"/>
      <c r="J368" s="493" t="s">
        <v>495</v>
      </c>
      <c r="K368" s="494"/>
      <c r="L368" s="494" t="s">
        <v>495</v>
      </c>
      <c r="M368" s="480"/>
      <c r="N368" s="961"/>
      <c r="O368" s="963"/>
      <c r="P368" s="480"/>
      <c r="Q368" s="480"/>
      <c r="R368" s="480"/>
      <c r="S368" s="480"/>
      <c r="T368" s="480"/>
    </row>
    <row r="369" spans="1:20" x14ac:dyDescent="0.2">
      <c r="A369" s="480"/>
      <c r="B369" s="495" t="s">
        <v>496</v>
      </c>
      <c r="C369" s="495"/>
      <c r="D369" s="496" t="s">
        <v>497</v>
      </c>
      <c r="E369" s="497"/>
      <c r="F369" s="498">
        <v>104.06</v>
      </c>
      <c r="G369" s="499">
        <v>1</v>
      </c>
      <c r="H369" s="500">
        <f>G369*F369</f>
        <v>104.06</v>
      </c>
      <c r="I369" s="501"/>
      <c r="J369" s="502">
        <v>85.37</v>
      </c>
      <c r="K369" s="503">
        <v>1</v>
      </c>
      <c r="L369" s="500">
        <f>K369*J369</f>
        <v>85.37</v>
      </c>
      <c r="M369" s="501"/>
      <c r="N369" s="504">
        <f>L369-H369</f>
        <v>-18.689999999999998</v>
      </c>
      <c r="O369" s="505">
        <f>IF((H369)=0,"",(N369/H369))</f>
        <v>-0.17960791850855273</v>
      </c>
      <c r="P369" s="480"/>
      <c r="Q369" s="480"/>
      <c r="R369" s="480"/>
      <c r="S369" s="480"/>
      <c r="T369" s="480"/>
    </row>
    <row r="370" spans="1:20" x14ac:dyDescent="0.2">
      <c r="A370" s="480"/>
      <c r="B370" s="495" t="s">
        <v>498</v>
      </c>
      <c r="C370" s="495"/>
      <c r="D370" s="496"/>
      <c r="E370" s="497"/>
      <c r="F370" s="498"/>
      <c r="G370" s="499">
        <v>1</v>
      </c>
      <c r="H370" s="500">
        <f t="shared" ref="H370:H384" si="131">G370*F370</f>
        <v>0</v>
      </c>
      <c r="I370" s="501"/>
      <c r="J370" s="502"/>
      <c r="K370" s="503">
        <v>1</v>
      </c>
      <c r="L370" s="500">
        <f>K370*J370</f>
        <v>0</v>
      </c>
      <c r="M370" s="501"/>
      <c r="N370" s="504">
        <f>L370-H370</f>
        <v>0</v>
      </c>
      <c r="O370" s="505" t="str">
        <f>IF((H370)=0,"",(N370/H370))</f>
        <v/>
      </c>
      <c r="P370" s="480"/>
      <c r="Q370" s="480"/>
      <c r="R370" s="480"/>
      <c r="S370" s="480"/>
      <c r="T370" s="480"/>
    </row>
    <row r="371" spans="1:20" x14ac:dyDescent="0.2">
      <c r="A371" s="480"/>
      <c r="B371" s="506"/>
      <c r="C371" s="495"/>
      <c r="D371" s="496"/>
      <c r="E371" s="497"/>
      <c r="F371" s="498"/>
      <c r="G371" s="499">
        <v>1</v>
      </c>
      <c r="H371" s="500">
        <f t="shared" si="131"/>
        <v>0</v>
      </c>
      <c r="I371" s="501"/>
      <c r="J371" s="502"/>
      <c r="K371" s="503">
        <v>1</v>
      </c>
      <c r="L371" s="500">
        <f t="shared" ref="L371:L384" si="132">K371*J371</f>
        <v>0</v>
      </c>
      <c r="M371" s="501"/>
      <c r="N371" s="504">
        <f t="shared" ref="N371:N385" si="133">L371-H371</f>
        <v>0</v>
      </c>
      <c r="O371" s="505" t="str">
        <f t="shared" ref="O371:O385" si="134">IF((H371)=0,"",(N371/H371))</f>
        <v/>
      </c>
      <c r="P371" s="480"/>
      <c r="Q371" s="480"/>
      <c r="R371" s="480"/>
      <c r="S371" s="480"/>
      <c r="T371" s="480"/>
    </row>
    <row r="372" spans="1:20" x14ac:dyDescent="0.2">
      <c r="A372" s="480"/>
      <c r="B372" s="506"/>
      <c r="C372" s="495"/>
      <c r="D372" s="496"/>
      <c r="E372" s="497"/>
      <c r="F372" s="498"/>
      <c r="G372" s="499">
        <v>1</v>
      </c>
      <c r="H372" s="500">
        <f t="shared" si="131"/>
        <v>0</v>
      </c>
      <c r="I372" s="501"/>
      <c r="J372" s="502"/>
      <c r="K372" s="503">
        <v>1</v>
      </c>
      <c r="L372" s="500">
        <f t="shared" si="132"/>
        <v>0</v>
      </c>
      <c r="M372" s="501"/>
      <c r="N372" s="504">
        <f t="shared" si="133"/>
        <v>0</v>
      </c>
      <c r="O372" s="505" t="str">
        <f t="shared" si="134"/>
        <v/>
      </c>
      <c r="P372" s="480"/>
      <c r="Q372" s="480"/>
      <c r="R372" s="480"/>
      <c r="S372" s="480"/>
      <c r="T372" s="480"/>
    </row>
    <row r="373" spans="1:20" x14ac:dyDescent="0.2">
      <c r="A373" s="480"/>
      <c r="B373" s="506"/>
      <c r="C373" s="495"/>
      <c r="D373" s="496"/>
      <c r="E373" s="497"/>
      <c r="F373" s="498"/>
      <c r="G373" s="499">
        <v>1</v>
      </c>
      <c r="H373" s="500">
        <f t="shared" si="131"/>
        <v>0</v>
      </c>
      <c r="I373" s="501"/>
      <c r="J373" s="502"/>
      <c r="K373" s="503">
        <v>1</v>
      </c>
      <c r="L373" s="500">
        <f t="shared" si="132"/>
        <v>0</v>
      </c>
      <c r="M373" s="501"/>
      <c r="N373" s="504">
        <f t="shared" si="133"/>
        <v>0</v>
      </c>
      <c r="O373" s="505" t="str">
        <f t="shared" si="134"/>
        <v/>
      </c>
      <c r="P373" s="480"/>
      <c r="Q373" s="480"/>
      <c r="R373" s="480"/>
      <c r="S373" s="480"/>
      <c r="T373" s="480"/>
    </row>
    <row r="374" spans="1:20" x14ac:dyDescent="0.2">
      <c r="A374" s="480"/>
      <c r="B374" s="506"/>
      <c r="C374" s="495"/>
      <c r="D374" s="496"/>
      <c r="E374" s="497"/>
      <c r="F374" s="498"/>
      <c r="G374" s="499">
        <v>1</v>
      </c>
      <c r="H374" s="500">
        <f t="shared" si="131"/>
        <v>0</v>
      </c>
      <c r="I374" s="501"/>
      <c r="J374" s="502"/>
      <c r="K374" s="503">
        <v>1</v>
      </c>
      <c r="L374" s="500">
        <f t="shared" si="132"/>
        <v>0</v>
      </c>
      <c r="M374" s="501"/>
      <c r="N374" s="504">
        <f t="shared" si="133"/>
        <v>0</v>
      </c>
      <c r="O374" s="505" t="str">
        <f t="shared" si="134"/>
        <v/>
      </c>
      <c r="P374" s="480"/>
      <c r="Q374" s="480"/>
      <c r="R374" s="480"/>
      <c r="S374" s="480"/>
      <c r="T374" s="480"/>
    </row>
    <row r="375" spans="1:20" x14ac:dyDescent="0.2">
      <c r="A375" s="480"/>
      <c r="B375" s="495" t="s">
        <v>499</v>
      </c>
      <c r="C375" s="495"/>
      <c r="D375" s="496" t="s">
        <v>548</v>
      </c>
      <c r="E375" s="497"/>
      <c r="F375" s="498">
        <v>4.8285999999999998</v>
      </c>
      <c r="G375" s="608">
        <f>$F$365</f>
        <v>1000</v>
      </c>
      <c r="H375" s="500">
        <f t="shared" si="131"/>
        <v>4828.5999999999995</v>
      </c>
      <c r="I375" s="501"/>
      <c r="J375" s="502">
        <v>4.0107999999999997</v>
      </c>
      <c r="K375" s="608">
        <f>$F$365</f>
        <v>1000</v>
      </c>
      <c r="L375" s="500">
        <f t="shared" si="132"/>
        <v>4010.7999999999997</v>
      </c>
      <c r="M375" s="501"/>
      <c r="N375" s="504">
        <f t="shared" si="133"/>
        <v>-817.79999999999973</v>
      </c>
      <c r="O375" s="505">
        <f t="shared" si="134"/>
        <v>-0.16936586174046303</v>
      </c>
      <c r="P375" s="480"/>
      <c r="Q375" s="480"/>
      <c r="R375" s="480"/>
      <c r="S375" s="480"/>
      <c r="T375" s="480"/>
    </row>
    <row r="376" spans="1:20" x14ac:dyDescent="0.2">
      <c r="A376" s="480"/>
      <c r="B376" s="495" t="s">
        <v>501</v>
      </c>
      <c r="C376" s="495"/>
      <c r="D376" s="496"/>
      <c r="E376" s="497"/>
      <c r="F376" s="498"/>
      <c r="G376" s="608">
        <f t="shared" ref="G376:G384" si="135">$F$365</f>
        <v>1000</v>
      </c>
      <c r="H376" s="500">
        <f t="shared" si="131"/>
        <v>0</v>
      </c>
      <c r="I376" s="501"/>
      <c r="J376" s="502"/>
      <c r="K376" s="608">
        <f t="shared" ref="K376:K384" si="136">$F$365</f>
        <v>1000</v>
      </c>
      <c r="L376" s="500">
        <f t="shared" si="132"/>
        <v>0</v>
      </c>
      <c r="M376" s="501"/>
      <c r="N376" s="504">
        <f t="shared" si="133"/>
        <v>0</v>
      </c>
      <c r="O376" s="505" t="str">
        <f t="shared" si="134"/>
        <v/>
      </c>
      <c r="P376" s="480"/>
      <c r="Q376" s="480"/>
      <c r="R376" s="480"/>
      <c r="S376" s="480"/>
      <c r="T376" s="480"/>
    </row>
    <row r="377" spans="1:20" x14ac:dyDescent="0.2">
      <c r="A377" s="480"/>
      <c r="B377" s="495" t="s">
        <v>502</v>
      </c>
      <c r="C377" s="495"/>
      <c r="D377" s="496"/>
      <c r="E377" s="497"/>
      <c r="F377" s="498"/>
      <c r="G377" s="608">
        <f t="shared" si="135"/>
        <v>1000</v>
      </c>
      <c r="H377" s="500">
        <f t="shared" si="131"/>
        <v>0</v>
      </c>
      <c r="I377" s="501"/>
      <c r="J377" s="502"/>
      <c r="K377" s="608">
        <f t="shared" si="136"/>
        <v>1000</v>
      </c>
      <c r="L377" s="500">
        <f t="shared" si="132"/>
        <v>0</v>
      </c>
      <c r="M377" s="501"/>
      <c r="N377" s="504">
        <f t="shared" si="133"/>
        <v>0</v>
      </c>
      <c r="O377" s="505" t="str">
        <f t="shared" si="134"/>
        <v/>
      </c>
      <c r="P377" s="480"/>
      <c r="Q377" s="480"/>
      <c r="R377" s="480"/>
      <c r="S377" s="480"/>
      <c r="T377" s="480"/>
    </row>
    <row r="378" spans="1:20" x14ac:dyDescent="0.2">
      <c r="A378" s="480"/>
      <c r="B378" s="507" t="s">
        <v>503</v>
      </c>
      <c r="C378" s="495"/>
      <c r="D378" s="496" t="s">
        <v>548</v>
      </c>
      <c r="E378" s="497"/>
      <c r="F378" s="498">
        <v>-2.7099999999999999E-2</v>
      </c>
      <c r="G378" s="608">
        <f t="shared" si="135"/>
        <v>1000</v>
      </c>
      <c r="H378" s="500">
        <f t="shared" si="131"/>
        <v>-27.099999999999998</v>
      </c>
      <c r="I378" s="501"/>
      <c r="J378" s="502"/>
      <c r="K378" s="608">
        <f t="shared" si="136"/>
        <v>1000</v>
      </c>
      <c r="L378" s="500">
        <f t="shared" si="132"/>
        <v>0</v>
      </c>
      <c r="M378" s="501"/>
      <c r="N378" s="504">
        <f t="shared" si="133"/>
        <v>27.099999999999998</v>
      </c>
      <c r="O378" s="505">
        <f t="shared" si="134"/>
        <v>-1</v>
      </c>
      <c r="P378" s="480"/>
      <c r="Q378" s="480"/>
      <c r="R378" s="480"/>
      <c r="S378" s="480"/>
      <c r="T378" s="480"/>
    </row>
    <row r="379" spans="1:20" x14ac:dyDescent="0.2">
      <c r="A379" s="480"/>
      <c r="B379" s="507" t="s">
        <v>504</v>
      </c>
      <c r="C379" s="495"/>
      <c r="D379" s="496" t="s">
        <v>548</v>
      </c>
      <c r="E379" s="497"/>
      <c r="F379" s="498">
        <v>-0.19950000000000001</v>
      </c>
      <c r="G379" s="608">
        <f t="shared" si="135"/>
        <v>1000</v>
      </c>
      <c r="H379" s="500">
        <f t="shared" si="131"/>
        <v>-199.5</v>
      </c>
      <c r="I379" s="501"/>
      <c r="J379" s="502"/>
      <c r="K379" s="608">
        <f t="shared" si="136"/>
        <v>1000</v>
      </c>
      <c r="L379" s="500">
        <f t="shared" si="132"/>
        <v>0</v>
      </c>
      <c r="M379" s="501"/>
      <c r="N379" s="504">
        <f t="shared" si="133"/>
        <v>199.5</v>
      </c>
      <c r="O379" s="505">
        <f t="shared" si="134"/>
        <v>-1</v>
      </c>
      <c r="P379" s="480"/>
      <c r="Q379" s="480"/>
      <c r="R379" s="480"/>
      <c r="S379" s="480"/>
      <c r="T379" s="480"/>
    </row>
    <row r="380" spans="1:20" x14ac:dyDescent="0.2">
      <c r="A380" s="480"/>
      <c r="B380" s="507" t="s">
        <v>505</v>
      </c>
      <c r="C380" s="495"/>
      <c r="D380" s="496" t="s">
        <v>548</v>
      </c>
      <c r="E380" s="497"/>
      <c r="F380" s="498"/>
      <c r="G380" s="608">
        <f t="shared" si="135"/>
        <v>1000</v>
      </c>
      <c r="H380" s="500">
        <f t="shared" si="131"/>
        <v>0</v>
      </c>
      <c r="I380" s="501"/>
      <c r="J380" s="502">
        <v>5.8500000000000003E-2</v>
      </c>
      <c r="K380" s="608">
        <f t="shared" si="136"/>
        <v>1000</v>
      </c>
      <c r="L380" s="500">
        <f t="shared" si="132"/>
        <v>58.5</v>
      </c>
      <c r="M380" s="501"/>
      <c r="N380" s="504">
        <f t="shared" si="133"/>
        <v>58.5</v>
      </c>
      <c r="O380" s="505" t="str">
        <f t="shared" si="134"/>
        <v/>
      </c>
      <c r="P380" s="480"/>
      <c r="Q380" s="480"/>
      <c r="R380" s="480"/>
      <c r="S380" s="480"/>
      <c r="T380" s="480"/>
    </row>
    <row r="381" spans="1:20" x14ac:dyDescent="0.2">
      <c r="A381" s="480"/>
      <c r="B381" s="507" t="s">
        <v>506</v>
      </c>
      <c r="C381" s="495"/>
      <c r="D381" s="496" t="s">
        <v>548</v>
      </c>
      <c r="E381" s="497"/>
      <c r="F381" s="498"/>
      <c r="G381" s="608">
        <f t="shared" si="135"/>
        <v>1000</v>
      </c>
      <c r="H381" s="500">
        <f t="shared" si="131"/>
        <v>0</v>
      </c>
      <c r="I381" s="501"/>
      <c r="J381" s="502">
        <v>-0.128</v>
      </c>
      <c r="K381" s="608">
        <f t="shared" si="136"/>
        <v>1000</v>
      </c>
      <c r="L381" s="500">
        <f t="shared" si="132"/>
        <v>-128</v>
      </c>
      <c r="M381" s="501"/>
      <c r="N381" s="504">
        <f t="shared" si="133"/>
        <v>-128</v>
      </c>
      <c r="O381" s="505" t="str">
        <f t="shared" si="134"/>
        <v/>
      </c>
      <c r="P381" s="480"/>
      <c r="Q381" s="480"/>
      <c r="R381" s="480"/>
      <c r="S381" s="480"/>
      <c r="T381" s="480"/>
    </row>
    <row r="382" spans="1:20" x14ac:dyDescent="0.2">
      <c r="A382" s="480"/>
      <c r="B382" s="507" t="s">
        <v>507</v>
      </c>
      <c r="C382" s="495"/>
      <c r="D382" s="496" t="s">
        <v>548</v>
      </c>
      <c r="E382" s="497"/>
      <c r="F382" s="498"/>
      <c r="G382" s="608">
        <f t="shared" si="135"/>
        <v>1000</v>
      </c>
      <c r="H382" s="500">
        <f t="shared" si="131"/>
        <v>0</v>
      </c>
      <c r="I382" s="501"/>
      <c r="J382" s="502">
        <v>1.9300000000000001E-2</v>
      </c>
      <c r="K382" s="608">
        <f t="shared" si="136"/>
        <v>1000</v>
      </c>
      <c r="L382" s="500">
        <f t="shared" si="132"/>
        <v>19.3</v>
      </c>
      <c r="M382" s="501"/>
      <c r="N382" s="504">
        <f t="shared" si="133"/>
        <v>19.3</v>
      </c>
      <c r="O382" s="505" t="str">
        <f t="shared" si="134"/>
        <v/>
      </c>
      <c r="P382" s="480"/>
      <c r="Q382" s="480"/>
      <c r="R382" s="480"/>
      <c r="S382" s="480"/>
      <c r="T382" s="480"/>
    </row>
    <row r="383" spans="1:20" x14ac:dyDescent="0.2">
      <c r="A383" s="480"/>
      <c r="B383" s="508"/>
      <c r="C383" s="495"/>
      <c r="D383" s="496"/>
      <c r="E383" s="497"/>
      <c r="F383" s="498"/>
      <c r="G383" s="608">
        <f t="shared" si="135"/>
        <v>1000</v>
      </c>
      <c r="H383" s="500">
        <f t="shared" si="131"/>
        <v>0</v>
      </c>
      <c r="I383" s="501"/>
      <c r="J383" s="502"/>
      <c r="K383" s="608">
        <f t="shared" si="136"/>
        <v>1000</v>
      </c>
      <c r="L383" s="500">
        <f t="shared" si="132"/>
        <v>0</v>
      </c>
      <c r="M383" s="501"/>
      <c r="N383" s="504">
        <f t="shared" si="133"/>
        <v>0</v>
      </c>
      <c r="O383" s="505" t="str">
        <f t="shared" si="134"/>
        <v/>
      </c>
      <c r="P383" s="480"/>
      <c r="Q383" s="480"/>
      <c r="R383" s="480"/>
      <c r="S383" s="480"/>
      <c r="T383" s="480"/>
    </row>
    <row r="384" spans="1:20" x14ac:dyDescent="0.2">
      <c r="A384" s="480"/>
      <c r="B384" s="508"/>
      <c r="C384" s="495"/>
      <c r="D384" s="496"/>
      <c r="E384" s="497"/>
      <c r="F384" s="498"/>
      <c r="G384" s="608">
        <f t="shared" si="135"/>
        <v>1000</v>
      </c>
      <c r="H384" s="500">
        <f t="shared" si="131"/>
        <v>0</v>
      </c>
      <c r="I384" s="501"/>
      <c r="J384" s="502"/>
      <c r="K384" s="608">
        <f t="shared" si="136"/>
        <v>1000</v>
      </c>
      <c r="L384" s="500">
        <f t="shared" si="132"/>
        <v>0</v>
      </c>
      <c r="M384" s="501"/>
      <c r="N384" s="504">
        <f t="shared" si="133"/>
        <v>0</v>
      </c>
      <c r="O384" s="505" t="str">
        <f t="shared" si="134"/>
        <v/>
      </c>
      <c r="P384" s="480"/>
      <c r="Q384" s="480"/>
      <c r="R384" s="480"/>
      <c r="S384" s="480"/>
      <c r="T384" s="480"/>
    </row>
    <row r="385" spans="1:20" x14ac:dyDescent="0.2">
      <c r="A385" s="509"/>
      <c r="B385" s="510" t="s">
        <v>508</v>
      </c>
      <c r="C385" s="511"/>
      <c r="D385" s="512"/>
      <c r="E385" s="511"/>
      <c r="F385" s="513"/>
      <c r="G385" s="514"/>
      <c r="H385" s="515">
        <f>SUM(H369:H384)</f>
        <v>4706.0599999999995</v>
      </c>
      <c r="I385" s="516"/>
      <c r="J385" s="517"/>
      <c r="K385" s="518"/>
      <c r="L385" s="515">
        <f>SUM(L369:L384)</f>
        <v>4045.9700000000003</v>
      </c>
      <c r="M385" s="516"/>
      <c r="N385" s="519">
        <f t="shared" si="133"/>
        <v>-660.08999999999924</v>
      </c>
      <c r="O385" s="520">
        <f t="shared" si="134"/>
        <v>-0.14026383004041582</v>
      </c>
      <c r="P385" s="509"/>
      <c r="Q385" s="509"/>
      <c r="R385" s="509"/>
      <c r="S385" s="509"/>
      <c r="T385" s="509"/>
    </row>
    <row r="386" spans="1:20" ht="25.5" x14ac:dyDescent="0.2">
      <c r="A386" s="480"/>
      <c r="B386" s="521" t="s">
        <v>509</v>
      </c>
      <c r="C386" s="495"/>
      <c r="D386" s="496" t="s">
        <v>548</v>
      </c>
      <c r="E386" s="497"/>
      <c r="F386" s="502">
        <f>-0.8179-0.3687</f>
        <v>-1.1865999999999999</v>
      </c>
      <c r="G386" s="608">
        <f>$F$365</f>
        <v>1000</v>
      </c>
      <c r="H386" s="500">
        <f>G386*F386</f>
        <v>-1186.5999999999999</v>
      </c>
      <c r="I386" s="501"/>
      <c r="J386" s="502">
        <f>-0.9743+1.5444</f>
        <v>0.57009999999999994</v>
      </c>
      <c r="K386" s="608">
        <f>$F$365</f>
        <v>1000</v>
      </c>
      <c r="L386" s="500">
        <f>K386*J386</f>
        <v>570.09999999999991</v>
      </c>
      <c r="M386" s="501"/>
      <c r="N386" s="504">
        <f>L386-H386</f>
        <v>1756.6999999999998</v>
      </c>
      <c r="O386" s="505">
        <f>IF((H386)=0,"",(N386/H386))*-1</f>
        <v>1.4804483397943704</v>
      </c>
      <c r="P386" s="480"/>
      <c r="Q386" s="480"/>
      <c r="R386" s="480"/>
      <c r="S386" s="480"/>
      <c r="T386" s="480"/>
    </row>
    <row r="387" spans="1:20" x14ac:dyDescent="0.2">
      <c r="A387" s="480"/>
      <c r="B387" s="521"/>
      <c r="C387" s="495"/>
      <c r="D387" s="496"/>
      <c r="E387" s="497"/>
      <c r="F387" s="498"/>
      <c r="G387" s="608">
        <f t="shared" ref="G387:G390" si="137">$F$365</f>
        <v>1000</v>
      </c>
      <c r="H387" s="500">
        <f t="shared" ref="H387:H389" si="138">G387*F387</f>
        <v>0</v>
      </c>
      <c r="I387" s="522"/>
      <c r="J387" s="502"/>
      <c r="K387" s="608">
        <f t="shared" ref="K387:K390" si="139">$F$365</f>
        <v>1000</v>
      </c>
      <c r="L387" s="500">
        <f t="shared" ref="L387:L389" si="140">K387*J387</f>
        <v>0</v>
      </c>
      <c r="M387" s="523"/>
      <c r="N387" s="504">
        <f t="shared" ref="N387:N389" si="141">L387-H387</f>
        <v>0</v>
      </c>
      <c r="O387" s="505" t="str">
        <f t="shared" ref="O387:O389" si="142">IF((H387)=0,"",(N387/H387))</f>
        <v/>
      </c>
      <c r="P387" s="480"/>
      <c r="Q387" s="480"/>
      <c r="R387" s="480"/>
      <c r="S387" s="480"/>
      <c r="T387" s="480"/>
    </row>
    <row r="388" spans="1:20" x14ac:dyDescent="0.2">
      <c r="A388" s="480"/>
      <c r="B388" s="521"/>
      <c r="C388" s="495"/>
      <c r="D388" s="496"/>
      <c r="E388" s="497"/>
      <c r="F388" s="498"/>
      <c r="G388" s="608">
        <f t="shared" si="137"/>
        <v>1000</v>
      </c>
      <c r="H388" s="500">
        <f t="shared" si="138"/>
        <v>0</v>
      </c>
      <c r="I388" s="522"/>
      <c r="J388" s="502"/>
      <c r="K388" s="608">
        <f t="shared" si="139"/>
        <v>1000</v>
      </c>
      <c r="L388" s="500">
        <f t="shared" si="140"/>
        <v>0</v>
      </c>
      <c r="M388" s="523"/>
      <c r="N388" s="504">
        <f t="shared" si="141"/>
        <v>0</v>
      </c>
      <c r="O388" s="505" t="str">
        <f t="shared" si="142"/>
        <v/>
      </c>
      <c r="P388" s="480"/>
      <c r="Q388" s="480"/>
      <c r="R388" s="480"/>
      <c r="S388" s="480"/>
      <c r="T388" s="480"/>
    </row>
    <row r="389" spans="1:20" x14ac:dyDescent="0.2">
      <c r="A389" s="480"/>
      <c r="B389" s="521"/>
      <c r="C389" s="495"/>
      <c r="D389" s="496"/>
      <c r="E389" s="497"/>
      <c r="F389" s="498"/>
      <c r="G389" s="608">
        <f t="shared" si="137"/>
        <v>1000</v>
      </c>
      <c r="H389" s="500">
        <f t="shared" si="138"/>
        <v>0</v>
      </c>
      <c r="I389" s="522"/>
      <c r="J389" s="502"/>
      <c r="K389" s="608">
        <f t="shared" si="139"/>
        <v>1000</v>
      </c>
      <c r="L389" s="500">
        <f t="shared" si="140"/>
        <v>0</v>
      </c>
      <c r="M389" s="523"/>
      <c r="N389" s="504">
        <f t="shared" si="141"/>
        <v>0</v>
      </c>
      <c r="O389" s="505" t="str">
        <f t="shared" si="142"/>
        <v/>
      </c>
      <c r="P389" s="480"/>
      <c r="Q389" s="480"/>
      <c r="R389" s="480"/>
      <c r="S389" s="480"/>
      <c r="T389" s="480"/>
    </row>
    <row r="390" spans="1:20" x14ac:dyDescent="0.2">
      <c r="A390" s="480"/>
      <c r="B390" s="524" t="s">
        <v>510</v>
      </c>
      <c r="C390" s="495"/>
      <c r="D390" s="496" t="s">
        <v>548</v>
      </c>
      <c r="E390" s="497"/>
      <c r="F390" s="498">
        <v>0.1502</v>
      </c>
      <c r="G390" s="608">
        <f t="shared" si="137"/>
        <v>1000</v>
      </c>
      <c r="H390" s="500">
        <f>G390*F390</f>
        <v>150.19999999999999</v>
      </c>
      <c r="I390" s="501"/>
      <c r="J390" s="502">
        <v>0.1484</v>
      </c>
      <c r="K390" s="608">
        <f t="shared" si="139"/>
        <v>1000</v>
      </c>
      <c r="L390" s="500">
        <f>K390*J390</f>
        <v>148.4</v>
      </c>
      <c r="M390" s="501"/>
      <c r="N390" s="504">
        <f>L390-H390</f>
        <v>-1.7999999999999829</v>
      </c>
      <c r="O390" s="505">
        <f>IF((H390)=0,"",(N390/H390))</f>
        <v>-1.1984021304926651E-2</v>
      </c>
      <c r="P390" s="480"/>
      <c r="Q390" s="480"/>
      <c r="R390" s="480"/>
      <c r="S390" s="480"/>
      <c r="T390" s="480"/>
    </row>
    <row r="391" spans="1:20" x14ac:dyDescent="0.2">
      <c r="A391" s="480"/>
      <c r="B391" s="524" t="s">
        <v>511</v>
      </c>
      <c r="C391" s="495"/>
      <c r="D391" s="496" t="s">
        <v>500</v>
      </c>
      <c r="E391" s="497"/>
      <c r="F391" s="525">
        <f>IF(ISBLANK(D362)=TRUE, 0, IF(D362="TOU", 0.64*$F$110+0.18*$F$111+0.18*$F$112, IF(AND(D362="non-TOU", G402&gt;0), F402,F401)))</f>
        <v>9.0999999999999998E-2</v>
      </c>
      <c r="G391" s="655">
        <f>$F$364*(1+$F$121)-$F$364</f>
        <v>34000</v>
      </c>
      <c r="H391" s="500">
        <f t="shared" ref="H391" si="143">G391*F391</f>
        <v>3094</v>
      </c>
      <c r="I391" s="501"/>
      <c r="J391" s="525">
        <f>IF(ISBLANK(D362)=TRUE, 0, IF(D362="TOU", 0.64*$F$110+0.18*$F$111+0.18*$F$112, IF(AND(D362="non-TOU", K402&gt;0), J402,J401)))</f>
        <v>9.0999999999999998E-2</v>
      </c>
      <c r="K391" s="655">
        <f>$F$364*(1+$J$121)-$F$364</f>
        <v>32750</v>
      </c>
      <c r="L391" s="500">
        <f t="shared" ref="L391" si="144">K391*J391</f>
        <v>2980.25</v>
      </c>
      <c r="M391" s="501"/>
      <c r="N391" s="504">
        <f t="shared" ref="N391" si="145">L391-H391</f>
        <v>-113.75</v>
      </c>
      <c r="O391" s="505">
        <f t="shared" ref="O391" si="146">IF((H391)=0,"",(N391/H391))</f>
        <v>-3.6764705882352942E-2</v>
      </c>
      <c r="P391" s="480"/>
      <c r="Q391" s="480"/>
      <c r="R391" s="480"/>
      <c r="S391" s="480"/>
      <c r="T391" s="480"/>
    </row>
    <row r="392" spans="1:20" x14ac:dyDescent="0.2">
      <c r="A392" s="480"/>
      <c r="B392" s="524" t="s">
        <v>512</v>
      </c>
      <c r="C392" s="495"/>
      <c r="D392" s="496"/>
      <c r="E392" s="497"/>
      <c r="F392" s="525">
        <v>0.79</v>
      </c>
      <c r="G392" s="499"/>
      <c r="H392" s="500">
        <f>G392*F392</f>
        <v>0</v>
      </c>
      <c r="I392" s="501"/>
      <c r="J392" s="525">
        <v>0.79</v>
      </c>
      <c r="K392" s="499"/>
      <c r="L392" s="500">
        <f>K392*J392</f>
        <v>0</v>
      </c>
      <c r="M392" s="501"/>
      <c r="N392" s="504">
        <f>L392-H392</f>
        <v>0</v>
      </c>
      <c r="O392" s="505"/>
      <c r="P392" s="480"/>
      <c r="Q392" s="480"/>
      <c r="R392" s="480"/>
      <c r="S392" s="480"/>
      <c r="T392" s="480"/>
    </row>
    <row r="393" spans="1:20" ht="25.5" x14ac:dyDescent="0.2">
      <c r="A393" s="480"/>
      <c r="B393" s="528" t="s">
        <v>513</v>
      </c>
      <c r="C393" s="529"/>
      <c r="D393" s="529"/>
      <c r="E393" s="529"/>
      <c r="F393" s="530"/>
      <c r="G393" s="531"/>
      <c r="H393" s="532">
        <f>SUM(H386:H392)+H385</f>
        <v>6763.66</v>
      </c>
      <c r="I393" s="516"/>
      <c r="J393" s="531"/>
      <c r="K393" s="533"/>
      <c r="L393" s="532">
        <f>SUM(L386:L392)+L385</f>
        <v>7744.72</v>
      </c>
      <c r="M393" s="516"/>
      <c r="N393" s="519">
        <f t="shared" ref="N393:N402" si="147">L393-H393</f>
        <v>981.0600000000004</v>
      </c>
      <c r="O393" s="520">
        <f t="shared" ref="O393:O402" si="148">IF((H393)=0,"",(N393/H393))</f>
        <v>0.14504868665781551</v>
      </c>
      <c r="P393" s="480"/>
      <c r="Q393" s="480"/>
      <c r="R393" s="480"/>
      <c r="S393" s="480"/>
      <c r="T393" s="480"/>
    </row>
    <row r="394" spans="1:20" x14ac:dyDescent="0.2">
      <c r="A394" s="480"/>
      <c r="B394" s="501" t="s">
        <v>514</v>
      </c>
      <c r="C394" s="501"/>
      <c r="D394" s="534" t="s">
        <v>548</v>
      </c>
      <c r="E394" s="535"/>
      <c r="F394" s="502">
        <v>2.5228000000000002</v>
      </c>
      <c r="G394" s="536">
        <f>F365</f>
        <v>1000</v>
      </c>
      <c r="H394" s="500">
        <f>G394*F394</f>
        <v>2522.8000000000002</v>
      </c>
      <c r="I394" s="501"/>
      <c r="J394" s="502">
        <v>2.6015999999999999</v>
      </c>
      <c r="K394" s="537">
        <f>F365</f>
        <v>1000</v>
      </c>
      <c r="L394" s="500">
        <f>K394*J394</f>
        <v>2601.6</v>
      </c>
      <c r="M394" s="501"/>
      <c r="N394" s="504">
        <f t="shared" si="147"/>
        <v>78.799999999999727</v>
      </c>
      <c r="O394" s="505">
        <f t="shared" si="148"/>
        <v>3.1235135563659314E-2</v>
      </c>
      <c r="P394" s="480"/>
      <c r="Q394" s="480"/>
      <c r="R394" s="480"/>
      <c r="S394" s="480"/>
      <c r="T394" s="480"/>
    </row>
    <row r="395" spans="1:20" ht="30" x14ac:dyDescent="0.2">
      <c r="A395" s="480"/>
      <c r="B395" s="538" t="s">
        <v>515</v>
      </c>
      <c r="C395" s="501"/>
      <c r="D395" s="534" t="s">
        <v>548</v>
      </c>
      <c r="E395" s="535"/>
      <c r="F395" s="502">
        <v>1.9149</v>
      </c>
      <c r="G395" s="536">
        <f>G394</f>
        <v>1000</v>
      </c>
      <c r="H395" s="500">
        <f>G395*F395</f>
        <v>1914.9</v>
      </c>
      <c r="I395" s="501"/>
      <c r="J395" s="502">
        <v>2.0329000000000002</v>
      </c>
      <c r="K395" s="537">
        <f>K394</f>
        <v>1000</v>
      </c>
      <c r="L395" s="500">
        <f>K395*J395</f>
        <v>2032.9</v>
      </c>
      <c r="M395" s="501"/>
      <c r="N395" s="504">
        <f t="shared" si="147"/>
        <v>118</v>
      </c>
      <c r="O395" s="505">
        <f t="shared" si="148"/>
        <v>6.1622016815499503E-2</v>
      </c>
      <c r="P395" s="480"/>
      <c r="Q395" s="480"/>
      <c r="R395" s="480"/>
      <c r="S395" s="480"/>
      <c r="T395" s="480"/>
    </row>
    <row r="396" spans="1:20" ht="25.5" x14ac:dyDescent="0.2">
      <c r="A396" s="480"/>
      <c r="B396" s="528" t="s">
        <v>516</v>
      </c>
      <c r="C396" s="511"/>
      <c r="D396" s="511"/>
      <c r="E396" s="511"/>
      <c r="F396" s="539"/>
      <c r="G396" s="531"/>
      <c r="H396" s="532">
        <f>SUM(H393:H395)</f>
        <v>11201.359999999999</v>
      </c>
      <c r="I396" s="540"/>
      <c r="J396" s="541"/>
      <c r="K396" s="542"/>
      <c r="L396" s="532">
        <f>SUM(L393:L395)</f>
        <v>12379.22</v>
      </c>
      <c r="M396" s="540"/>
      <c r="N396" s="519">
        <f t="shared" si="147"/>
        <v>1177.8600000000006</v>
      </c>
      <c r="O396" s="520">
        <f t="shared" si="148"/>
        <v>0.10515330281322989</v>
      </c>
      <c r="P396" s="480"/>
      <c r="Q396" s="480"/>
      <c r="R396" s="480"/>
      <c r="S396" s="480"/>
      <c r="T396" s="480"/>
    </row>
    <row r="397" spans="1:20" ht="30" x14ac:dyDescent="0.2">
      <c r="A397" s="480"/>
      <c r="B397" s="543" t="s">
        <v>517</v>
      </c>
      <c r="C397" s="495"/>
      <c r="D397" s="496" t="s">
        <v>500</v>
      </c>
      <c r="E397" s="497"/>
      <c r="F397" s="544">
        <v>4.4000000000000003E-3</v>
      </c>
      <c r="G397" s="536">
        <f>F364*(1+F411)</f>
        <v>534000</v>
      </c>
      <c r="H397" s="545">
        <f t="shared" ref="H397:H400" si="149">G397*F397</f>
        <v>2349.6000000000004</v>
      </c>
      <c r="I397" s="501"/>
      <c r="J397" s="546">
        <v>4.4000000000000003E-3</v>
      </c>
      <c r="K397" s="537">
        <f>F364*(1+J411)</f>
        <v>532750</v>
      </c>
      <c r="L397" s="545">
        <f t="shared" ref="L397:L400" si="150">K397*J397</f>
        <v>2344.1000000000004</v>
      </c>
      <c r="M397" s="501"/>
      <c r="N397" s="504">
        <f t="shared" si="147"/>
        <v>-5.5</v>
      </c>
      <c r="O397" s="547">
        <f t="shared" si="148"/>
        <v>-2.3408239700374528E-3</v>
      </c>
      <c r="P397" s="480"/>
      <c r="Q397" s="480"/>
      <c r="R397" s="480"/>
      <c r="S397" s="480"/>
      <c r="T397" s="480"/>
    </row>
    <row r="398" spans="1:20" ht="30" x14ac:dyDescent="0.2">
      <c r="A398" s="480"/>
      <c r="B398" s="543" t="s">
        <v>518</v>
      </c>
      <c r="C398" s="495"/>
      <c r="D398" s="496" t="s">
        <v>500</v>
      </c>
      <c r="E398" s="497"/>
      <c r="F398" s="544">
        <v>1.1999999999999999E-3</v>
      </c>
      <c r="G398" s="536">
        <f>G397</f>
        <v>534000</v>
      </c>
      <c r="H398" s="545">
        <f t="shared" si="149"/>
        <v>640.79999999999995</v>
      </c>
      <c r="I398" s="501"/>
      <c r="J398" s="546">
        <v>1.2999999999999999E-3</v>
      </c>
      <c r="K398" s="537">
        <f>K397</f>
        <v>532750</v>
      </c>
      <c r="L398" s="545">
        <f t="shared" si="150"/>
        <v>692.57499999999993</v>
      </c>
      <c r="M398" s="501"/>
      <c r="N398" s="504">
        <f t="shared" si="147"/>
        <v>51.774999999999977</v>
      </c>
      <c r="O398" s="547">
        <f t="shared" si="148"/>
        <v>8.0797440699126061E-2</v>
      </c>
      <c r="P398" s="480"/>
      <c r="Q398" s="480"/>
      <c r="R398" s="480"/>
      <c r="S398" s="480"/>
      <c r="T398" s="480"/>
    </row>
    <row r="399" spans="1:20" x14ac:dyDescent="0.2">
      <c r="A399" s="480"/>
      <c r="B399" s="495" t="s">
        <v>519</v>
      </c>
      <c r="C399" s="495"/>
      <c r="D399" s="496" t="s">
        <v>497</v>
      </c>
      <c r="E399" s="497"/>
      <c r="F399" s="544">
        <v>0.25</v>
      </c>
      <c r="G399" s="499">
        <v>1</v>
      </c>
      <c r="H399" s="545">
        <f t="shared" si="149"/>
        <v>0.25</v>
      </c>
      <c r="I399" s="501"/>
      <c r="J399" s="546">
        <v>0.25</v>
      </c>
      <c r="K399" s="503">
        <v>1</v>
      </c>
      <c r="L399" s="545">
        <f t="shared" si="150"/>
        <v>0.25</v>
      </c>
      <c r="M399" s="501"/>
      <c r="N399" s="504">
        <f t="shared" si="147"/>
        <v>0</v>
      </c>
      <c r="O399" s="547">
        <f t="shared" si="148"/>
        <v>0</v>
      </c>
      <c r="P399" s="480"/>
      <c r="Q399" s="480"/>
      <c r="R399" s="480"/>
      <c r="S399" s="480"/>
      <c r="T399" s="480"/>
    </row>
    <row r="400" spans="1:20" x14ac:dyDescent="0.2">
      <c r="A400" s="480"/>
      <c r="B400" s="495" t="s">
        <v>520</v>
      </c>
      <c r="C400" s="495"/>
      <c r="D400" s="496" t="s">
        <v>500</v>
      </c>
      <c r="E400" s="497"/>
      <c r="F400" s="544">
        <v>7.0000000000000001E-3</v>
      </c>
      <c r="G400" s="548">
        <f>F364</f>
        <v>500000</v>
      </c>
      <c r="H400" s="545">
        <f t="shared" si="149"/>
        <v>3500</v>
      </c>
      <c r="I400" s="501"/>
      <c r="J400" s="546">
        <v>7.0000000000000001E-3</v>
      </c>
      <c r="K400" s="549">
        <f>F364</f>
        <v>500000</v>
      </c>
      <c r="L400" s="545">
        <f t="shared" si="150"/>
        <v>3500</v>
      </c>
      <c r="M400" s="501"/>
      <c r="N400" s="504">
        <f t="shared" si="147"/>
        <v>0</v>
      </c>
      <c r="O400" s="547">
        <f t="shared" si="148"/>
        <v>0</v>
      </c>
      <c r="P400" s="480"/>
      <c r="Q400" s="480"/>
      <c r="R400" s="480"/>
      <c r="S400" s="480"/>
      <c r="T400" s="480"/>
    </row>
    <row r="401" spans="1:20" x14ac:dyDescent="0.2">
      <c r="A401" s="597"/>
      <c r="B401" s="610" t="s">
        <v>549</v>
      </c>
      <c r="C401" s="611"/>
      <c r="D401" s="612" t="s">
        <v>500</v>
      </c>
      <c r="E401" s="613"/>
      <c r="F401" s="550">
        <v>7.8E-2</v>
      </c>
      <c r="G401" s="614">
        <f>IF(AND($T$2=1, F364&gt;=600), 600, IF(AND($T$2=1, AND(F364&lt;600, F364&gt;=0)), F364, IF(AND($T$3=2, F364&gt;=1000), 1000, IF(AND($T$3=2, AND(F364&lt;1000, F364&gt;=0)), F364))))</f>
        <v>600</v>
      </c>
      <c r="H401" s="545">
        <f>G401*F401</f>
        <v>46.8</v>
      </c>
      <c r="I401" s="615"/>
      <c r="J401" s="544">
        <v>7.8E-2</v>
      </c>
      <c r="K401" s="614">
        <f>G401</f>
        <v>600</v>
      </c>
      <c r="L401" s="545">
        <f>K401*J401</f>
        <v>46.8</v>
      </c>
      <c r="M401" s="615"/>
      <c r="N401" s="616">
        <f t="shared" si="147"/>
        <v>0</v>
      </c>
      <c r="O401" s="547">
        <f t="shared" si="148"/>
        <v>0</v>
      </c>
      <c r="P401" s="597"/>
      <c r="Q401" s="597"/>
      <c r="R401" s="597"/>
      <c r="S401" s="597"/>
      <c r="T401" s="597"/>
    </row>
    <row r="402" spans="1:20" ht="15.75" thickBot="1" x14ac:dyDescent="0.25">
      <c r="A402" s="597"/>
      <c r="B402" s="610" t="s">
        <v>550</v>
      </c>
      <c r="C402" s="611"/>
      <c r="D402" s="612" t="s">
        <v>500</v>
      </c>
      <c r="E402" s="613"/>
      <c r="F402" s="550">
        <v>9.0999999999999998E-2</v>
      </c>
      <c r="G402" s="614">
        <f>IF(AND($T$2=1, F364&gt;=600), F364-600, IF(AND($T$2=1, AND(F364&lt;600, F364&gt;=0)), 0, IF(AND($T$3=2, F364&gt;=1000), F364-1000, IF(AND($T$3=2, AND(F364&lt;1000, F364&gt;=0)), 0))))</f>
        <v>499400</v>
      </c>
      <c r="H402" s="545">
        <f>G402*F402</f>
        <v>45445.4</v>
      </c>
      <c r="I402" s="615"/>
      <c r="J402" s="544">
        <v>9.0999999999999998E-2</v>
      </c>
      <c r="K402" s="614">
        <f>G402</f>
        <v>499400</v>
      </c>
      <c r="L402" s="545">
        <f>K402*J402</f>
        <v>45445.4</v>
      </c>
      <c r="M402" s="615"/>
      <c r="N402" s="616">
        <f t="shared" si="147"/>
        <v>0</v>
      </c>
      <c r="O402" s="547">
        <f t="shared" si="148"/>
        <v>0</v>
      </c>
      <c r="P402" s="597"/>
      <c r="Q402" s="597"/>
      <c r="R402" s="597"/>
      <c r="S402" s="597"/>
      <c r="T402" s="597"/>
    </row>
    <row r="403" spans="1:20" ht="15.75" thickBot="1" x14ac:dyDescent="0.25">
      <c r="A403" s="480"/>
      <c r="B403" s="553"/>
      <c r="C403" s="554"/>
      <c r="D403" s="555"/>
      <c r="E403" s="554"/>
      <c r="F403" s="556"/>
      <c r="G403" s="557"/>
      <c r="H403" s="558"/>
      <c r="I403" s="559"/>
      <c r="J403" s="556"/>
      <c r="K403" s="560"/>
      <c r="L403" s="558"/>
      <c r="M403" s="559"/>
      <c r="N403" s="561"/>
      <c r="O403" s="562"/>
      <c r="P403" s="480"/>
      <c r="Q403" s="480"/>
      <c r="R403" s="480"/>
      <c r="S403" s="480"/>
      <c r="T403" s="480"/>
    </row>
    <row r="404" spans="1:20" x14ac:dyDescent="0.2">
      <c r="A404" s="597"/>
      <c r="B404" s="617" t="s">
        <v>551</v>
      </c>
      <c r="C404" s="611"/>
      <c r="D404" s="611"/>
      <c r="E404" s="611"/>
      <c r="F404" s="618"/>
      <c r="G404" s="619"/>
      <c r="H404" s="620">
        <f>SUM(H401:H402,H396,H397:H400)</f>
        <v>63184.210000000006</v>
      </c>
      <c r="I404" s="621"/>
      <c r="J404" s="622"/>
      <c r="K404" s="622"/>
      <c r="L404" s="620">
        <f>SUM(L401:L402,L396,L397:L400)</f>
        <v>64408.345000000001</v>
      </c>
      <c r="M404" s="623"/>
      <c r="N404" s="624">
        <f t="shared" ref="N404:N408" si="151">L404-H404</f>
        <v>1224.1349999999948</v>
      </c>
      <c r="O404" s="571">
        <f t="shared" ref="O404:O408" si="152">IF((H404)=0,"",(N404/H404))</f>
        <v>1.9374065134311162E-2</v>
      </c>
      <c r="P404" s="597"/>
      <c r="Q404" s="597"/>
      <c r="R404" s="597"/>
      <c r="S404" s="597"/>
      <c r="T404" s="597"/>
    </row>
    <row r="405" spans="1:20" x14ac:dyDescent="0.2">
      <c r="A405" s="597"/>
      <c r="B405" s="625" t="s">
        <v>525</v>
      </c>
      <c r="C405" s="611"/>
      <c r="D405" s="611"/>
      <c r="E405" s="611"/>
      <c r="F405" s="626">
        <v>0.13</v>
      </c>
      <c r="G405" s="619"/>
      <c r="H405" s="627">
        <f>H404*F405</f>
        <v>8213.9473000000016</v>
      </c>
      <c r="I405" s="628"/>
      <c r="J405" s="629">
        <v>0.13</v>
      </c>
      <c r="K405" s="630"/>
      <c r="L405" s="631">
        <f>L404*J405</f>
        <v>8373.0848500000011</v>
      </c>
      <c r="M405" s="632"/>
      <c r="N405" s="633">
        <f t="shared" si="151"/>
        <v>159.13754999999946</v>
      </c>
      <c r="O405" s="581">
        <f t="shared" si="152"/>
        <v>1.9374065134311176E-2</v>
      </c>
      <c r="P405" s="597"/>
      <c r="Q405" s="597"/>
      <c r="R405" s="597"/>
      <c r="S405" s="597"/>
      <c r="T405" s="597"/>
    </row>
    <row r="406" spans="1:20" x14ac:dyDescent="0.2">
      <c r="A406" s="597"/>
      <c r="B406" s="634" t="s">
        <v>526</v>
      </c>
      <c r="C406" s="611"/>
      <c r="D406" s="611"/>
      <c r="E406" s="611"/>
      <c r="F406" s="635"/>
      <c r="G406" s="636"/>
      <c r="H406" s="627">
        <f>H404+H405</f>
        <v>71398.157300000006</v>
      </c>
      <c r="I406" s="628"/>
      <c r="J406" s="628"/>
      <c r="K406" s="628"/>
      <c r="L406" s="631">
        <f>L404+L405</f>
        <v>72781.42985</v>
      </c>
      <c r="M406" s="632"/>
      <c r="N406" s="633">
        <f t="shared" si="151"/>
        <v>1383.2725499999942</v>
      </c>
      <c r="O406" s="581">
        <f t="shared" si="152"/>
        <v>1.9374065134311162E-2</v>
      </c>
      <c r="P406" s="597"/>
      <c r="Q406" s="597"/>
      <c r="R406" s="597"/>
      <c r="S406" s="597"/>
      <c r="T406" s="597"/>
    </row>
    <row r="407" spans="1:20" x14ac:dyDescent="0.2">
      <c r="A407" s="597"/>
      <c r="B407" s="970" t="s">
        <v>527</v>
      </c>
      <c r="C407" s="970"/>
      <c r="D407" s="970"/>
      <c r="E407" s="611"/>
      <c r="F407" s="635"/>
      <c r="G407" s="636"/>
      <c r="H407" s="637"/>
      <c r="I407" s="628"/>
      <c r="J407" s="628"/>
      <c r="K407" s="628"/>
      <c r="L407" s="638"/>
      <c r="M407" s="632"/>
      <c r="N407" s="639">
        <f t="shared" si="151"/>
        <v>0</v>
      </c>
      <c r="O407" s="587" t="str">
        <f t="shared" si="152"/>
        <v/>
      </c>
      <c r="P407" s="597"/>
      <c r="Q407" s="597"/>
      <c r="R407" s="597"/>
      <c r="S407" s="597"/>
      <c r="T407" s="597"/>
    </row>
    <row r="408" spans="1:20" ht="15.75" thickBot="1" x14ac:dyDescent="0.25">
      <c r="A408" s="597"/>
      <c r="B408" s="971" t="s">
        <v>552</v>
      </c>
      <c r="C408" s="971"/>
      <c r="D408" s="971"/>
      <c r="E408" s="640"/>
      <c r="F408" s="641"/>
      <c r="G408" s="642"/>
      <c r="H408" s="643">
        <f>SUM(H406:H407)</f>
        <v>71398.157300000006</v>
      </c>
      <c r="I408" s="644"/>
      <c r="J408" s="644"/>
      <c r="K408" s="644"/>
      <c r="L408" s="645">
        <f>SUM(L406:L407)</f>
        <v>72781.42985</v>
      </c>
      <c r="M408" s="646"/>
      <c r="N408" s="647">
        <f t="shared" si="151"/>
        <v>1383.2725499999942</v>
      </c>
      <c r="O408" s="648">
        <f t="shared" si="152"/>
        <v>1.9374065134311162E-2</v>
      </c>
      <c r="P408" s="597"/>
      <c r="Q408" s="597"/>
      <c r="R408" s="597"/>
      <c r="S408" s="597"/>
      <c r="T408" s="597"/>
    </row>
    <row r="409" spans="1:20" ht="15.75" thickBot="1" x14ac:dyDescent="0.25">
      <c r="A409" s="597"/>
      <c r="B409" s="598"/>
      <c r="C409" s="599"/>
      <c r="D409" s="600"/>
      <c r="E409" s="599"/>
      <c r="F409" s="649"/>
      <c r="G409" s="650"/>
      <c r="H409" s="651"/>
      <c r="I409" s="652"/>
      <c r="J409" s="649"/>
      <c r="K409" s="601"/>
      <c r="L409" s="653"/>
      <c r="M409" s="602"/>
      <c r="N409" s="654"/>
      <c r="O409" s="562"/>
      <c r="P409" s="597"/>
      <c r="Q409" s="597"/>
      <c r="R409" s="597"/>
      <c r="S409" s="597"/>
      <c r="T409" s="597"/>
    </row>
    <row r="410" spans="1:20" x14ac:dyDescent="0.2">
      <c r="A410" s="480"/>
      <c r="B410" s="480"/>
      <c r="C410" s="480"/>
      <c r="D410" s="480"/>
      <c r="E410" s="480"/>
      <c r="F410" s="480"/>
      <c r="G410" s="480"/>
      <c r="H410" s="480"/>
      <c r="I410" s="480"/>
      <c r="J410" s="480"/>
      <c r="K410" s="480"/>
      <c r="L410" s="552"/>
      <c r="M410" s="480"/>
      <c r="N410" s="480"/>
      <c r="O410" s="480"/>
      <c r="P410" s="480"/>
      <c r="Q410" s="480"/>
      <c r="R410" s="480"/>
      <c r="S410" s="480"/>
      <c r="T410" s="480"/>
    </row>
    <row r="411" spans="1:20" x14ac:dyDescent="0.2">
      <c r="A411" s="480"/>
      <c r="B411" s="486" t="s">
        <v>529</v>
      </c>
      <c r="C411" s="480"/>
      <c r="D411" s="480"/>
      <c r="E411" s="480"/>
      <c r="F411" s="605">
        <v>6.8000000000000005E-2</v>
      </c>
      <c r="G411" s="480"/>
      <c r="H411" s="480"/>
      <c r="I411" s="480"/>
      <c r="J411" s="605">
        <v>6.5500000000000003E-2</v>
      </c>
      <c r="K411" s="480"/>
      <c r="L411" s="480"/>
      <c r="M411" s="480"/>
      <c r="N411" s="480"/>
      <c r="O411" s="480"/>
      <c r="P411" s="480"/>
      <c r="Q411" s="480"/>
      <c r="R411" s="480"/>
      <c r="S411" s="480"/>
      <c r="T411" s="480"/>
    </row>
    <row r="412" spans="1:20" x14ac:dyDescent="0.2">
      <c r="A412" s="480"/>
      <c r="B412" s="480"/>
      <c r="C412" s="480"/>
      <c r="D412" s="480"/>
      <c r="E412" s="480"/>
      <c r="F412" s="480"/>
      <c r="G412" s="480"/>
      <c r="H412" s="480"/>
      <c r="I412" s="480"/>
      <c r="J412" s="480"/>
      <c r="K412" s="480"/>
      <c r="L412" s="480"/>
      <c r="M412" s="480"/>
      <c r="N412" s="480"/>
      <c r="O412" s="480"/>
      <c r="P412" s="480"/>
      <c r="Q412" s="480"/>
      <c r="R412" s="480"/>
      <c r="S412" s="480"/>
      <c r="T412" s="480"/>
    </row>
    <row r="413" spans="1:20" x14ac:dyDescent="0.2">
      <c r="A413" s="606" t="s">
        <v>531</v>
      </c>
      <c r="B413" s="480"/>
      <c r="C413" s="480"/>
      <c r="D413" s="480"/>
      <c r="E413" s="480"/>
      <c r="F413" s="480"/>
      <c r="G413" s="480"/>
      <c r="H413" s="480"/>
      <c r="I413" s="480"/>
      <c r="J413" s="480"/>
      <c r="K413" s="480"/>
      <c r="L413" s="480"/>
      <c r="M413" s="480"/>
      <c r="N413" s="480"/>
      <c r="O413" s="480"/>
      <c r="P413" s="480"/>
      <c r="Q413" s="480"/>
      <c r="R413" s="480"/>
      <c r="S413" s="480"/>
      <c r="T413" s="480"/>
    </row>
    <row r="414" spans="1:20" x14ac:dyDescent="0.2">
      <c r="A414" s="480"/>
      <c r="B414" s="480"/>
      <c r="C414" s="480"/>
      <c r="D414" s="480"/>
      <c r="E414" s="480"/>
      <c r="F414" s="480"/>
      <c r="G414" s="480"/>
      <c r="H414" s="480"/>
      <c r="I414" s="480"/>
      <c r="J414" s="480"/>
      <c r="K414" s="480"/>
      <c r="L414" s="480"/>
      <c r="M414" s="480"/>
      <c r="N414" s="480"/>
      <c r="O414" s="480"/>
      <c r="P414" s="480"/>
      <c r="Q414" s="480"/>
      <c r="R414" s="480"/>
      <c r="S414" s="480"/>
      <c r="T414" s="480"/>
    </row>
    <row r="415" spans="1:20" ht="15.75" x14ac:dyDescent="0.2">
      <c r="A415" s="480"/>
      <c r="B415" s="481" t="s">
        <v>480</v>
      </c>
      <c r="C415" s="480"/>
      <c r="D415" s="966" t="s">
        <v>554</v>
      </c>
      <c r="E415" s="966"/>
      <c r="F415" s="966"/>
      <c r="G415" s="966"/>
      <c r="H415" s="966"/>
      <c r="I415" s="966"/>
      <c r="J415" s="966"/>
      <c r="K415" s="966"/>
      <c r="L415" s="966"/>
      <c r="M415" s="966"/>
      <c r="N415" s="966"/>
      <c r="O415" s="966"/>
      <c r="P415" s="480"/>
      <c r="Q415" s="480"/>
      <c r="R415" s="480"/>
      <c r="S415" s="480"/>
      <c r="T415" s="480"/>
    </row>
    <row r="416" spans="1:20" ht="15.75" x14ac:dyDescent="0.25">
      <c r="A416" s="480"/>
      <c r="B416" s="482"/>
      <c r="C416" s="480"/>
      <c r="D416" s="483"/>
      <c r="E416" s="483"/>
      <c r="F416" s="483"/>
      <c r="G416" s="483"/>
      <c r="H416" s="483"/>
      <c r="I416" s="483"/>
      <c r="J416" s="483"/>
      <c r="K416" s="483"/>
      <c r="L416" s="483"/>
      <c r="M416" s="483"/>
      <c r="N416" s="483"/>
      <c r="O416" s="483"/>
      <c r="P416" s="480"/>
      <c r="Q416" s="480"/>
      <c r="R416" s="480"/>
      <c r="S416" s="480"/>
      <c r="T416" s="480"/>
    </row>
    <row r="417" spans="1:20" ht="15.75" x14ac:dyDescent="0.25">
      <c r="A417" s="480"/>
      <c r="B417" s="481" t="s">
        <v>482</v>
      </c>
      <c r="C417" s="480"/>
      <c r="D417" s="484" t="s">
        <v>546</v>
      </c>
      <c r="E417" s="483"/>
      <c r="F417" s="483"/>
      <c r="G417" s="483"/>
      <c r="H417" s="483"/>
      <c r="I417" s="483"/>
      <c r="J417" s="483"/>
      <c r="K417" s="483"/>
      <c r="L417" s="483"/>
      <c r="M417" s="483"/>
      <c r="N417" s="483"/>
      <c r="O417" s="483"/>
      <c r="P417" s="480"/>
      <c r="Q417" s="480"/>
      <c r="R417" s="480"/>
      <c r="S417" s="480"/>
      <c r="T417" s="480"/>
    </row>
    <row r="418" spans="1:20" ht="15.75" x14ac:dyDescent="0.25">
      <c r="A418" s="480"/>
      <c r="B418" s="482"/>
      <c r="C418" s="480"/>
      <c r="D418" s="483"/>
      <c r="E418" s="483"/>
      <c r="F418" s="483"/>
      <c r="G418" s="483"/>
      <c r="H418" s="483"/>
      <c r="I418" s="483"/>
      <c r="J418" s="483"/>
      <c r="K418" s="483"/>
      <c r="L418" s="483"/>
      <c r="M418" s="483"/>
      <c r="N418" s="483"/>
      <c r="O418" s="483"/>
      <c r="P418" s="480"/>
      <c r="Q418" s="480"/>
      <c r="R418" s="480"/>
      <c r="S418" s="480"/>
      <c r="T418" s="480"/>
    </row>
    <row r="419" spans="1:20" x14ac:dyDescent="0.2">
      <c r="A419" s="480"/>
      <c r="B419" s="485"/>
      <c r="C419" s="480"/>
      <c r="D419" s="486" t="s">
        <v>484</v>
      </c>
      <c r="E419" s="486"/>
      <c r="F419" s="487">
        <v>500</v>
      </c>
      <c r="G419" s="486" t="s">
        <v>485</v>
      </c>
      <c r="H419" s="480"/>
      <c r="I419" s="480"/>
      <c r="J419" s="480"/>
      <c r="K419" s="480"/>
      <c r="L419" s="480"/>
      <c r="M419" s="480"/>
      <c r="N419" s="480"/>
      <c r="O419" s="480"/>
      <c r="P419" s="480"/>
      <c r="Q419" s="480"/>
      <c r="R419" s="480"/>
      <c r="S419" s="480"/>
      <c r="T419" s="480"/>
    </row>
    <row r="420" spans="1:20" x14ac:dyDescent="0.2">
      <c r="A420" s="480"/>
      <c r="B420" s="485"/>
      <c r="C420" s="480"/>
      <c r="D420" s="480"/>
      <c r="E420" s="480"/>
      <c r="F420" s="480"/>
      <c r="G420" s="480"/>
      <c r="H420" s="480"/>
      <c r="I420" s="480"/>
      <c r="J420" s="480"/>
      <c r="K420" s="480"/>
      <c r="L420" s="480"/>
      <c r="M420" s="480"/>
      <c r="N420" s="480"/>
      <c r="O420" s="480"/>
      <c r="P420" s="480"/>
      <c r="Q420" s="480"/>
      <c r="R420" s="480"/>
      <c r="S420" s="480"/>
      <c r="T420" s="480"/>
    </row>
    <row r="421" spans="1:20" x14ac:dyDescent="0.2">
      <c r="A421" s="480"/>
      <c r="B421" s="485"/>
      <c r="C421" s="480"/>
      <c r="D421" s="488"/>
      <c r="E421" s="488"/>
      <c r="F421" s="967" t="s">
        <v>486</v>
      </c>
      <c r="G421" s="968"/>
      <c r="H421" s="969"/>
      <c r="I421" s="480"/>
      <c r="J421" s="967" t="s">
        <v>487</v>
      </c>
      <c r="K421" s="968"/>
      <c r="L421" s="969"/>
      <c r="M421" s="480"/>
      <c r="N421" s="967" t="s">
        <v>488</v>
      </c>
      <c r="O421" s="969"/>
      <c r="P421" s="480"/>
      <c r="Q421" s="480"/>
      <c r="R421" s="480"/>
      <c r="S421" s="480"/>
      <c r="T421" s="480"/>
    </row>
    <row r="422" spans="1:20" x14ac:dyDescent="0.2">
      <c r="A422" s="480"/>
      <c r="B422" s="485"/>
      <c r="C422" s="480"/>
      <c r="D422" s="958" t="s">
        <v>489</v>
      </c>
      <c r="E422" s="489"/>
      <c r="F422" s="490" t="s">
        <v>490</v>
      </c>
      <c r="G422" s="490" t="s">
        <v>491</v>
      </c>
      <c r="H422" s="491" t="s">
        <v>492</v>
      </c>
      <c r="I422" s="480"/>
      <c r="J422" s="490" t="s">
        <v>490</v>
      </c>
      <c r="K422" s="492" t="s">
        <v>491</v>
      </c>
      <c r="L422" s="491" t="s">
        <v>492</v>
      </c>
      <c r="M422" s="480"/>
      <c r="N422" s="960" t="s">
        <v>493</v>
      </c>
      <c r="O422" s="962" t="s">
        <v>494</v>
      </c>
      <c r="P422" s="480"/>
      <c r="Q422" s="480"/>
      <c r="R422" s="480"/>
      <c r="S422" s="480"/>
      <c r="T422" s="480"/>
    </row>
    <row r="423" spans="1:20" x14ac:dyDescent="0.2">
      <c r="A423" s="480"/>
      <c r="B423" s="485"/>
      <c r="C423" s="480"/>
      <c r="D423" s="959"/>
      <c r="E423" s="489"/>
      <c r="F423" s="493" t="s">
        <v>495</v>
      </c>
      <c r="G423" s="493"/>
      <c r="H423" s="494" t="s">
        <v>495</v>
      </c>
      <c r="I423" s="480"/>
      <c r="J423" s="493" t="s">
        <v>495</v>
      </c>
      <c r="K423" s="494"/>
      <c r="L423" s="494" t="s">
        <v>495</v>
      </c>
      <c r="M423" s="480"/>
      <c r="N423" s="961"/>
      <c r="O423" s="963"/>
      <c r="P423" s="480"/>
      <c r="Q423" s="480"/>
      <c r="R423" s="480"/>
      <c r="S423" s="480"/>
      <c r="T423" s="480"/>
    </row>
    <row r="424" spans="1:20" x14ac:dyDescent="0.2">
      <c r="A424" s="480"/>
      <c r="B424" s="495" t="s">
        <v>496</v>
      </c>
      <c r="C424" s="495"/>
      <c r="D424" s="496" t="s">
        <v>497</v>
      </c>
      <c r="E424" s="497"/>
      <c r="F424" s="498">
        <v>20.83</v>
      </c>
      <c r="G424" s="499">
        <v>1</v>
      </c>
      <c r="H424" s="500">
        <f>G424*F424</f>
        <v>20.83</v>
      </c>
      <c r="I424" s="501"/>
      <c r="J424" s="502">
        <v>20.53</v>
      </c>
      <c r="K424" s="503">
        <v>1</v>
      </c>
      <c r="L424" s="500">
        <f>K424*J424</f>
        <v>20.53</v>
      </c>
      <c r="M424" s="501"/>
      <c r="N424" s="504">
        <f>L424-H424</f>
        <v>-0.29999999999999716</v>
      </c>
      <c r="O424" s="505">
        <f>IF((H424)=0,"",(N424/H424))</f>
        <v>-1.4402304368698857E-2</v>
      </c>
      <c r="P424" s="480"/>
      <c r="Q424" s="480"/>
      <c r="R424" s="480"/>
      <c r="S424" s="480"/>
      <c r="T424" s="480"/>
    </row>
    <row r="425" spans="1:20" x14ac:dyDescent="0.2">
      <c r="A425" s="480"/>
      <c r="B425" s="495" t="s">
        <v>498</v>
      </c>
      <c r="C425" s="495"/>
      <c r="D425" s="496"/>
      <c r="E425" s="497"/>
      <c r="F425" s="498"/>
      <c r="G425" s="499">
        <v>1</v>
      </c>
      <c r="H425" s="500">
        <f t="shared" ref="H425:H439" si="153">G425*F425</f>
        <v>0</v>
      </c>
      <c r="I425" s="501"/>
      <c r="J425" s="502"/>
      <c r="K425" s="503">
        <v>1</v>
      </c>
      <c r="L425" s="500">
        <f>K425*J425</f>
        <v>0</v>
      </c>
      <c r="M425" s="501"/>
      <c r="N425" s="504">
        <f>L425-H425</f>
        <v>0</v>
      </c>
      <c r="O425" s="505" t="str">
        <f>IF((H425)=0,"",(N425/H425))</f>
        <v/>
      </c>
      <c r="P425" s="480"/>
      <c r="Q425" s="480"/>
      <c r="R425" s="480"/>
      <c r="S425" s="480"/>
      <c r="T425" s="480"/>
    </row>
    <row r="426" spans="1:20" x14ac:dyDescent="0.2">
      <c r="A426" s="480"/>
      <c r="B426" s="506"/>
      <c r="C426" s="495"/>
      <c r="D426" s="496"/>
      <c r="E426" s="497"/>
      <c r="F426" s="498"/>
      <c r="G426" s="499">
        <v>1</v>
      </c>
      <c r="H426" s="500">
        <f t="shared" si="153"/>
        <v>0</v>
      </c>
      <c r="I426" s="501"/>
      <c r="J426" s="502"/>
      <c r="K426" s="503">
        <v>1</v>
      </c>
      <c r="L426" s="500">
        <f t="shared" ref="L426:L439" si="154">K426*J426</f>
        <v>0</v>
      </c>
      <c r="M426" s="501"/>
      <c r="N426" s="504">
        <f t="shared" ref="N426:N440" si="155">L426-H426</f>
        <v>0</v>
      </c>
      <c r="O426" s="505" t="str">
        <f t="shared" ref="O426:O440" si="156">IF((H426)=0,"",(N426/H426))</f>
        <v/>
      </c>
      <c r="P426" s="480"/>
      <c r="Q426" s="480"/>
      <c r="R426" s="480"/>
      <c r="S426" s="480"/>
      <c r="T426" s="480"/>
    </row>
    <row r="427" spans="1:20" x14ac:dyDescent="0.2">
      <c r="A427" s="480"/>
      <c r="B427" s="506"/>
      <c r="C427" s="495"/>
      <c r="D427" s="496"/>
      <c r="E427" s="497"/>
      <c r="F427" s="498"/>
      <c r="G427" s="499">
        <v>1</v>
      </c>
      <c r="H427" s="500">
        <f t="shared" si="153"/>
        <v>0</v>
      </c>
      <c r="I427" s="501"/>
      <c r="J427" s="502"/>
      <c r="K427" s="503">
        <v>1</v>
      </c>
      <c r="L427" s="500">
        <f t="shared" si="154"/>
        <v>0</v>
      </c>
      <c r="M427" s="501"/>
      <c r="N427" s="504">
        <f t="shared" si="155"/>
        <v>0</v>
      </c>
      <c r="O427" s="505" t="str">
        <f t="shared" si="156"/>
        <v/>
      </c>
      <c r="P427" s="480"/>
      <c r="Q427" s="480"/>
      <c r="R427" s="480"/>
      <c r="S427" s="480"/>
      <c r="T427" s="480"/>
    </row>
    <row r="428" spans="1:20" x14ac:dyDescent="0.2">
      <c r="A428" s="480"/>
      <c r="B428" s="506"/>
      <c r="C428" s="495"/>
      <c r="D428" s="496"/>
      <c r="E428" s="497"/>
      <c r="F428" s="498"/>
      <c r="G428" s="499">
        <v>1</v>
      </c>
      <c r="H428" s="500">
        <f t="shared" si="153"/>
        <v>0</v>
      </c>
      <c r="I428" s="501"/>
      <c r="J428" s="502"/>
      <c r="K428" s="503">
        <v>1</v>
      </c>
      <c r="L428" s="500">
        <f t="shared" si="154"/>
        <v>0</v>
      </c>
      <c r="M428" s="501"/>
      <c r="N428" s="504">
        <f t="shared" si="155"/>
        <v>0</v>
      </c>
      <c r="O428" s="505" t="str">
        <f t="shared" si="156"/>
        <v/>
      </c>
      <c r="P428" s="480"/>
      <c r="Q428" s="480"/>
      <c r="R428" s="480"/>
      <c r="S428" s="480"/>
      <c r="T428" s="480"/>
    </row>
    <row r="429" spans="1:20" x14ac:dyDescent="0.2">
      <c r="A429" s="480"/>
      <c r="B429" s="506"/>
      <c r="C429" s="495"/>
      <c r="D429" s="496"/>
      <c r="E429" s="497"/>
      <c r="F429" s="498"/>
      <c r="G429" s="499">
        <v>1</v>
      </c>
      <c r="H429" s="500">
        <f t="shared" si="153"/>
        <v>0</v>
      </c>
      <c r="I429" s="501"/>
      <c r="J429" s="502"/>
      <c r="K429" s="503">
        <v>1</v>
      </c>
      <c r="L429" s="500">
        <f t="shared" si="154"/>
        <v>0</v>
      </c>
      <c r="M429" s="501"/>
      <c r="N429" s="504">
        <f t="shared" si="155"/>
        <v>0</v>
      </c>
      <c r="O429" s="505" t="str">
        <f t="shared" si="156"/>
        <v/>
      </c>
      <c r="P429" s="480"/>
      <c r="Q429" s="480"/>
      <c r="R429" s="480"/>
      <c r="S429" s="480"/>
      <c r="T429" s="480"/>
    </row>
    <row r="430" spans="1:20" x14ac:dyDescent="0.2">
      <c r="A430" s="480"/>
      <c r="B430" s="495" t="s">
        <v>499</v>
      </c>
      <c r="C430" s="495"/>
      <c r="D430" s="496" t="s">
        <v>500</v>
      </c>
      <c r="E430" s="497"/>
      <c r="F430" s="498">
        <v>2.7000000000000001E-3</v>
      </c>
      <c r="G430" s="608">
        <f>$F$419</f>
        <v>500</v>
      </c>
      <c r="H430" s="500">
        <f t="shared" si="153"/>
        <v>1.35</v>
      </c>
      <c r="I430" s="501"/>
      <c r="J430" s="502">
        <v>2.7000000000000001E-3</v>
      </c>
      <c r="K430" s="608">
        <f>$F$419</f>
        <v>500</v>
      </c>
      <c r="L430" s="500">
        <f t="shared" si="154"/>
        <v>1.35</v>
      </c>
      <c r="M430" s="501"/>
      <c r="N430" s="504">
        <f t="shared" si="155"/>
        <v>0</v>
      </c>
      <c r="O430" s="505">
        <f t="shared" si="156"/>
        <v>0</v>
      </c>
      <c r="P430" s="480"/>
      <c r="Q430" s="480"/>
      <c r="R430" s="480"/>
      <c r="S430" s="480"/>
      <c r="T430" s="480"/>
    </row>
    <row r="431" spans="1:20" x14ac:dyDescent="0.2">
      <c r="A431" s="480"/>
      <c r="B431" s="495" t="s">
        <v>501</v>
      </c>
      <c r="C431" s="495"/>
      <c r="D431" s="496"/>
      <c r="E431" s="497"/>
      <c r="F431" s="498"/>
      <c r="G431" s="608">
        <f t="shared" ref="G431:G439" si="157">$F$419</f>
        <v>500</v>
      </c>
      <c r="H431" s="500">
        <f t="shared" si="153"/>
        <v>0</v>
      </c>
      <c r="I431" s="501"/>
      <c r="J431" s="502"/>
      <c r="K431" s="608">
        <f t="shared" ref="K431:K439" si="158">$F$419</f>
        <v>500</v>
      </c>
      <c r="L431" s="500">
        <f t="shared" si="154"/>
        <v>0</v>
      </c>
      <c r="M431" s="501"/>
      <c r="N431" s="504">
        <f t="shared" si="155"/>
        <v>0</v>
      </c>
      <c r="O431" s="505" t="str">
        <f t="shared" si="156"/>
        <v/>
      </c>
      <c r="P431" s="480"/>
      <c r="Q431" s="480"/>
      <c r="R431" s="480"/>
      <c r="S431" s="480"/>
      <c r="T431" s="480"/>
    </row>
    <row r="432" spans="1:20" x14ac:dyDescent="0.2">
      <c r="A432" s="480"/>
      <c r="B432" s="495" t="s">
        <v>502</v>
      </c>
      <c r="C432" s="495"/>
      <c r="D432" s="496"/>
      <c r="E432" s="497"/>
      <c r="F432" s="498"/>
      <c r="G432" s="608">
        <f t="shared" si="157"/>
        <v>500</v>
      </c>
      <c r="H432" s="500">
        <f t="shared" si="153"/>
        <v>0</v>
      </c>
      <c r="I432" s="501"/>
      <c r="J432" s="502"/>
      <c r="K432" s="608">
        <f t="shared" si="158"/>
        <v>500</v>
      </c>
      <c r="L432" s="500">
        <f t="shared" si="154"/>
        <v>0</v>
      </c>
      <c r="M432" s="501"/>
      <c r="N432" s="504">
        <f t="shared" si="155"/>
        <v>0</v>
      </c>
      <c r="O432" s="505" t="str">
        <f t="shared" si="156"/>
        <v/>
      </c>
      <c r="P432" s="480"/>
      <c r="Q432" s="480"/>
      <c r="R432" s="480"/>
      <c r="S432" s="480"/>
      <c r="T432" s="480"/>
    </row>
    <row r="433" spans="1:20" x14ac:dyDescent="0.2">
      <c r="A433" s="480"/>
      <c r="B433" s="507" t="s">
        <v>503</v>
      </c>
      <c r="C433" s="495"/>
      <c r="D433" s="496" t="s">
        <v>500</v>
      </c>
      <c r="E433" s="497"/>
      <c r="F433" s="498">
        <v>-2.0000000000000001E-4</v>
      </c>
      <c r="G433" s="608">
        <f t="shared" si="157"/>
        <v>500</v>
      </c>
      <c r="H433" s="500">
        <f t="shared" si="153"/>
        <v>-0.1</v>
      </c>
      <c r="I433" s="501"/>
      <c r="J433" s="502"/>
      <c r="K433" s="608">
        <f t="shared" si="158"/>
        <v>500</v>
      </c>
      <c r="L433" s="500">
        <f t="shared" si="154"/>
        <v>0</v>
      </c>
      <c r="M433" s="501"/>
      <c r="N433" s="504">
        <f t="shared" si="155"/>
        <v>0.1</v>
      </c>
      <c r="O433" s="505">
        <f t="shared" si="156"/>
        <v>-1</v>
      </c>
      <c r="P433" s="480"/>
      <c r="Q433" s="480"/>
      <c r="R433" s="480"/>
      <c r="S433" s="480"/>
      <c r="T433" s="480"/>
    </row>
    <row r="434" spans="1:20" x14ac:dyDescent="0.2">
      <c r="A434" s="480"/>
      <c r="B434" s="507" t="s">
        <v>504</v>
      </c>
      <c r="C434" s="495"/>
      <c r="D434" s="496" t="s">
        <v>500</v>
      </c>
      <c r="E434" s="497"/>
      <c r="F434" s="498">
        <v>-1.6000000000000001E-3</v>
      </c>
      <c r="G434" s="608">
        <f t="shared" si="157"/>
        <v>500</v>
      </c>
      <c r="H434" s="500">
        <f t="shared" si="153"/>
        <v>-0.8</v>
      </c>
      <c r="I434" s="501"/>
      <c r="J434" s="502"/>
      <c r="K434" s="608">
        <f t="shared" si="158"/>
        <v>500</v>
      </c>
      <c r="L434" s="500">
        <f t="shared" si="154"/>
        <v>0</v>
      </c>
      <c r="M434" s="501"/>
      <c r="N434" s="504">
        <f t="shared" si="155"/>
        <v>0.8</v>
      </c>
      <c r="O434" s="505">
        <f t="shared" si="156"/>
        <v>-1</v>
      </c>
      <c r="P434" s="480"/>
      <c r="Q434" s="480"/>
      <c r="R434" s="480"/>
      <c r="S434" s="480"/>
      <c r="T434" s="480"/>
    </row>
    <row r="435" spans="1:20" x14ac:dyDescent="0.2">
      <c r="A435" s="480"/>
      <c r="B435" s="507" t="s">
        <v>506</v>
      </c>
      <c r="C435" s="495"/>
      <c r="D435" s="496" t="s">
        <v>500</v>
      </c>
      <c r="E435" s="497"/>
      <c r="F435" s="498"/>
      <c r="G435" s="608">
        <f t="shared" si="157"/>
        <v>500</v>
      </c>
      <c r="H435" s="500">
        <f t="shared" si="153"/>
        <v>0</v>
      </c>
      <c r="I435" s="501"/>
      <c r="J435" s="502">
        <v>-1.5E-3</v>
      </c>
      <c r="K435" s="608">
        <f t="shared" si="158"/>
        <v>500</v>
      </c>
      <c r="L435" s="500">
        <f t="shared" si="154"/>
        <v>-0.75</v>
      </c>
      <c r="M435" s="501"/>
      <c r="N435" s="504">
        <f t="shared" si="155"/>
        <v>-0.75</v>
      </c>
      <c r="O435" s="505" t="str">
        <f t="shared" si="156"/>
        <v/>
      </c>
      <c r="P435" s="480"/>
      <c r="Q435" s="480"/>
      <c r="R435" s="480"/>
      <c r="S435" s="480"/>
      <c r="T435" s="480"/>
    </row>
    <row r="436" spans="1:20" x14ac:dyDescent="0.2">
      <c r="A436" s="480"/>
      <c r="B436" s="507" t="s">
        <v>507</v>
      </c>
      <c r="C436" s="495"/>
      <c r="D436" s="496" t="s">
        <v>500</v>
      </c>
      <c r="E436" s="497"/>
      <c r="F436" s="498"/>
      <c r="G436" s="608">
        <f t="shared" si="157"/>
        <v>500</v>
      </c>
      <c r="H436" s="500">
        <f t="shared" si="153"/>
        <v>0</v>
      </c>
      <c r="I436" s="501"/>
      <c r="J436" s="502">
        <v>2.0000000000000001E-4</v>
      </c>
      <c r="K436" s="608">
        <f t="shared" si="158"/>
        <v>500</v>
      </c>
      <c r="L436" s="500">
        <f t="shared" si="154"/>
        <v>0.1</v>
      </c>
      <c r="M436" s="501"/>
      <c r="N436" s="504">
        <f t="shared" si="155"/>
        <v>0.1</v>
      </c>
      <c r="O436" s="505" t="str">
        <f t="shared" si="156"/>
        <v/>
      </c>
      <c r="P436" s="480"/>
      <c r="Q436" s="480"/>
      <c r="R436" s="480"/>
      <c r="S436" s="480"/>
      <c r="T436" s="480"/>
    </row>
    <row r="437" spans="1:20" x14ac:dyDescent="0.2">
      <c r="A437" s="480"/>
      <c r="B437" s="507"/>
      <c r="C437" s="495"/>
      <c r="D437" s="496"/>
      <c r="E437" s="497"/>
      <c r="F437" s="498"/>
      <c r="G437" s="608">
        <f t="shared" si="157"/>
        <v>500</v>
      </c>
      <c r="H437" s="500">
        <f t="shared" si="153"/>
        <v>0</v>
      </c>
      <c r="I437" s="501"/>
      <c r="J437" s="502"/>
      <c r="K437" s="608">
        <f t="shared" si="158"/>
        <v>500</v>
      </c>
      <c r="L437" s="500">
        <f t="shared" si="154"/>
        <v>0</v>
      </c>
      <c r="M437" s="501"/>
      <c r="N437" s="504">
        <f t="shared" si="155"/>
        <v>0</v>
      </c>
      <c r="O437" s="505" t="str">
        <f t="shared" si="156"/>
        <v/>
      </c>
      <c r="P437" s="480"/>
      <c r="Q437" s="480"/>
      <c r="R437" s="480"/>
      <c r="S437" s="480"/>
      <c r="T437" s="480"/>
    </row>
    <row r="438" spans="1:20" x14ac:dyDescent="0.2">
      <c r="A438" s="480"/>
      <c r="B438" s="508"/>
      <c r="C438" s="495"/>
      <c r="D438" s="496"/>
      <c r="E438" s="497"/>
      <c r="F438" s="498"/>
      <c r="G438" s="608">
        <f t="shared" si="157"/>
        <v>500</v>
      </c>
      <c r="H438" s="500">
        <f t="shared" si="153"/>
        <v>0</v>
      </c>
      <c r="I438" s="501"/>
      <c r="J438" s="502"/>
      <c r="K438" s="608">
        <f t="shared" si="158"/>
        <v>500</v>
      </c>
      <c r="L438" s="500">
        <f t="shared" si="154"/>
        <v>0</v>
      </c>
      <c r="M438" s="501"/>
      <c r="N438" s="504">
        <f t="shared" si="155"/>
        <v>0</v>
      </c>
      <c r="O438" s="505" t="str">
        <f t="shared" si="156"/>
        <v/>
      </c>
      <c r="P438" s="480"/>
      <c r="Q438" s="480"/>
      <c r="R438" s="480"/>
      <c r="S438" s="480"/>
      <c r="T438" s="480"/>
    </row>
    <row r="439" spans="1:20" x14ac:dyDescent="0.2">
      <c r="A439" s="480"/>
      <c r="B439" s="508"/>
      <c r="C439" s="495"/>
      <c r="D439" s="496"/>
      <c r="E439" s="497"/>
      <c r="F439" s="498"/>
      <c r="G439" s="608">
        <f t="shared" si="157"/>
        <v>500</v>
      </c>
      <c r="H439" s="500">
        <f t="shared" si="153"/>
        <v>0</v>
      </c>
      <c r="I439" s="501"/>
      <c r="J439" s="502"/>
      <c r="K439" s="608">
        <f t="shared" si="158"/>
        <v>500</v>
      </c>
      <c r="L439" s="500">
        <f t="shared" si="154"/>
        <v>0</v>
      </c>
      <c r="M439" s="501"/>
      <c r="N439" s="504">
        <f t="shared" si="155"/>
        <v>0</v>
      </c>
      <c r="O439" s="505" t="str">
        <f t="shared" si="156"/>
        <v/>
      </c>
      <c r="P439" s="480"/>
      <c r="Q439" s="480"/>
      <c r="R439" s="480"/>
      <c r="S439" s="480"/>
      <c r="T439" s="480"/>
    </row>
    <row r="440" spans="1:20" x14ac:dyDescent="0.2">
      <c r="A440" s="509"/>
      <c r="B440" s="510" t="s">
        <v>508</v>
      </c>
      <c r="C440" s="511"/>
      <c r="D440" s="512"/>
      <c r="E440" s="511"/>
      <c r="F440" s="513"/>
      <c r="G440" s="514"/>
      <c r="H440" s="515">
        <f>SUM(H424:H439)</f>
        <v>21.279999999999998</v>
      </c>
      <c r="I440" s="516"/>
      <c r="J440" s="517"/>
      <c r="K440" s="518"/>
      <c r="L440" s="515">
        <f>SUM(L424:L439)</f>
        <v>21.230000000000004</v>
      </c>
      <c r="M440" s="516"/>
      <c r="N440" s="519">
        <f t="shared" si="155"/>
        <v>-4.9999999999993605E-2</v>
      </c>
      <c r="O440" s="520">
        <f t="shared" si="156"/>
        <v>-2.3496240601500757E-3</v>
      </c>
      <c r="P440" s="509"/>
      <c r="Q440" s="509"/>
      <c r="R440" s="509"/>
      <c r="S440" s="509"/>
      <c r="T440" s="509"/>
    </row>
    <row r="441" spans="1:20" ht="25.5" x14ac:dyDescent="0.2">
      <c r="A441" s="480"/>
      <c r="B441" s="521" t="s">
        <v>509</v>
      </c>
      <c r="C441" s="495"/>
      <c r="D441" s="496" t="s">
        <v>500</v>
      </c>
      <c r="E441" s="497"/>
      <c r="F441" s="502">
        <v>-2.5000000000000001E-3</v>
      </c>
      <c r="G441" s="608">
        <f>$F$419</f>
        <v>500</v>
      </c>
      <c r="H441" s="500">
        <f>G441*F441</f>
        <v>-1.25</v>
      </c>
      <c r="I441" s="501"/>
      <c r="J441" s="502">
        <v>-4.0000000000000002E-4</v>
      </c>
      <c r="K441" s="608">
        <f>$F$419</f>
        <v>500</v>
      </c>
      <c r="L441" s="500">
        <f>K441*J441</f>
        <v>-0.2</v>
      </c>
      <c r="M441" s="501"/>
      <c r="N441" s="504">
        <f>L441-H441</f>
        <v>1.05</v>
      </c>
      <c r="O441" s="505">
        <f>IF((H441)=0,"",(N441/H441))*-1</f>
        <v>0.84000000000000008</v>
      </c>
      <c r="P441" s="480"/>
      <c r="Q441" s="480"/>
      <c r="R441" s="480"/>
      <c r="S441" s="480"/>
      <c r="T441" s="480"/>
    </row>
    <row r="442" spans="1:20" x14ac:dyDescent="0.2">
      <c r="A442" s="480"/>
      <c r="B442" s="521"/>
      <c r="C442" s="495"/>
      <c r="D442" s="496"/>
      <c r="E442" s="497"/>
      <c r="F442" s="498"/>
      <c r="G442" s="608">
        <f t="shared" ref="G442:G445" si="159">$F$419</f>
        <v>500</v>
      </c>
      <c r="H442" s="500">
        <f t="shared" ref="H442:H444" si="160">G442*F442</f>
        <v>0</v>
      </c>
      <c r="I442" s="522"/>
      <c r="J442" s="502"/>
      <c r="K442" s="608">
        <f t="shared" ref="K442:K445" si="161">$F$419</f>
        <v>500</v>
      </c>
      <c r="L442" s="500">
        <f t="shared" ref="L442:L444" si="162">K442*J442</f>
        <v>0</v>
      </c>
      <c r="M442" s="523"/>
      <c r="N442" s="504">
        <f t="shared" ref="N442:N444" si="163">L442-H442</f>
        <v>0</v>
      </c>
      <c r="O442" s="505" t="str">
        <f t="shared" ref="O442:O444" si="164">IF((H442)=0,"",(N442/H442))</f>
        <v/>
      </c>
      <c r="P442" s="480"/>
      <c r="Q442" s="480"/>
      <c r="R442" s="480"/>
      <c r="S442" s="480"/>
      <c r="T442" s="480"/>
    </row>
    <row r="443" spans="1:20" x14ac:dyDescent="0.2">
      <c r="A443" s="480"/>
      <c r="B443" s="521"/>
      <c r="C443" s="495"/>
      <c r="D443" s="496"/>
      <c r="E443" s="497"/>
      <c r="F443" s="498"/>
      <c r="G443" s="608">
        <f t="shared" si="159"/>
        <v>500</v>
      </c>
      <c r="H443" s="500">
        <f t="shared" si="160"/>
        <v>0</v>
      </c>
      <c r="I443" s="522"/>
      <c r="J443" s="502"/>
      <c r="K443" s="608">
        <f t="shared" si="161"/>
        <v>500</v>
      </c>
      <c r="L443" s="500">
        <f t="shared" si="162"/>
        <v>0</v>
      </c>
      <c r="M443" s="523"/>
      <c r="N443" s="504">
        <f t="shared" si="163"/>
        <v>0</v>
      </c>
      <c r="O443" s="505" t="str">
        <f t="shared" si="164"/>
        <v/>
      </c>
      <c r="P443" s="480"/>
      <c r="Q443" s="480"/>
      <c r="R443" s="480"/>
      <c r="S443" s="480"/>
      <c r="T443" s="480"/>
    </row>
    <row r="444" spans="1:20" x14ac:dyDescent="0.2">
      <c r="A444" s="480"/>
      <c r="B444" s="521"/>
      <c r="C444" s="495"/>
      <c r="D444" s="496"/>
      <c r="E444" s="497"/>
      <c r="F444" s="498"/>
      <c r="G444" s="608">
        <f t="shared" si="159"/>
        <v>500</v>
      </c>
      <c r="H444" s="500">
        <f t="shared" si="160"/>
        <v>0</v>
      </c>
      <c r="I444" s="522"/>
      <c r="J444" s="502"/>
      <c r="K444" s="608">
        <f t="shared" si="161"/>
        <v>500</v>
      </c>
      <c r="L444" s="500">
        <f t="shared" si="162"/>
        <v>0</v>
      </c>
      <c r="M444" s="523"/>
      <c r="N444" s="504">
        <f t="shared" si="163"/>
        <v>0</v>
      </c>
      <c r="O444" s="505" t="str">
        <f t="shared" si="164"/>
        <v/>
      </c>
      <c r="P444" s="480"/>
      <c r="Q444" s="480"/>
      <c r="R444" s="480"/>
      <c r="S444" s="480"/>
      <c r="T444" s="480"/>
    </row>
    <row r="445" spans="1:20" x14ac:dyDescent="0.2">
      <c r="A445" s="480"/>
      <c r="B445" s="524" t="s">
        <v>510</v>
      </c>
      <c r="C445" s="495"/>
      <c r="D445" s="496" t="s">
        <v>500</v>
      </c>
      <c r="E445" s="497"/>
      <c r="F445" s="498">
        <v>2.9999999999999997E-4</v>
      </c>
      <c r="G445" s="608">
        <f t="shared" si="159"/>
        <v>500</v>
      </c>
      <c r="H445" s="500">
        <f>G445*F445</f>
        <v>0.15</v>
      </c>
      <c r="I445" s="501"/>
      <c r="J445" s="502">
        <v>4.0000000000000002E-4</v>
      </c>
      <c r="K445" s="608">
        <f t="shared" si="161"/>
        <v>500</v>
      </c>
      <c r="L445" s="500">
        <f>K445*J445</f>
        <v>0.2</v>
      </c>
      <c r="M445" s="501"/>
      <c r="N445" s="504">
        <f>L445-H445</f>
        <v>5.0000000000000017E-2</v>
      </c>
      <c r="O445" s="505">
        <f>IF((H445)=0,"",(N445/H445))</f>
        <v>0.33333333333333348</v>
      </c>
      <c r="P445" s="480"/>
      <c r="Q445" s="480"/>
      <c r="R445" s="480"/>
      <c r="S445" s="480"/>
      <c r="T445" s="480"/>
    </row>
    <row r="446" spans="1:20" x14ac:dyDescent="0.2">
      <c r="A446" s="480"/>
      <c r="B446" s="524" t="s">
        <v>511</v>
      </c>
      <c r="C446" s="495"/>
      <c r="D446" s="496" t="s">
        <v>500</v>
      </c>
      <c r="E446" s="497"/>
      <c r="F446" s="525">
        <f>IF(ISBLANK(D417)=TRUE, 0, IF(D417="TOU", 0.64*$F$110+0.18*$F$111+0.18*$F$112, IF(AND(D417="non-TOU",G457&gt; 0),F457,F456)))</f>
        <v>7.8E-2</v>
      </c>
      <c r="G446" s="609">
        <f>$F$419*(1+$F$121)-$F$419</f>
        <v>34</v>
      </c>
      <c r="H446" s="500">
        <f t="shared" ref="H446" si="165">G446*F446</f>
        <v>2.6520000000000001</v>
      </c>
      <c r="I446" s="501"/>
      <c r="J446" s="525">
        <f>IF(ISBLANK(D417)=TRUE, 0, IF(D417="TOU", 0.64*$F$110+0.18*$F$111+0.18*$F$112, IF(AND(D417="non-TOU",K457&gt; 0),J457,J456)))</f>
        <v>7.8E-2</v>
      </c>
      <c r="K446" s="609">
        <f>$F$419*(1+$J$121)-$F$419</f>
        <v>32.75</v>
      </c>
      <c r="L446" s="500">
        <f t="shared" ref="L446" si="166">K446*J446</f>
        <v>2.5545</v>
      </c>
      <c r="M446" s="501"/>
      <c r="N446" s="504">
        <f t="shared" ref="N446" si="167">L446-H446</f>
        <v>-9.7500000000000142E-2</v>
      </c>
      <c r="O446" s="505">
        <f t="shared" ref="O446" si="168">IF((H446)=0,"",(N446/H446))</f>
        <v>-3.6764705882352991E-2</v>
      </c>
      <c r="P446" s="480"/>
      <c r="Q446" s="480"/>
      <c r="R446" s="480"/>
      <c r="S446" s="480"/>
      <c r="T446" s="480"/>
    </row>
    <row r="447" spans="1:20" x14ac:dyDescent="0.2">
      <c r="A447" s="480"/>
      <c r="B447" s="524" t="s">
        <v>512</v>
      </c>
      <c r="C447" s="495"/>
      <c r="D447" s="496"/>
      <c r="E447" s="497"/>
      <c r="F447" s="525">
        <v>0.79</v>
      </c>
      <c r="G447" s="499"/>
      <c r="H447" s="500">
        <f>G447*F447</f>
        <v>0</v>
      </c>
      <c r="I447" s="501"/>
      <c r="J447" s="525">
        <v>0.79</v>
      </c>
      <c r="K447" s="499"/>
      <c r="L447" s="500">
        <f>K447*J447</f>
        <v>0</v>
      </c>
      <c r="M447" s="501"/>
      <c r="N447" s="504">
        <f>L447-H447</f>
        <v>0</v>
      </c>
      <c r="O447" s="505"/>
      <c r="P447" s="480"/>
      <c r="Q447" s="480"/>
      <c r="R447" s="480"/>
      <c r="S447" s="480"/>
      <c r="T447" s="480"/>
    </row>
    <row r="448" spans="1:20" ht="25.5" x14ac:dyDescent="0.2">
      <c r="A448" s="480"/>
      <c r="B448" s="528" t="s">
        <v>513</v>
      </c>
      <c r="C448" s="529"/>
      <c r="D448" s="529"/>
      <c r="E448" s="529"/>
      <c r="F448" s="530"/>
      <c r="G448" s="531"/>
      <c r="H448" s="532">
        <f>SUM(H441:H447)+H440</f>
        <v>22.831999999999997</v>
      </c>
      <c r="I448" s="516"/>
      <c r="J448" s="531"/>
      <c r="K448" s="533"/>
      <c r="L448" s="532">
        <f>SUM(L441:L447)+L440</f>
        <v>23.784500000000005</v>
      </c>
      <c r="M448" s="516"/>
      <c r="N448" s="519">
        <f t="shared" ref="N448:N457" si="169">L448-H448</f>
        <v>0.95250000000000767</v>
      </c>
      <c r="O448" s="520">
        <f t="shared" ref="O448:O457" si="170">IF((H448)=0,"",(N448/H448))</f>
        <v>4.1717764540995433E-2</v>
      </c>
      <c r="P448" s="480"/>
      <c r="Q448" s="480"/>
      <c r="R448" s="480"/>
      <c r="S448" s="480"/>
      <c r="T448" s="480"/>
    </row>
    <row r="449" spans="1:20" x14ac:dyDescent="0.2">
      <c r="A449" s="480"/>
      <c r="B449" s="501" t="s">
        <v>514</v>
      </c>
      <c r="C449" s="501"/>
      <c r="D449" s="534" t="s">
        <v>500</v>
      </c>
      <c r="E449" s="535"/>
      <c r="F449" s="502">
        <v>5.7999999999999996E-3</v>
      </c>
      <c r="G449" s="536">
        <f>F419*(1+F466)</f>
        <v>534</v>
      </c>
      <c r="H449" s="500">
        <f>G449*F449</f>
        <v>3.0972</v>
      </c>
      <c r="I449" s="501"/>
      <c r="J449" s="502">
        <v>6.1000000000000004E-3</v>
      </c>
      <c r="K449" s="537">
        <f>F419*(1+J466)</f>
        <v>532.75</v>
      </c>
      <c r="L449" s="500">
        <f>K449*J449</f>
        <v>3.2497750000000001</v>
      </c>
      <c r="M449" s="501"/>
      <c r="N449" s="504">
        <f t="shared" si="169"/>
        <v>0.15257500000000013</v>
      </c>
      <c r="O449" s="505">
        <f t="shared" si="170"/>
        <v>4.9262236859098585E-2</v>
      </c>
      <c r="P449" s="480"/>
      <c r="Q449" s="480"/>
      <c r="R449" s="480"/>
      <c r="S449" s="480"/>
      <c r="T449" s="480"/>
    </row>
    <row r="450" spans="1:20" ht="30" x14ac:dyDescent="0.2">
      <c r="A450" s="480"/>
      <c r="B450" s="538" t="s">
        <v>515</v>
      </c>
      <c r="C450" s="501"/>
      <c r="D450" s="534" t="s">
        <v>500</v>
      </c>
      <c r="E450" s="535"/>
      <c r="F450" s="502">
        <v>4.4000000000000003E-3</v>
      </c>
      <c r="G450" s="536">
        <f>G449</f>
        <v>534</v>
      </c>
      <c r="H450" s="500">
        <f>G450*F450</f>
        <v>2.3496000000000001</v>
      </c>
      <c r="I450" s="501"/>
      <c r="J450" s="502">
        <v>4.7999999999999996E-3</v>
      </c>
      <c r="K450" s="537">
        <f>K449</f>
        <v>532.75</v>
      </c>
      <c r="L450" s="500">
        <f>K450*J450</f>
        <v>2.5571999999999999</v>
      </c>
      <c r="M450" s="501"/>
      <c r="N450" s="504">
        <f t="shared" si="169"/>
        <v>0.20759999999999978</v>
      </c>
      <c r="O450" s="505">
        <f t="shared" si="170"/>
        <v>8.8355464759959049E-2</v>
      </c>
      <c r="P450" s="480"/>
      <c r="Q450" s="480"/>
      <c r="R450" s="480"/>
      <c r="S450" s="480"/>
      <c r="T450" s="480"/>
    </row>
    <row r="451" spans="1:20" ht="25.5" x14ac:dyDescent="0.2">
      <c r="A451" s="480"/>
      <c r="B451" s="528" t="s">
        <v>516</v>
      </c>
      <c r="C451" s="511"/>
      <c r="D451" s="511"/>
      <c r="E451" s="511"/>
      <c r="F451" s="539"/>
      <c r="G451" s="531"/>
      <c r="H451" s="532">
        <f>SUM(H448:H450)</f>
        <v>28.278799999999997</v>
      </c>
      <c r="I451" s="540"/>
      <c r="J451" s="541"/>
      <c r="K451" s="542"/>
      <c r="L451" s="532">
        <f>SUM(L448:L450)</f>
        <v>29.591475000000003</v>
      </c>
      <c r="M451" s="540"/>
      <c r="N451" s="519">
        <f t="shared" si="169"/>
        <v>1.3126750000000058</v>
      </c>
      <c r="O451" s="520">
        <f t="shared" si="170"/>
        <v>4.6419048898821945E-2</v>
      </c>
      <c r="P451" s="480"/>
      <c r="Q451" s="480"/>
      <c r="R451" s="480"/>
      <c r="S451" s="480"/>
      <c r="T451" s="480"/>
    </row>
    <row r="452" spans="1:20" ht="30" x14ac:dyDescent="0.2">
      <c r="A452" s="480"/>
      <c r="B452" s="543" t="s">
        <v>517</v>
      </c>
      <c r="C452" s="495"/>
      <c r="D452" s="496" t="s">
        <v>500</v>
      </c>
      <c r="E452" s="497"/>
      <c r="F452" s="544">
        <v>4.4000000000000003E-3</v>
      </c>
      <c r="G452" s="536">
        <f>G450</f>
        <v>534</v>
      </c>
      <c r="H452" s="545">
        <f t="shared" ref="H452:H455" si="171">G452*F452</f>
        <v>2.3496000000000001</v>
      </c>
      <c r="I452" s="501"/>
      <c r="J452" s="546">
        <v>4.4000000000000003E-3</v>
      </c>
      <c r="K452" s="537">
        <f>K450</f>
        <v>532.75</v>
      </c>
      <c r="L452" s="545">
        <f t="shared" ref="L452:L455" si="172">K452*J452</f>
        <v>2.3441000000000001</v>
      </c>
      <c r="M452" s="501"/>
      <c r="N452" s="504">
        <f t="shared" si="169"/>
        <v>-5.5000000000000604E-3</v>
      </c>
      <c r="O452" s="547">
        <f t="shared" si="170"/>
        <v>-2.3408239700374789E-3</v>
      </c>
      <c r="P452" s="480"/>
      <c r="Q452" s="480"/>
      <c r="R452" s="480"/>
      <c r="S452" s="480"/>
      <c r="T452" s="480"/>
    </row>
    <row r="453" spans="1:20" ht="30" x14ac:dyDescent="0.2">
      <c r="A453" s="480"/>
      <c r="B453" s="543" t="s">
        <v>518</v>
      </c>
      <c r="C453" s="495"/>
      <c r="D453" s="496" t="s">
        <v>500</v>
      </c>
      <c r="E453" s="497"/>
      <c r="F453" s="544">
        <v>1.1999999999999999E-3</v>
      </c>
      <c r="G453" s="536">
        <f>G450</f>
        <v>534</v>
      </c>
      <c r="H453" s="545">
        <f t="shared" si="171"/>
        <v>0.64079999999999993</v>
      </c>
      <c r="I453" s="501"/>
      <c r="J453" s="546">
        <v>1.2999999999999999E-3</v>
      </c>
      <c r="K453" s="537">
        <f>K450</f>
        <v>532.75</v>
      </c>
      <c r="L453" s="545">
        <f t="shared" si="172"/>
        <v>0.69257499999999994</v>
      </c>
      <c r="M453" s="501"/>
      <c r="N453" s="504">
        <f t="shared" si="169"/>
        <v>5.1775000000000015E-2</v>
      </c>
      <c r="O453" s="547">
        <f t="shared" si="170"/>
        <v>8.079744069912613E-2</v>
      </c>
      <c r="P453" s="480"/>
      <c r="Q453" s="480"/>
      <c r="R453" s="480"/>
      <c r="S453" s="480"/>
      <c r="T453" s="480"/>
    </row>
    <row r="454" spans="1:20" x14ac:dyDescent="0.2">
      <c r="A454" s="480"/>
      <c r="B454" s="495" t="s">
        <v>519</v>
      </c>
      <c r="C454" s="495"/>
      <c r="D454" s="496" t="s">
        <v>497</v>
      </c>
      <c r="E454" s="497"/>
      <c r="F454" s="544">
        <v>0.25</v>
      </c>
      <c r="G454" s="499">
        <v>1</v>
      </c>
      <c r="H454" s="545">
        <f t="shared" si="171"/>
        <v>0.25</v>
      </c>
      <c r="I454" s="501"/>
      <c r="J454" s="546">
        <v>0.25</v>
      </c>
      <c r="K454" s="503">
        <v>1</v>
      </c>
      <c r="L454" s="545">
        <f t="shared" si="172"/>
        <v>0.25</v>
      </c>
      <c r="M454" s="501"/>
      <c r="N454" s="504">
        <f t="shared" si="169"/>
        <v>0</v>
      </c>
      <c r="O454" s="547">
        <f t="shared" si="170"/>
        <v>0</v>
      </c>
      <c r="P454" s="480"/>
      <c r="Q454" s="480"/>
      <c r="R454" s="480"/>
      <c r="S454" s="480"/>
      <c r="T454" s="480"/>
    </row>
    <row r="455" spans="1:20" x14ac:dyDescent="0.2">
      <c r="A455" s="480"/>
      <c r="B455" s="495" t="s">
        <v>520</v>
      </c>
      <c r="C455" s="495"/>
      <c r="D455" s="496" t="s">
        <v>500</v>
      </c>
      <c r="E455" s="497"/>
      <c r="F455" s="544">
        <v>7.0000000000000001E-3</v>
      </c>
      <c r="G455" s="548">
        <f>F419</f>
        <v>500</v>
      </c>
      <c r="H455" s="545">
        <f t="shared" si="171"/>
        <v>3.5</v>
      </c>
      <c r="I455" s="501"/>
      <c r="J455" s="546">
        <v>7.0000000000000001E-3</v>
      </c>
      <c r="K455" s="549">
        <f>F419</f>
        <v>500</v>
      </c>
      <c r="L455" s="545">
        <f t="shared" si="172"/>
        <v>3.5</v>
      </c>
      <c r="M455" s="501"/>
      <c r="N455" s="504">
        <f t="shared" si="169"/>
        <v>0</v>
      </c>
      <c r="O455" s="547">
        <f t="shared" si="170"/>
        <v>0</v>
      </c>
      <c r="P455" s="480"/>
      <c r="Q455" s="480"/>
      <c r="R455" s="480"/>
      <c r="S455" s="480"/>
      <c r="T455" s="480"/>
    </row>
    <row r="456" spans="1:20" x14ac:dyDescent="0.2">
      <c r="A456" s="597"/>
      <c r="B456" s="610" t="s">
        <v>549</v>
      </c>
      <c r="C456" s="611"/>
      <c r="D456" s="612" t="s">
        <v>500</v>
      </c>
      <c r="E456" s="613"/>
      <c r="F456" s="550">
        <v>7.8E-2</v>
      </c>
      <c r="G456" s="614">
        <f>IF(AND($T$2=1, F419&gt;=600), 600, IF(AND($T$2=1, AND(F419&lt;600, F419&gt;=0)), F419, IF(AND($T$3=2, F419&gt;=1000), 1000, IF(AND($T$3=2, AND(F419&lt;1000, F419&gt;=0)), F419))))</f>
        <v>500</v>
      </c>
      <c r="H456" s="545">
        <f>G456*F456</f>
        <v>39</v>
      </c>
      <c r="I456" s="615"/>
      <c r="J456" s="544">
        <v>7.8E-2</v>
      </c>
      <c r="K456" s="614">
        <f>G456</f>
        <v>500</v>
      </c>
      <c r="L456" s="545">
        <f>K456*J456</f>
        <v>39</v>
      </c>
      <c r="M456" s="615"/>
      <c r="N456" s="616">
        <f t="shared" si="169"/>
        <v>0</v>
      </c>
      <c r="O456" s="547">
        <f t="shared" si="170"/>
        <v>0</v>
      </c>
      <c r="P456" s="597"/>
      <c r="Q456" s="597"/>
      <c r="R456" s="597"/>
      <c r="S456" s="597"/>
      <c r="T456" s="597"/>
    </row>
    <row r="457" spans="1:20" ht="15.75" thickBot="1" x14ac:dyDescent="0.25">
      <c r="A457" s="597"/>
      <c r="B457" s="610" t="s">
        <v>550</v>
      </c>
      <c r="C457" s="611"/>
      <c r="D457" s="612" t="s">
        <v>500</v>
      </c>
      <c r="E457" s="613"/>
      <c r="F457" s="550">
        <v>9.0999999999999998E-2</v>
      </c>
      <c r="G457" s="614">
        <f>IF(AND($T$2=1, F419&gt;=600), F419-600, IF(AND($T$2=1, AND(F419&lt;600, F419&gt;=0)), 0, IF(AND($T$3=2, F419&gt;=1000), F419-1000, IF(AND($T$3=2, AND(F419&lt;1000, F419&gt;=0)), 0))))</f>
        <v>0</v>
      </c>
      <c r="H457" s="545">
        <f>G457*F457</f>
        <v>0</v>
      </c>
      <c r="I457" s="615"/>
      <c r="J457" s="544">
        <v>9.0999999999999998E-2</v>
      </c>
      <c r="K457" s="614">
        <f>G457</f>
        <v>0</v>
      </c>
      <c r="L457" s="545">
        <f>K457*J457</f>
        <v>0</v>
      </c>
      <c r="M457" s="615"/>
      <c r="N457" s="616">
        <f t="shared" si="169"/>
        <v>0</v>
      </c>
      <c r="O457" s="547" t="str">
        <f t="shared" si="170"/>
        <v/>
      </c>
      <c r="P457" s="597"/>
      <c r="Q457" s="597"/>
      <c r="R457" s="597"/>
      <c r="S457" s="597"/>
      <c r="T457" s="597"/>
    </row>
    <row r="458" spans="1:20" ht="15.75" thickBot="1" x14ac:dyDescent="0.25">
      <c r="A458" s="480"/>
      <c r="B458" s="553"/>
      <c r="C458" s="554"/>
      <c r="D458" s="555"/>
      <c r="E458" s="554"/>
      <c r="F458" s="556"/>
      <c r="G458" s="557"/>
      <c r="H458" s="558"/>
      <c r="I458" s="559"/>
      <c r="J458" s="556"/>
      <c r="K458" s="560"/>
      <c r="L458" s="558"/>
      <c r="M458" s="559"/>
      <c r="N458" s="561"/>
      <c r="O458" s="562"/>
      <c r="P458" s="480"/>
      <c r="Q458" s="480"/>
      <c r="R458" s="480"/>
      <c r="S458" s="480"/>
      <c r="T458" s="480"/>
    </row>
    <row r="459" spans="1:20" x14ac:dyDescent="0.2">
      <c r="A459" s="480"/>
      <c r="B459" s="563" t="s">
        <v>524</v>
      </c>
      <c r="C459" s="495"/>
      <c r="D459" s="495"/>
      <c r="E459" s="495"/>
      <c r="F459" s="564"/>
      <c r="G459" s="565"/>
      <c r="H459" s="566">
        <f>SUM(H452:H457,H451)</f>
        <v>74.019199999999998</v>
      </c>
      <c r="I459" s="567"/>
      <c r="J459" s="568"/>
      <c r="K459" s="568"/>
      <c r="L459" s="566">
        <f>SUM(L452:L457,L451)</f>
        <v>75.378150000000005</v>
      </c>
      <c r="M459" s="569"/>
      <c r="N459" s="570">
        <f t="shared" ref="N459:N463" si="173">L459-H459</f>
        <v>1.3589500000000072</v>
      </c>
      <c r="O459" s="571">
        <f t="shared" ref="O459:O463" si="174">IF((H459)=0,"",(N459/H459))</f>
        <v>1.83594256625309E-2</v>
      </c>
      <c r="P459" s="480"/>
      <c r="Q459" s="480"/>
      <c r="R459" s="480"/>
      <c r="S459" s="552"/>
      <c r="T459" s="480"/>
    </row>
    <row r="460" spans="1:20" x14ac:dyDescent="0.2">
      <c r="A460" s="480"/>
      <c r="B460" s="572" t="s">
        <v>525</v>
      </c>
      <c r="C460" s="495"/>
      <c r="D460" s="495"/>
      <c r="E460" s="495"/>
      <c r="F460" s="573">
        <v>0.13</v>
      </c>
      <c r="G460" s="574"/>
      <c r="H460" s="575">
        <f>H459*F460</f>
        <v>9.6224959999999999</v>
      </c>
      <c r="I460" s="576"/>
      <c r="J460" s="577">
        <v>0.13</v>
      </c>
      <c r="K460" s="576"/>
      <c r="L460" s="578">
        <f>L459*J460</f>
        <v>9.7991595000000018</v>
      </c>
      <c r="M460" s="579"/>
      <c r="N460" s="580">
        <f t="shared" si="173"/>
        <v>0.17666350000000186</v>
      </c>
      <c r="O460" s="581">
        <f t="shared" si="174"/>
        <v>1.8359425662530997E-2</v>
      </c>
      <c r="P460" s="480"/>
      <c r="Q460" s="480"/>
      <c r="R460" s="480"/>
      <c r="S460" s="552"/>
      <c r="T460" s="480"/>
    </row>
    <row r="461" spans="1:20" x14ac:dyDescent="0.2">
      <c r="A461" s="480"/>
      <c r="B461" s="582" t="s">
        <v>526</v>
      </c>
      <c r="C461" s="495"/>
      <c r="D461" s="495"/>
      <c r="E461" s="495"/>
      <c r="F461" s="583"/>
      <c r="G461" s="574"/>
      <c r="H461" s="575">
        <f>H459+H460</f>
        <v>83.641695999999996</v>
      </c>
      <c r="I461" s="576"/>
      <c r="J461" s="576"/>
      <c r="K461" s="576"/>
      <c r="L461" s="578">
        <f>L459+L460</f>
        <v>85.177309500000007</v>
      </c>
      <c r="M461" s="579"/>
      <c r="N461" s="580">
        <f t="shared" si="173"/>
        <v>1.5356135000000108</v>
      </c>
      <c r="O461" s="581">
        <f t="shared" si="174"/>
        <v>1.8359425662530935E-2</v>
      </c>
      <c r="P461" s="480"/>
      <c r="Q461" s="480"/>
      <c r="R461" s="480"/>
      <c r="S461" s="552"/>
      <c r="T461" s="480"/>
    </row>
    <row r="462" spans="1:20" x14ac:dyDescent="0.2">
      <c r="A462" s="480"/>
      <c r="B462" s="964" t="s">
        <v>527</v>
      </c>
      <c r="C462" s="964"/>
      <c r="D462" s="964"/>
      <c r="E462" s="495"/>
      <c r="F462" s="583"/>
      <c r="G462" s="574"/>
      <c r="H462" s="584">
        <f>ROUND(-H461*10%,2)</f>
        <v>-8.36</v>
      </c>
      <c r="I462" s="576"/>
      <c r="J462" s="576"/>
      <c r="K462" s="576"/>
      <c r="L462" s="585">
        <f>ROUND(-L461*10%,2)</f>
        <v>-8.52</v>
      </c>
      <c r="M462" s="579"/>
      <c r="N462" s="586">
        <f t="shared" si="173"/>
        <v>-0.16000000000000014</v>
      </c>
      <c r="O462" s="587">
        <f t="shared" si="174"/>
        <v>1.9138755980861261E-2</v>
      </c>
      <c r="P462" s="480"/>
      <c r="Q462" s="480"/>
      <c r="R462" s="480"/>
      <c r="S462" s="480"/>
      <c r="T462" s="480"/>
    </row>
    <row r="463" spans="1:20" ht="15.75" thickBot="1" x14ac:dyDescent="0.25">
      <c r="A463" s="480"/>
      <c r="B463" s="965" t="s">
        <v>528</v>
      </c>
      <c r="C463" s="965"/>
      <c r="D463" s="965"/>
      <c r="E463" s="588"/>
      <c r="F463" s="589"/>
      <c r="G463" s="590"/>
      <c r="H463" s="591">
        <f>H461+H462</f>
        <v>75.281695999999997</v>
      </c>
      <c r="I463" s="592"/>
      <c r="J463" s="592"/>
      <c r="K463" s="592"/>
      <c r="L463" s="593">
        <f>L461+L462</f>
        <v>76.657309500000011</v>
      </c>
      <c r="M463" s="594"/>
      <c r="N463" s="595">
        <f t="shared" si="173"/>
        <v>1.3756135000000143</v>
      </c>
      <c r="O463" s="596">
        <f t="shared" si="174"/>
        <v>1.8272881365478461E-2</v>
      </c>
      <c r="P463" s="480"/>
      <c r="Q463" s="480"/>
      <c r="R463" s="480"/>
      <c r="S463" s="480"/>
      <c r="T463" s="480"/>
    </row>
    <row r="464" spans="1:20" ht="15.75" thickBot="1" x14ac:dyDescent="0.25">
      <c r="A464" s="597"/>
      <c r="B464" s="598"/>
      <c r="C464" s="599"/>
      <c r="D464" s="600"/>
      <c r="E464" s="599"/>
      <c r="F464" s="556"/>
      <c r="G464" s="601"/>
      <c r="H464" s="558"/>
      <c r="I464" s="602"/>
      <c r="J464" s="556"/>
      <c r="K464" s="603"/>
      <c r="L464" s="558"/>
      <c r="M464" s="602"/>
      <c r="N464" s="604"/>
      <c r="O464" s="562"/>
      <c r="P464" s="597"/>
      <c r="Q464" s="597"/>
      <c r="R464" s="597"/>
      <c r="S464" s="597"/>
      <c r="T464" s="597"/>
    </row>
    <row r="465" spans="1:20" x14ac:dyDescent="0.2">
      <c r="A465" s="480"/>
      <c r="B465" s="480"/>
      <c r="C465" s="480"/>
      <c r="D465" s="480"/>
      <c r="E465" s="480"/>
      <c r="F465" s="480"/>
      <c r="G465" s="480"/>
      <c r="H465" s="480"/>
      <c r="I465" s="480"/>
      <c r="J465" s="480"/>
      <c r="K465" s="480"/>
      <c r="L465" s="552"/>
      <c r="M465" s="480"/>
      <c r="N465" s="480"/>
      <c r="O465" s="480"/>
      <c r="P465" s="480"/>
      <c r="Q465" s="480"/>
      <c r="R465" s="480"/>
      <c r="S465" s="480"/>
      <c r="T465" s="480"/>
    </row>
    <row r="466" spans="1:20" x14ac:dyDescent="0.2">
      <c r="A466" s="480"/>
      <c r="B466" s="486" t="s">
        <v>529</v>
      </c>
      <c r="C466" s="480"/>
      <c r="D466" s="480"/>
      <c r="E466" s="480"/>
      <c r="F466" s="605">
        <v>6.8000000000000005E-2</v>
      </c>
      <c r="G466" s="480"/>
      <c r="H466" s="480"/>
      <c r="I466" s="480"/>
      <c r="J466" s="605">
        <v>6.5500000000000003E-2</v>
      </c>
      <c r="K466" s="480"/>
      <c r="L466" s="480"/>
      <c r="M466" s="480"/>
      <c r="N466" s="480"/>
      <c r="O466" s="480"/>
      <c r="P466" s="480"/>
      <c r="Q466" s="480"/>
      <c r="R466" s="480"/>
      <c r="S466" s="480"/>
      <c r="T466" s="480"/>
    </row>
    <row r="467" spans="1:20" x14ac:dyDescent="0.2">
      <c r="A467" s="480"/>
      <c r="B467" s="480"/>
      <c r="C467" s="480"/>
      <c r="D467" s="480"/>
      <c r="E467" s="480"/>
      <c r="F467" s="480"/>
      <c r="G467" s="480"/>
      <c r="H467" s="480"/>
      <c r="I467" s="480"/>
      <c r="J467" s="480"/>
      <c r="K467" s="480"/>
      <c r="L467" s="480"/>
      <c r="M467" s="480"/>
      <c r="N467" s="480"/>
      <c r="O467" s="480"/>
      <c r="P467" s="480"/>
      <c r="Q467" s="480"/>
      <c r="R467" s="480"/>
      <c r="S467" s="480"/>
      <c r="T467" s="480"/>
    </row>
    <row r="468" spans="1:20" x14ac:dyDescent="0.2">
      <c r="A468" s="606" t="s">
        <v>531</v>
      </c>
      <c r="B468" s="480"/>
      <c r="C468" s="480"/>
      <c r="D468" s="480"/>
      <c r="E468" s="480"/>
      <c r="F468" s="480"/>
      <c r="G468" s="480"/>
      <c r="H468" s="480"/>
      <c r="I468" s="480"/>
      <c r="J468" s="480"/>
      <c r="K468" s="480"/>
      <c r="L468" s="480"/>
      <c r="M468" s="480"/>
      <c r="N468" s="480"/>
      <c r="O468" s="480"/>
      <c r="P468" s="480"/>
      <c r="Q468" s="480"/>
      <c r="R468" s="480"/>
      <c r="S468" s="480"/>
      <c r="T468" s="480"/>
    </row>
    <row r="469" spans="1:20" x14ac:dyDescent="0.2">
      <c r="A469" s="480"/>
      <c r="B469" s="480"/>
      <c r="C469" s="480"/>
      <c r="D469" s="480"/>
      <c r="E469" s="480"/>
      <c r="F469" s="480"/>
      <c r="G469" s="480"/>
      <c r="H469" s="480"/>
      <c r="I469" s="480"/>
      <c r="J469" s="480"/>
      <c r="K469" s="480"/>
      <c r="L469" s="480"/>
      <c r="M469" s="480"/>
      <c r="N469" s="480"/>
      <c r="O469" s="480"/>
      <c r="P469" s="480"/>
      <c r="Q469" s="480"/>
      <c r="R469" s="480"/>
      <c r="S469" s="480"/>
      <c r="T469" s="480"/>
    </row>
    <row r="470" spans="1:20" ht="15.75" x14ac:dyDescent="0.2">
      <c r="A470" s="480"/>
      <c r="B470" s="481" t="s">
        <v>480</v>
      </c>
      <c r="C470" s="480"/>
      <c r="D470" s="966" t="s">
        <v>555</v>
      </c>
      <c r="E470" s="966"/>
      <c r="F470" s="966"/>
      <c r="G470" s="966"/>
      <c r="H470" s="966"/>
      <c r="I470" s="966"/>
      <c r="J470" s="966"/>
      <c r="K470" s="966"/>
      <c r="L470" s="966"/>
      <c r="M470" s="966"/>
      <c r="N470" s="966"/>
      <c r="O470" s="966"/>
      <c r="P470" s="480"/>
      <c r="Q470" s="480"/>
      <c r="R470" s="480"/>
      <c r="S470" s="480"/>
      <c r="T470" s="480"/>
    </row>
    <row r="471" spans="1:20" ht="15.75" x14ac:dyDescent="0.25">
      <c r="A471" s="480"/>
      <c r="B471" s="482"/>
      <c r="C471" s="480"/>
      <c r="D471" s="483"/>
      <c r="E471" s="483"/>
      <c r="F471" s="483"/>
      <c r="G471" s="483"/>
      <c r="H471" s="483"/>
      <c r="I471" s="483"/>
      <c r="J471" s="483"/>
      <c r="K471" s="483"/>
      <c r="L471" s="483"/>
      <c r="M471" s="483"/>
      <c r="N471" s="483"/>
      <c r="O471" s="483"/>
      <c r="P471" s="480"/>
      <c r="Q471" s="480"/>
      <c r="R471" s="480"/>
      <c r="S471" s="480"/>
      <c r="T471" s="480"/>
    </row>
    <row r="472" spans="1:20" ht="15.75" x14ac:dyDescent="0.25">
      <c r="A472" s="480"/>
      <c r="B472" s="481" t="s">
        <v>482</v>
      </c>
      <c r="C472" s="480"/>
      <c r="D472" s="484" t="s">
        <v>546</v>
      </c>
      <c r="E472" s="483"/>
      <c r="F472" s="483"/>
      <c r="G472" s="483"/>
      <c r="H472" s="483"/>
      <c r="I472" s="483"/>
      <c r="J472" s="483"/>
      <c r="K472" s="483"/>
      <c r="L472" s="483"/>
      <c r="M472" s="483"/>
      <c r="N472" s="483"/>
      <c r="O472" s="483"/>
      <c r="P472" s="480"/>
      <c r="Q472" s="480"/>
      <c r="R472" s="480"/>
      <c r="S472" s="480"/>
      <c r="T472" s="480"/>
    </row>
    <row r="473" spans="1:20" ht="15.75" x14ac:dyDescent="0.25">
      <c r="A473" s="480"/>
      <c r="B473" s="482"/>
      <c r="C473" s="480"/>
      <c r="D473" s="483"/>
      <c r="E473" s="483"/>
      <c r="F473" s="483"/>
      <c r="G473" s="483"/>
      <c r="H473" s="483"/>
      <c r="I473" s="483"/>
      <c r="J473" s="483"/>
      <c r="K473" s="483"/>
      <c r="L473" s="483"/>
      <c r="M473" s="483"/>
      <c r="N473" s="483"/>
      <c r="O473" s="483"/>
      <c r="P473" s="480"/>
      <c r="Q473" s="480"/>
      <c r="R473" s="480"/>
      <c r="S473" s="480"/>
      <c r="T473" s="480"/>
    </row>
    <row r="474" spans="1:20" x14ac:dyDescent="0.2">
      <c r="A474" s="480"/>
      <c r="B474" s="485"/>
      <c r="C474" s="480"/>
      <c r="D474" s="486" t="s">
        <v>484</v>
      </c>
      <c r="E474" s="486"/>
      <c r="F474" s="487">
        <v>77</v>
      </c>
      <c r="G474" s="486" t="s">
        <v>485</v>
      </c>
      <c r="H474" s="480"/>
      <c r="I474" s="480"/>
      <c r="J474" s="480"/>
      <c r="K474" s="480"/>
      <c r="L474" s="480"/>
      <c r="M474" s="480"/>
      <c r="N474" s="480"/>
      <c r="O474" s="480"/>
      <c r="P474" s="480"/>
      <c r="Q474" s="480"/>
      <c r="R474" s="480"/>
      <c r="S474" s="480"/>
      <c r="T474" s="480"/>
    </row>
    <row r="475" spans="1:20" x14ac:dyDescent="0.2">
      <c r="A475" s="480"/>
      <c r="B475" s="485"/>
      <c r="C475" s="480"/>
      <c r="D475" s="480"/>
      <c r="E475" s="480"/>
      <c r="F475" s="660">
        <v>0.21</v>
      </c>
      <c r="G475" s="486" t="s">
        <v>547</v>
      </c>
      <c r="H475" s="480"/>
      <c r="I475" s="480"/>
      <c r="J475" s="480"/>
      <c r="K475" s="480"/>
      <c r="L475" s="480"/>
      <c r="M475" s="480"/>
      <c r="N475" s="480"/>
      <c r="O475" s="480"/>
      <c r="P475" s="480"/>
      <c r="Q475" s="480"/>
      <c r="R475" s="480"/>
      <c r="S475" s="480"/>
      <c r="T475" s="480"/>
    </row>
    <row r="476" spans="1:20" x14ac:dyDescent="0.2">
      <c r="A476" s="480"/>
      <c r="B476" s="485"/>
      <c r="C476" s="480"/>
      <c r="D476" s="488"/>
      <c r="E476" s="488"/>
      <c r="F476" s="967" t="s">
        <v>486</v>
      </c>
      <c r="G476" s="968"/>
      <c r="H476" s="969"/>
      <c r="I476" s="480"/>
      <c r="J476" s="967" t="s">
        <v>487</v>
      </c>
      <c r="K476" s="968"/>
      <c r="L476" s="969"/>
      <c r="M476" s="480"/>
      <c r="N476" s="967" t="s">
        <v>488</v>
      </c>
      <c r="O476" s="969"/>
      <c r="P476" s="480"/>
      <c r="Q476" s="480"/>
      <c r="R476" s="480"/>
      <c r="S476" s="480"/>
      <c r="T476" s="480"/>
    </row>
    <row r="477" spans="1:20" x14ac:dyDescent="0.2">
      <c r="A477" s="480"/>
      <c r="B477" s="485"/>
      <c r="C477" s="480"/>
      <c r="D477" s="958" t="s">
        <v>489</v>
      </c>
      <c r="E477" s="489"/>
      <c r="F477" s="490" t="s">
        <v>490</v>
      </c>
      <c r="G477" s="490" t="s">
        <v>491</v>
      </c>
      <c r="H477" s="491" t="s">
        <v>492</v>
      </c>
      <c r="I477" s="480"/>
      <c r="J477" s="490" t="s">
        <v>490</v>
      </c>
      <c r="K477" s="492" t="s">
        <v>491</v>
      </c>
      <c r="L477" s="491" t="s">
        <v>492</v>
      </c>
      <c r="M477" s="480"/>
      <c r="N477" s="960" t="s">
        <v>493</v>
      </c>
      <c r="O477" s="962" t="s">
        <v>494</v>
      </c>
      <c r="P477" s="480"/>
      <c r="Q477" s="480"/>
      <c r="R477" s="480"/>
      <c r="S477" s="480"/>
      <c r="T477" s="480"/>
    </row>
    <row r="478" spans="1:20" x14ac:dyDescent="0.2">
      <c r="A478" s="480"/>
      <c r="B478" s="485"/>
      <c r="C478" s="480"/>
      <c r="D478" s="959"/>
      <c r="E478" s="489"/>
      <c r="F478" s="493" t="s">
        <v>495</v>
      </c>
      <c r="G478" s="493"/>
      <c r="H478" s="494" t="s">
        <v>495</v>
      </c>
      <c r="I478" s="480"/>
      <c r="J478" s="493" t="s">
        <v>495</v>
      </c>
      <c r="K478" s="494"/>
      <c r="L478" s="494" t="s">
        <v>495</v>
      </c>
      <c r="M478" s="480"/>
      <c r="N478" s="961"/>
      <c r="O478" s="963"/>
      <c r="P478" s="480"/>
      <c r="Q478" s="480"/>
      <c r="R478" s="480"/>
      <c r="S478" s="480"/>
      <c r="T478" s="480"/>
    </row>
    <row r="479" spans="1:20" x14ac:dyDescent="0.2">
      <c r="A479" s="480"/>
      <c r="B479" s="495" t="s">
        <v>496</v>
      </c>
      <c r="C479" s="495"/>
      <c r="D479" s="496" t="s">
        <v>497</v>
      </c>
      <c r="E479" s="497"/>
      <c r="F479" s="498">
        <v>12.99</v>
      </c>
      <c r="G479" s="499">
        <v>1</v>
      </c>
      <c r="H479" s="500">
        <f>G479*F479</f>
        <v>12.99</v>
      </c>
      <c r="I479" s="501"/>
      <c r="J479" s="502">
        <v>13.88</v>
      </c>
      <c r="K479" s="503">
        <v>1</v>
      </c>
      <c r="L479" s="500">
        <f>K479*J479</f>
        <v>13.88</v>
      </c>
      <c r="M479" s="501"/>
      <c r="N479" s="504">
        <f>L479-H479</f>
        <v>0.89000000000000057</v>
      </c>
      <c r="O479" s="505">
        <f>IF((H479)=0,"",(N479/H479))</f>
        <v>6.851424172440343E-2</v>
      </c>
      <c r="P479" s="480"/>
      <c r="Q479" s="480"/>
      <c r="R479" s="480"/>
      <c r="S479" s="480"/>
      <c r="T479" s="480"/>
    </row>
    <row r="480" spans="1:20" x14ac:dyDescent="0.2">
      <c r="A480" s="480"/>
      <c r="B480" s="495" t="s">
        <v>498</v>
      </c>
      <c r="C480" s="495"/>
      <c r="D480" s="496"/>
      <c r="E480" s="497"/>
      <c r="F480" s="498"/>
      <c r="G480" s="499">
        <v>1</v>
      </c>
      <c r="H480" s="500">
        <f t="shared" ref="H480:H494" si="175">G480*F480</f>
        <v>0</v>
      </c>
      <c r="I480" s="501"/>
      <c r="J480" s="502"/>
      <c r="K480" s="503">
        <v>1</v>
      </c>
      <c r="L480" s="500">
        <f>K480*J480</f>
        <v>0</v>
      </c>
      <c r="M480" s="501"/>
      <c r="N480" s="504">
        <f>L480-H480</f>
        <v>0</v>
      </c>
      <c r="O480" s="505" t="str">
        <f>IF((H480)=0,"",(N480/H480))</f>
        <v/>
      </c>
      <c r="P480" s="480"/>
      <c r="Q480" s="480"/>
      <c r="R480" s="480"/>
      <c r="S480" s="480"/>
      <c r="T480" s="480"/>
    </row>
    <row r="481" spans="1:20" x14ac:dyDescent="0.2">
      <c r="A481" s="480"/>
      <c r="B481" s="506"/>
      <c r="C481" s="495"/>
      <c r="D481" s="496"/>
      <c r="E481" s="497"/>
      <c r="F481" s="498"/>
      <c r="G481" s="499">
        <v>1</v>
      </c>
      <c r="H481" s="500">
        <f t="shared" si="175"/>
        <v>0</v>
      </c>
      <c r="I481" s="501"/>
      <c r="J481" s="502"/>
      <c r="K481" s="503">
        <v>1</v>
      </c>
      <c r="L481" s="500">
        <f t="shared" ref="L481:L494" si="176">K481*J481</f>
        <v>0</v>
      </c>
      <c r="M481" s="501"/>
      <c r="N481" s="504">
        <f t="shared" ref="N481:N495" si="177">L481-H481</f>
        <v>0</v>
      </c>
      <c r="O481" s="505" t="str">
        <f t="shared" ref="O481:O495" si="178">IF((H481)=0,"",(N481/H481))</f>
        <v/>
      </c>
      <c r="P481" s="480"/>
      <c r="Q481" s="480"/>
      <c r="R481" s="480"/>
      <c r="S481" s="480"/>
      <c r="T481" s="480"/>
    </row>
    <row r="482" spans="1:20" x14ac:dyDescent="0.2">
      <c r="A482" s="480"/>
      <c r="B482" s="506"/>
      <c r="C482" s="495"/>
      <c r="D482" s="496"/>
      <c r="E482" s="497"/>
      <c r="F482" s="498"/>
      <c r="G482" s="499">
        <v>1</v>
      </c>
      <c r="H482" s="500">
        <f t="shared" si="175"/>
        <v>0</v>
      </c>
      <c r="I482" s="501"/>
      <c r="J482" s="502"/>
      <c r="K482" s="503">
        <v>1</v>
      </c>
      <c r="L482" s="500">
        <f t="shared" si="176"/>
        <v>0</v>
      </c>
      <c r="M482" s="501"/>
      <c r="N482" s="504">
        <f t="shared" si="177"/>
        <v>0</v>
      </c>
      <c r="O482" s="505" t="str">
        <f t="shared" si="178"/>
        <v/>
      </c>
      <c r="P482" s="480"/>
      <c r="Q482" s="480"/>
      <c r="R482" s="480"/>
      <c r="S482" s="480"/>
      <c r="T482" s="480"/>
    </row>
    <row r="483" spans="1:20" x14ac:dyDescent="0.2">
      <c r="A483" s="480"/>
      <c r="B483" s="506"/>
      <c r="C483" s="495"/>
      <c r="D483" s="496"/>
      <c r="E483" s="497"/>
      <c r="F483" s="498"/>
      <c r="G483" s="499">
        <v>1</v>
      </c>
      <c r="H483" s="500">
        <f t="shared" si="175"/>
        <v>0</v>
      </c>
      <c r="I483" s="501"/>
      <c r="J483" s="502"/>
      <c r="K483" s="503">
        <v>1</v>
      </c>
      <c r="L483" s="500">
        <f t="shared" si="176"/>
        <v>0</v>
      </c>
      <c r="M483" s="501"/>
      <c r="N483" s="504">
        <f t="shared" si="177"/>
        <v>0</v>
      </c>
      <c r="O483" s="505" t="str">
        <f t="shared" si="178"/>
        <v/>
      </c>
      <c r="P483" s="480"/>
      <c r="Q483" s="480"/>
      <c r="R483" s="480"/>
      <c r="S483" s="480"/>
      <c r="T483" s="480"/>
    </row>
    <row r="484" spans="1:20" x14ac:dyDescent="0.2">
      <c r="A484" s="480"/>
      <c r="B484" s="506"/>
      <c r="C484" s="495"/>
      <c r="D484" s="496"/>
      <c r="E484" s="497"/>
      <c r="F484" s="498"/>
      <c r="G484" s="499">
        <v>1</v>
      </c>
      <c r="H484" s="500">
        <f t="shared" si="175"/>
        <v>0</v>
      </c>
      <c r="I484" s="501"/>
      <c r="J484" s="502"/>
      <c r="K484" s="503">
        <v>1</v>
      </c>
      <c r="L484" s="500">
        <f t="shared" si="176"/>
        <v>0</v>
      </c>
      <c r="M484" s="501"/>
      <c r="N484" s="504">
        <f t="shared" si="177"/>
        <v>0</v>
      </c>
      <c r="O484" s="505" t="str">
        <f t="shared" si="178"/>
        <v/>
      </c>
      <c r="P484" s="480"/>
      <c r="Q484" s="480"/>
      <c r="R484" s="480"/>
      <c r="S484" s="480"/>
      <c r="T484" s="480"/>
    </row>
    <row r="485" spans="1:20" x14ac:dyDescent="0.2">
      <c r="A485" s="480"/>
      <c r="B485" s="495" t="s">
        <v>499</v>
      </c>
      <c r="C485" s="495"/>
      <c r="D485" s="496" t="s">
        <v>548</v>
      </c>
      <c r="E485" s="497"/>
      <c r="F485" s="498">
        <v>33.529400000000003</v>
      </c>
      <c r="G485" s="656">
        <f>$F$475</f>
        <v>0.21</v>
      </c>
      <c r="H485" s="500">
        <f t="shared" si="175"/>
        <v>7.0411740000000007</v>
      </c>
      <c r="I485" s="501"/>
      <c r="J485" s="502">
        <v>35.8386</v>
      </c>
      <c r="K485" s="656">
        <f>$F$475</f>
        <v>0.21</v>
      </c>
      <c r="L485" s="500">
        <f t="shared" si="176"/>
        <v>7.5261059999999995</v>
      </c>
      <c r="M485" s="501"/>
      <c r="N485" s="504">
        <f t="shared" si="177"/>
        <v>0.48493199999999881</v>
      </c>
      <c r="O485" s="505">
        <f t="shared" si="178"/>
        <v>6.887090135821082E-2</v>
      </c>
      <c r="P485" s="480"/>
      <c r="Q485" s="480"/>
      <c r="R485" s="480"/>
      <c r="S485" s="480"/>
      <c r="T485" s="480"/>
    </row>
    <row r="486" spans="1:20" x14ac:dyDescent="0.2">
      <c r="A486" s="480"/>
      <c r="B486" s="495" t="s">
        <v>501</v>
      </c>
      <c r="C486" s="495"/>
      <c r="D486" s="496"/>
      <c r="E486" s="497"/>
      <c r="F486" s="498"/>
      <c r="G486" s="656">
        <f t="shared" ref="G486:G494" si="179">$F$475</f>
        <v>0.21</v>
      </c>
      <c r="H486" s="500">
        <f t="shared" si="175"/>
        <v>0</v>
      </c>
      <c r="I486" s="501"/>
      <c r="J486" s="502"/>
      <c r="K486" s="656">
        <f t="shared" ref="K486:K494" si="180">$F$475</f>
        <v>0.21</v>
      </c>
      <c r="L486" s="500">
        <f t="shared" si="176"/>
        <v>0</v>
      </c>
      <c r="M486" s="501"/>
      <c r="N486" s="504">
        <f t="shared" si="177"/>
        <v>0</v>
      </c>
      <c r="O486" s="505" t="str">
        <f t="shared" si="178"/>
        <v/>
      </c>
      <c r="P486" s="480"/>
      <c r="Q486" s="480"/>
      <c r="R486" s="480"/>
      <c r="S486" s="480"/>
      <c r="T486" s="480"/>
    </row>
    <row r="487" spans="1:20" x14ac:dyDescent="0.2">
      <c r="A487" s="480"/>
      <c r="B487" s="495" t="s">
        <v>502</v>
      </c>
      <c r="C487" s="495"/>
      <c r="D487" s="496"/>
      <c r="E487" s="497"/>
      <c r="F487" s="498"/>
      <c r="G487" s="656">
        <f t="shared" si="179"/>
        <v>0.21</v>
      </c>
      <c r="H487" s="500">
        <f t="shared" si="175"/>
        <v>0</v>
      </c>
      <c r="I487" s="501"/>
      <c r="J487" s="502"/>
      <c r="K487" s="656">
        <f t="shared" si="180"/>
        <v>0.21</v>
      </c>
      <c r="L487" s="500">
        <f t="shared" si="176"/>
        <v>0</v>
      </c>
      <c r="M487" s="501"/>
      <c r="N487" s="504">
        <f t="shared" si="177"/>
        <v>0</v>
      </c>
      <c r="O487" s="505" t="str">
        <f t="shared" si="178"/>
        <v/>
      </c>
      <c r="P487" s="480"/>
      <c r="Q487" s="480"/>
      <c r="R487" s="480"/>
      <c r="S487" s="480"/>
      <c r="T487" s="480"/>
    </row>
    <row r="488" spans="1:20" x14ac:dyDescent="0.2">
      <c r="A488" s="480"/>
      <c r="B488" s="507" t="s">
        <v>503</v>
      </c>
      <c r="C488" s="495"/>
      <c r="D488" s="496" t="s">
        <v>548</v>
      </c>
      <c r="E488" s="497"/>
      <c r="F488" s="498">
        <v>-0.56130000000000002</v>
      </c>
      <c r="G488" s="656">
        <f t="shared" si="179"/>
        <v>0.21</v>
      </c>
      <c r="H488" s="500">
        <f t="shared" si="175"/>
        <v>-0.11787300000000001</v>
      </c>
      <c r="I488" s="501"/>
      <c r="J488" s="502"/>
      <c r="K488" s="656">
        <f t="shared" si="180"/>
        <v>0.21</v>
      </c>
      <c r="L488" s="500">
        <f t="shared" si="176"/>
        <v>0</v>
      </c>
      <c r="M488" s="501"/>
      <c r="N488" s="504">
        <f t="shared" si="177"/>
        <v>0.11787300000000001</v>
      </c>
      <c r="O488" s="505">
        <f t="shared" si="178"/>
        <v>-1</v>
      </c>
      <c r="P488" s="480"/>
      <c r="Q488" s="480"/>
      <c r="R488" s="480"/>
      <c r="S488" s="480"/>
      <c r="T488" s="480"/>
    </row>
    <row r="489" spans="1:20" x14ac:dyDescent="0.2">
      <c r="A489" s="480"/>
      <c r="B489" s="507" t="s">
        <v>504</v>
      </c>
      <c r="C489" s="495"/>
      <c r="D489" s="496" t="s">
        <v>548</v>
      </c>
      <c r="E489" s="497"/>
      <c r="F489" s="498">
        <v>-2.2663000000000002</v>
      </c>
      <c r="G489" s="656">
        <f t="shared" si="179"/>
        <v>0.21</v>
      </c>
      <c r="H489" s="500">
        <f t="shared" si="175"/>
        <v>-0.47592300000000004</v>
      </c>
      <c r="I489" s="501"/>
      <c r="J489" s="502"/>
      <c r="K489" s="656">
        <f t="shared" si="180"/>
        <v>0.21</v>
      </c>
      <c r="L489" s="500">
        <f t="shared" si="176"/>
        <v>0</v>
      </c>
      <c r="M489" s="501"/>
      <c r="N489" s="504">
        <f t="shared" si="177"/>
        <v>0.47592300000000004</v>
      </c>
      <c r="O489" s="505">
        <f t="shared" si="178"/>
        <v>-1</v>
      </c>
      <c r="P489" s="480"/>
      <c r="Q489" s="480"/>
      <c r="R489" s="480"/>
      <c r="S489" s="480"/>
      <c r="T489" s="480"/>
    </row>
    <row r="490" spans="1:20" x14ac:dyDescent="0.2">
      <c r="A490" s="480"/>
      <c r="B490" s="507" t="s">
        <v>506</v>
      </c>
      <c r="C490" s="495"/>
      <c r="D490" s="496" t="s">
        <v>548</v>
      </c>
      <c r="E490" s="497"/>
      <c r="F490" s="498"/>
      <c r="G490" s="656">
        <f t="shared" si="179"/>
        <v>0.21</v>
      </c>
      <c r="H490" s="500">
        <f t="shared" si="175"/>
        <v>0</v>
      </c>
      <c r="I490" s="501"/>
      <c r="J490" s="502">
        <v>-3.8993000000000002</v>
      </c>
      <c r="K490" s="656">
        <f t="shared" si="180"/>
        <v>0.21</v>
      </c>
      <c r="L490" s="500">
        <f t="shared" si="176"/>
        <v>-0.81885300000000005</v>
      </c>
      <c r="M490" s="501"/>
      <c r="N490" s="504">
        <f t="shared" si="177"/>
        <v>-0.81885300000000005</v>
      </c>
      <c r="O490" s="505" t="str">
        <f t="shared" si="178"/>
        <v/>
      </c>
      <c r="P490" s="480"/>
      <c r="Q490" s="480"/>
      <c r="R490" s="480"/>
      <c r="S490" s="480"/>
      <c r="T490" s="480"/>
    </row>
    <row r="491" spans="1:20" x14ac:dyDescent="0.2">
      <c r="A491" s="480"/>
      <c r="B491" s="507" t="s">
        <v>507</v>
      </c>
      <c r="C491" s="495"/>
      <c r="D491" s="496" t="s">
        <v>548</v>
      </c>
      <c r="E491" s="497"/>
      <c r="F491" s="498"/>
      <c r="G491" s="656">
        <f t="shared" si="179"/>
        <v>0.21</v>
      </c>
      <c r="H491" s="500">
        <f t="shared" si="175"/>
        <v>0</v>
      </c>
      <c r="I491" s="501"/>
      <c r="J491" s="502">
        <v>0.59130000000000005</v>
      </c>
      <c r="K491" s="656">
        <f t="shared" si="180"/>
        <v>0.21</v>
      </c>
      <c r="L491" s="500">
        <f t="shared" si="176"/>
        <v>0.12417300000000001</v>
      </c>
      <c r="M491" s="501"/>
      <c r="N491" s="504">
        <f t="shared" si="177"/>
        <v>0.12417300000000001</v>
      </c>
      <c r="O491" s="505" t="str">
        <f t="shared" si="178"/>
        <v/>
      </c>
      <c r="P491" s="480"/>
      <c r="Q491" s="480"/>
      <c r="R491" s="480"/>
      <c r="S491" s="480"/>
      <c r="T491" s="480"/>
    </row>
    <row r="492" spans="1:20" x14ac:dyDescent="0.2">
      <c r="A492" s="480"/>
      <c r="B492" s="507"/>
      <c r="C492" s="495"/>
      <c r="D492" s="496"/>
      <c r="E492" s="497"/>
      <c r="F492" s="498"/>
      <c r="G492" s="656">
        <f t="shared" si="179"/>
        <v>0.21</v>
      </c>
      <c r="H492" s="500">
        <f t="shared" si="175"/>
        <v>0</v>
      </c>
      <c r="I492" s="501"/>
      <c r="J492" s="502"/>
      <c r="K492" s="656">
        <f t="shared" si="180"/>
        <v>0.21</v>
      </c>
      <c r="L492" s="500">
        <f t="shared" si="176"/>
        <v>0</v>
      </c>
      <c r="M492" s="501"/>
      <c r="N492" s="504">
        <f t="shared" si="177"/>
        <v>0</v>
      </c>
      <c r="O492" s="505" t="str">
        <f t="shared" si="178"/>
        <v/>
      </c>
      <c r="P492" s="480"/>
      <c r="Q492" s="480"/>
      <c r="R492" s="480"/>
      <c r="S492" s="480"/>
      <c r="T492" s="480"/>
    </row>
    <row r="493" spans="1:20" x14ac:dyDescent="0.2">
      <c r="A493" s="480"/>
      <c r="B493" s="508"/>
      <c r="C493" s="495"/>
      <c r="D493" s="496"/>
      <c r="E493" s="497"/>
      <c r="F493" s="498"/>
      <c r="G493" s="656">
        <f t="shared" si="179"/>
        <v>0.21</v>
      </c>
      <c r="H493" s="500">
        <f t="shared" si="175"/>
        <v>0</v>
      </c>
      <c r="I493" s="501"/>
      <c r="J493" s="502"/>
      <c r="K493" s="656">
        <f t="shared" si="180"/>
        <v>0.21</v>
      </c>
      <c r="L493" s="500">
        <f t="shared" si="176"/>
        <v>0</v>
      </c>
      <c r="M493" s="501"/>
      <c r="N493" s="504">
        <f t="shared" si="177"/>
        <v>0</v>
      </c>
      <c r="O493" s="505" t="str">
        <f t="shared" si="178"/>
        <v/>
      </c>
      <c r="P493" s="480"/>
      <c r="Q493" s="480"/>
      <c r="R493" s="480"/>
      <c r="S493" s="480"/>
      <c r="T493" s="480"/>
    </row>
    <row r="494" spans="1:20" x14ac:dyDescent="0.2">
      <c r="A494" s="480"/>
      <c r="B494" s="508"/>
      <c r="C494" s="495"/>
      <c r="D494" s="496"/>
      <c r="E494" s="497"/>
      <c r="F494" s="498"/>
      <c r="G494" s="656">
        <f t="shared" si="179"/>
        <v>0.21</v>
      </c>
      <c r="H494" s="500">
        <f t="shared" si="175"/>
        <v>0</v>
      </c>
      <c r="I494" s="501"/>
      <c r="J494" s="502"/>
      <c r="K494" s="656">
        <f t="shared" si="180"/>
        <v>0.21</v>
      </c>
      <c r="L494" s="500">
        <f t="shared" si="176"/>
        <v>0</v>
      </c>
      <c r="M494" s="501"/>
      <c r="N494" s="504">
        <f t="shared" si="177"/>
        <v>0</v>
      </c>
      <c r="O494" s="505" t="str">
        <f t="shared" si="178"/>
        <v/>
      </c>
      <c r="P494" s="480"/>
      <c r="Q494" s="480"/>
      <c r="R494" s="480"/>
      <c r="S494" s="480"/>
      <c r="T494" s="480"/>
    </row>
    <row r="495" spans="1:20" x14ac:dyDescent="0.2">
      <c r="A495" s="509"/>
      <c r="B495" s="510" t="s">
        <v>508</v>
      </c>
      <c r="C495" s="511"/>
      <c r="D495" s="512"/>
      <c r="E495" s="511"/>
      <c r="F495" s="513"/>
      <c r="G495" s="514"/>
      <c r="H495" s="515">
        <f>SUM(H479:H494)</f>
        <v>19.437377999999999</v>
      </c>
      <c r="I495" s="516"/>
      <c r="J495" s="517"/>
      <c r="K495" s="518"/>
      <c r="L495" s="515">
        <f>SUM(L479:L494)</f>
        <v>20.711425999999999</v>
      </c>
      <c r="M495" s="516"/>
      <c r="N495" s="519">
        <f t="shared" si="177"/>
        <v>1.2740480000000005</v>
      </c>
      <c r="O495" s="520">
        <f t="shared" si="178"/>
        <v>6.554628921658058E-2</v>
      </c>
      <c r="P495" s="509"/>
      <c r="Q495" s="509"/>
      <c r="R495" s="509"/>
      <c r="S495" s="509"/>
      <c r="T495" s="509"/>
    </row>
    <row r="496" spans="1:20" ht="25.5" x14ac:dyDescent="0.2">
      <c r="A496" s="480"/>
      <c r="B496" s="521" t="s">
        <v>509</v>
      </c>
      <c r="C496" s="495"/>
      <c r="D496" s="496" t="s">
        <v>548</v>
      </c>
      <c r="E496" s="497"/>
      <c r="F496" s="502">
        <v>-1.3863000000000001</v>
      </c>
      <c r="G496" s="656">
        <f>$F$475</f>
        <v>0.21</v>
      </c>
      <c r="H496" s="500">
        <f>G496*F496</f>
        <v>-0.29112300000000002</v>
      </c>
      <c r="I496" s="501"/>
      <c r="J496" s="502">
        <v>6.0194000000000001</v>
      </c>
      <c r="K496" s="656">
        <f>$F$475</f>
        <v>0.21</v>
      </c>
      <c r="L496" s="500">
        <f>K496*J496</f>
        <v>1.2640739999999999</v>
      </c>
      <c r="M496" s="501"/>
      <c r="N496" s="504">
        <f>L496-H496</f>
        <v>1.5551969999999999</v>
      </c>
      <c r="O496" s="505">
        <f>IF((H496)=0,"",(N496/H496))*-1</f>
        <v>5.3420616028276706</v>
      </c>
      <c r="P496" s="480"/>
      <c r="Q496" s="480"/>
      <c r="R496" s="480"/>
      <c r="S496" s="480"/>
      <c r="T496" s="480"/>
    </row>
    <row r="497" spans="1:20" x14ac:dyDescent="0.2">
      <c r="A497" s="480"/>
      <c r="B497" s="521"/>
      <c r="C497" s="495"/>
      <c r="D497" s="496"/>
      <c r="E497" s="497"/>
      <c r="F497" s="498"/>
      <c r="G497" s="656">
        <f t="shared" ref="G497:G500" si="181">$F$475</f>
        <v>0.21</v>
      </c>
      <c r="H497" s="500">
        <f t="shared" ref="H497:H499" si="182">G497*F497</f>
        <v>0</v>
      </c>
      <c r="I497" s="522"/>
      <c r="J497" s="502"/>
      <c r="K497" s="656">
        <f t="shared" ref="K497:K500" si="183">$F$475</f>
        <v>0.21</v>
      </c>
      <c r="L497" s="500">
        <f t="shared" ref="L497:L499" si="184">K497*J497</f>
        <v>0</v>
      </c>
      <c r="M497" s="523"/>
      <c r="N497" s="504">
        <f t="shared" ref="N497:N499" si="185">L497-H497</f>
        <v>0</v>
      </c>
      <c r="O497" s="505" t="str">
        <f t="shared" ref="O497:O499" si="186">IF((H497)=0,"",(N497/H497))</f>
        <v/>
      </c>
      <c r="P497" s="480"/>
      <c r="Q497" s="480"/>
      <c r="R497" s="480"/>
      <c r="S497" s="480"/>
      <c r="T497" s="480"/>
    </row>
    <row r="498" spans="1:20" x14ac:dyDescent="0.2">
      <c r="A498" s="480"/>
      <c r="B498" s="521"/>
      <c r="C498" s="495"/>
      <c r="D498" s="496"/>
      <c r="E498" s="497"/>
      <c r="F498" s="498"/>
      <c r="G498" s="656">
        <f t="shared" si="181"/>
        <v>0.21</v>
      </c>
      <c r="H498" s="500">
        <f t="shared" si="182"/>
        <v>0</v>
      </c>
      <c r="I498" s="522"/>
      <c r="J498" s="502"/>
      <c r="K498" s="656">
        <f t="shared" si="183"/>
        <v>0.21</v>
      </c>
      <c r="L498" s="500">
        <f t="shared" si="184"/>
        <v>0</v>
      </c>
      <c r="M498" s="523"/>
      <c r="N498" s="504">
        <f t="shared" si="185"/>
        <v>0</v>
      </c>
      <c r="O498" s="505" t="str">
        <f t="shared" si="186"/>
        <v/>
      </c>
      <c r="P498" s="480"/>
      <c r="Q498" s="480"/>
      <c r="R498" s="480"/>
      <c r="S498" s="480"/>
      <c r="T498" s="480"/>
    </row>
    <row r="499" spans="1:20" x14ac:dyDescent="0.2">
      <c r="A499" s="480"/>
      <c r="B499" s="521"/>
      <c r="C499" s="495"/>
      <c r="D499" s="496"/>
      <c r="E499" s="497"/>
      <c r="F499" s="498"/>
      <c r="G499" s="656">
        <f t="shared" si="181"/>
        <v>0.21</v>
      </c>
      <c r="H499" s="500">
        <f t="shared" si="182"/>
        <v>0</v>
      </c>
      <c r="I499" s="522"/>
      <c r="J499" s="502"/>
      <c r="K499" s="656">
        <f t="shared" si="183"/>
        <v>0.21</v>
      </c>
      <c r="L499" s="500">
        <f t="shared" si="184"/>
        <v>0</v>
      </c>
      <c r="M499" s="523"/>
      <c r="N499" s="504">
        <f t="shared" si="185"/>
        <v>0</v>
      </c>
      <c r="O499" s="505" t="str">
        <f t="shared" si="186"/>
        <v/>
      </c>
      <c r="P499" s="480"/>
      <c r="Q499" s="480"/>
      <c r="R499" s="480"/>
      <c r="S499" s="480"/>
      <c r="T499" s="480"/>
    </row>
    <row r="500" spans="1:20" x14ac:dyDescent="0.2">
      <c r="A500" s="480"/>
      <c r="B500" s="524" t="s">
        <v>510</v>
      </c>
      <c r="C500" s="495"/>
      <c r="D500" s="496" t="s">
        <v>548</v>
      </c>
      <c r="E500" s="497"/>
      <c r="F500" s="498">
        <v>0.1103</v>
      </c>
      <c r="G500" s="656">
        <f t="shared" si="181"/>
        <v>0.21</v>
      </c>
      <c r="H500" s="500">
        <f>G500*F500</f>
        <v>2.3163E-2</v>
      </c>
      <c r="I500" s="501"/>
      <c r="J500" s="502">
        <v>0.1099</v>
      </c>
      <c r="K500" s="656">
        <f t="shared" si="183"/>
        <v>0.21</v>
      </c>
      <c r="L500" s="500">
        <f>K500*J500</f>
        <v>2.3078999999999999E-2</v>
      </c>
      <c r="M500" s="501"/>
      <c r="N500" s="504">
        <f>L500-H500</f>
        <v>-8.4000000000000741E-5</v>
      </c>
      <c r="O500" s="505">
        <f>IF((H500)=0,"",(N500/H500))</f>
        <v>-3.6264732547597782E-3</v>
      </c>
      <c r="P500" s="480"/>
      <c r="Q500" s="480"/>
      <c r="R500" s="480"/>
      <c r="S500" s="480"/>
      <c r="T500" s="480"/>
    </row>
    <row r="501" spans="1:20" x14ac:dyDescent="0.2">
      <c r="A501" s="480"/>
      <c r="B501" s="524" t="s">
        <v>511</v>
      </c>
      <c r="C501" s="495"/>
      <c r="D501" s="496" t="s">
        <v>500</v>
      </c>
      <c r="E501" s="497"/>
      <c r="F501" s="525">
        <f>IF(ISBLANK(D472)=TRUE, 0, IF(D472="TOU", 0.64*$F$110+0.18*$F$111+0.18*$F$112, IF(AND(D472="non-TOU",G512&gt; 0),F512,F511)))</f>
        <v>7.8E-2</v>
      </c>
      <c r="G501" s="609">
        <f>$F$474*(1+$F$121)-$F$474</f>
        <v>5.2360000000000042</v>
      </c>
      <c r="H501" s="500">
        <f t="shared" ref="H501" si="187">G501*F501</f>
        <v>0.40840800000000033</v>
      </c>
      <c r="I501" s="501"/>
      <c r="J501" s="525">
        <f>IF(ISBLANK(D472)=TRUE, 0, IF(D472="TOU", 0.64*$F$110+0.18*$F$111+0.18*$F$112, IF(AND(D472="non-TOU",K512&gt; 0),J512,J511)))</f>
        <v>7.8E-2</v>
      </c>
      <c r="K501" s="609">
        <f>$F$474*(1+$J$121)-$F$474</f>
        <v>5.0435000000000088</v>
      </c>
      <c r="L501" s="500">
        <f t="shared" ref="L501" si="188">K501*J501</f>
        <v>0.39339300000000066</v>
      </c>
      <c r="M501" s="501"/>
      <c r="N501" s="504">
        <f t="shared" ref="N501" si="189">L501-H501</f>
        <v>-1.5014999999999668E-2</v>
      </c>
      <c r="O501" s="505">
        <f t="shared" ref="O501" si="190">IF((H501)=0,"",(N501/H501))</f>
        <v>-3.6764705882352096E-2</v>
      </c>
      <c r="P501" s="480"/>
      <c r="Q501" s="480"/>
      <c r="R501" s="480"/>
      <c r="S501" s="480"/>
      <c r="T501" s="480"/>
    </row>
    <row r="502" spans="1:20" x14ac:dyDescent="0.2">
      <c r="A502" s="480"/>
      <c r="B502" s="524" t="s">
        <v>512</v>
      </c>
      <c r="C502" s="495"/>
      <c r="D502" s="496"/>
      <c r="E502" s="497"/>
      <c r="F502" s="525">
        <v>0.79</v>
      </c>
      <c r="G502" s="499"/>
      <c r="H502" s="500">
        <f>G502*F502</f>
        <v>0</v>
      </c>
      <c r="I502" s="501"/>
      <c r="J502" s="525">
        <v>0.79</v>
      </c>
      <c r="K502" s="499"/>
      <c r="L502" s="500">
        <f>K502*J502</f>
        <v>0</v>
      </c>
      <c r="M502" s="501"/>
      <c r="N502" s="504">
        <f>L502-H502</f>
        <v>0</v>
      </c>
      <c r="O502" s="505"/>
      <c r="P502" s="480"/>
      <c r="Q502" s="480"/>
      <c r="R502" s="480"/>
      <c r="S502" s="480"/>
      <c r="T502" s="480"/>
    </row>
    <row r="503" spans="1:20" ht="25.5" x14ac:dyDescent="0.2">
      <c r="A503" s="480"/>
      <c r="B503" s="528" t="s">
        <v>513</v>
      </c>
      <c r="C503" s="529"/>
      <c r="D503" s="529"/>
      <c r="E503" s="529"/>
      <c r="F503" s="530"/>
      <c r="G503" s="531"/>
      <c r="H503" s="532">
        <f>SUM(H496:H502)+H495</f>
        <v>19.577825999999998</v>
      </c>
      <c r="I503" s="516"/>
      <c r="J503" s="531"/>
      <c r="K503" s="533"/>
      <c r="L503" s="532">
        <f>SUM(L496:L502)+L495</f>
        <v>22.391971999999999</v>
      </c>
      <c r="M503" s="516"/>
      <c r="N503" s="519">
        <f t="shared" ref="N503:N512" si="191">L503-H503</f>
        <v>2.8141460000000009</v>
      </c>
      <c r="O503" s="520">
        <f t="shared" ref="O503:O512" si="192">IF((H503)=0,"",(N503/H503))</f>
        <v>0.14374149611912992</v>
      </c>
      <c r="P503" s="480"/>
      <c r="Q503" s="480"/>
      <c r="R503" s="480"/>
      <c r="S503" s="480"/>
      <c r="T503" s="480"/>
    </row>
    <row r="504" spans="1:20" x14ac:dyDescent="0.2">
      <c r="A504" s="480"/>
      <c r="B504" s="501" t="s">
        <v>514</v>
      </c>
      <c r="C504" s="501"/>
      <c r="D504" s="534" t="s">
        <v>548</v>
      </c>
      <c r="E504" s="535"/>
      <c r="F504" s="502">
        <v>1.8025</v>
      </c>
      <c r="G504" s="657">
        <f>F475</f>
        <v>0.21</v>
      </c>
      <c r="H504" s="500">
        <f>G504*F504</f>
        <v>0.378525</v>
      </c>
      <c r="I504" s="501"/>
      <c r="J504" s="502">
        <v>1.8886000000000001</v>
      </c>
      <c r="K504" s="658">
        <f>F475</f>
        <v>0.21</v>
      </c>
      <c r="L504" s="500">
        <f>K504*J504</f>
        <v>0.39660600000000001</v>
      </c>
      <c r="M504" s="501"/>
      <c r="N504" s="504">
        <f t="shared" si="191"/>
        <v>1.8081000000000014E-2</v>
      </c>
      <c r="O504" s="505">
        <f t="shared" si="192"/>
        <v>4.7766990291262169E-2</v>
      </c>
      <c r="P504" s="480"/>
      <c r="Q504" s="480"/>
      <c r="R504" s="480"/>
      <c r="S504" s="480"/>
      <c r="T504" s="480"/>
    </row>
    <row r="505" spans="1:20" ht="30" x14ac:dyDescent="0.2">
      <c r="A505" s="480"/>
      <c r="B505" s="538" t="s">
        <v>515</v>
      </c>
      <c r="C505" s="501"/>
      <c r="D505" s="534" t="s">
        <v>548</v>
      </c>
      <c r="E505" s="535"/>
      <c r="F505" s="502">
        <v>1.3674999999999999</v>
      </c>
      <c r="G505" s="657">
        <f>G504</f>
        <v>0.21</v>
      </c>
      <c r="H505" s="500">
        <f>G505*F505</f>
        <v>0.28717499999999996</v>
      </c>
      <c r="I505" s="501"/>
      <c r="J505" s="502">
        <v>1.4910000000000001</v>
      </c>
      <c r="K505" s="658">
        <f>K504</f>
        <v>0.21</v>
      </c>
      <c r="L505" s="500">
        <f>K505*J505</f>
        <v>0.31311</v>
      </c>
      <c r="M505" s="501"/>
      <c r="N505" s="504">
        <f t="shared" si="191"/>
        <v>2.5935000000000041E-2</v>
      </c>
      <c r="O505" s="505">
        <f t="shared" si="192"/>
        <v>9.0310786106033061E-2</v>
      </c>
      <c r="P505" s="480"/>
      <c r="Q505" s="480"/>
      <c r="R505" s="480"/>
      <c r="S505" s="480"/>
      <c r="T505" s="480"/>
    </row>
    <row r="506" spans="1:20" ht="25.5" x14ac:dyDescent="0.2">
      <c r="A506" s="480"/>
      <c r="B506" s="528" t="s">
        <v>516</v>
      </c>
      <c r="C506" s="511"/>
      <c r="D506" s="511"/>
      <c r="E506" s="511"/>
      <c r="F506" s="539"/>
      <c r="G506" s="531"/>
      <c r="H506" s="532">
        <f>SUM(H503:H505)</f>
        <v>20.243525999999999</v>
      </c>
      <c r="I506" s="540"/>
      <c r="J506" s="541"/>
      <c r="K506" s="542"/>
      <c r="L506" s="532">
        <f>SUM(L503:L505)</f>
        <v>23.101687999999996</v>
      </c>
      <c r="M506" s="540"/>
      <c r="N506" s="519">
        <f t="shared" si="191"/>
        <v>2.8581619999999965</v>
      </c>
      <c r="O506" s="520">
        <f t="shared" si="192"/>
        <v>0.14118894109652619</v>
      </c>
      <c r="P506" s="480"/>
      <c r="Q506" s="480"/>
      <c r="R506" s="480"/>
      <c r="S506" s="480"/>
      <c r="T506" s="480"/>
    </row>
    <row r="507" spans="1:20" ht="30" x14ac:dyDescent="0.2">
      <c r="A507" s="480"/>
      <c r="B507" s="543" t="s">
        <v>517</v>
      </c>
      <c r="C507" s="495"/>
      <c r="D507" s="496" t="s">
        <v>500</v>
      </c>
      <c r="E507" s="497"/>
      <c r="F507" s="544">
        <v>4.4000000000000003E-3</v>
      </c>
      <c r="G507" s="536">
        <f>$F$474*(1+$F$521)</f>
        <v>82.236000000000004</v>
      </c>
      <c r="H507" s="545">
        <f t="shared" ref="H507:H510" si="193">G507*F507</f>
        <v>0.36183840000000006</v>
      </c>
      <c r="I507" s="501"/>
      <c r="J507" s="546">
        <v>4.4000000000000003E-3</v>
      </c>
      <c r="K507" s="537">
        <f>$F$474*(1+$J$521)</f>
        <v>82.043500000000009</v>
      </c>
      <c r="L507" s="545">
        <f t="shared" ref="L507:L510" si="194">K507*J507</f>
        <v>0.36099140000000007</v>
      </c>
      <c r="M507" s="501"/>
      <c r="N507" s="504">
        <f t="shared" si="191"/>
        <v>-8.4699999999998665E-4</v>
      </c>
      <c r="O507" s="547">
        <f t="shared" si="192"/>
        <v>-2.340823970037416E-3</v>
      </c>
      <c r="P507" s="480"/>
      <c r="Q507" s="480"/>
      <c r="R507" s="480"/>
      <c r="S507" s="480"/>
      <c r="T507" s="480"/>
    </row>
    <row r="508" spans="1:20" ht="30" x14ac:dyDescent="0.2">
      <c r="A508" s="480"/>
      <c r="B508" s="543" t="s">
        <v>518</v>
      </c>
      <c r="C508" s="495"/>
      <c r="D508" s="496" t="s">
        <v>500</v>
      </c>
      <c r="E508" s="497"/>
      <c r="F508" s="544">
        <v>1.1999999999999999E-3</v>
      </c>
      <c r="G508" s="536">
        <f>$F$474*(1+$F$521)</f>
        <v>82.236000000000004</v>
      </c>
      <c r="H508" s="545">
        <f t="shared" si="193"/>
        <v>9.8683199999999999E-2</v>
      </c>
      <c r="I508" s="501"/>
      <c r="J508" s="546">
        <v>1.2999999999999999E-3</v>
      </c>
      <c r="K508" s="537">
        <f>$F$474*(1+$J$521)</f>
        <v>82.043500000000009</v>
      </c>
      <c r="L508" s="545">
        <f t="shared" si="194"/>
        <v>0.10665655</v>
      </c>
      <c r="M508" s="501"/>
      <c r="N508" s="504">
        <f t="shared" si="191"/>
        <v>7.973350000000004E-3</v>
      </c>
      <c r="O508" s="547">
        <f t="shared" si="192"/>
        <v>8.079744069912613E-2</v>
      </c>
      <c r="P508" s="480"/>
      <c r="Q508" s="480"/>
      <c r="R508" s="480"/>
      <c r="S508" s="480"/>
      <c r="T508" s="480"/>
    </row>
    <row r="509" spans="1:20" x14ac:dyDescent="0.2">
      <c r="A509" s="480"/>
      <c r="B509" s="495" t="s">
        <v>519</v>
      </c>
      <c r="C509" s="495"/>
      <c r="D509" s="496" t="s">
        <v>497</v>
      </c>
      <c r="E509" s="497"/>
      <c r="F509" s="544">
        <v>0.25</v>
      </c>
      <c r="G509" s="499">
        <v>1</v>
      </c>
      <c r="H509" s="545">
        <f t="shared" si="193"/>
        <v>0.25</v>
      </c>
      <c r="I509" s="501"/>
      <c r="J509" s="546">
        <v>0.25</v>
      </c>
      <c r="K509" s="503">
        <v>1</v>
      </c>
      <c r="L509" s="545">
        <f t="shared" si="194"/>
        <v>0.25</v>
      </c>
      <c r="M509" s="501"/>
      <c r="N509" s="504">
        <f t="shared" si="191"/>
        <v>0</v>
      </c>
      <c r="O509" s="547">
        <f t="shared" si="192"/>
        <v>0</v>
      </c>
      <c r="P509" s="480"/>
      <c r="Q509" s="480"/>
      <c r="R509" s="480"/>
      <c r="S509" s="480"/>
      <c r="T509" s="480"/>
    </row>
    <row r="510" spans="1:20" x14ac:dyDescent="0.2">
      <c r="A510" s="480"/>
      <c r="B510" s="495" t="s">
        <v>520</v>
      </c>
      <c r="C510" s="495"/>
      <c r="D510" s="496" t="s">
        <v>500</v>
      </c>
      <c r="E510" s="497"/>
      <c r="F510" s="544">
        <v>7.0000000000000001E-3</v>
      </c>
      <c r="G510" s="548">
        <f>F474</f>
        <v>77</v>
      </c>
      <c r="H510" s="545">
        <f t="shared" si="193"/>
        <v>0.53900000000000003</v>
      </c>
      <c r="I510" s="501"/>
      <c r="J510" s="546">
        <v>7.0000000000000001E-3</v>
      </c>
      <c r="K510" s="549">
        <f>F474</f>
        <v>77</v>
      </c>
      <c r="L510" s="545">
        <f t="shared" si="194"/>
        <v>0.53900000000000003</v>
      </c>
      <c r="M510" s="501"/>
      <c r="N510" s="504">
        <f t="shared" si="191"/>
        <v>0</v>
      </c>
      <c r="O510" s="547">
        <f t="shared" si="192"/>
        <v>0</v>
      </c>
      <c r="P510" s="480"/>
      <c r="Q510" s="480"/>
      <c r="R510" s="480"/>
      <c r="S510" s="480"/>
      <c r="T510" s="480"/>
    </row>
    <row r="511" spans="1:20" x14ac:dyDescent="0.2">
      <c r="A511" s="597"/>
      <c r="B511" s="610" t="s">
        <v>549</v>
      </c>
      <c r="C511" s="611"/>
      <c r="D511" s="612" t="s">
        <v>500</v>
      </c>
      <c r="E511" s="613"/>
      <c r="F511" s="550">
        <v>7.8E-2</v>
      </c>
      <c r="G511" s="614">
        <f>IF(AND($T$2=1, F474&gt;=600), 600, IF(AND($T$2=1, AND(F474&lt;600, F474&gt;=0)), F474, IF(AND($T$3=2, F474&gt;=1000), 1000, IF(AND($T$3=2, AND(F474&lt;1000, F474&gt;=0)), F474))))</f>
        <v>77</v>
      </c>
      <c r="H511" s="545">
        <f>G511*F511</f>
        <v>6.0060000000000002</v>
      </c>
      <c r="I511" s="615"/>
      <c r="J511" s="544">
        <v>7.8E-2</v>
      </c>
      <c r="K511" s="614">
        <f>G511</f>
        <v>77</v>
      </c>
      <c r="L511" s="545">
        <f>K511*J511</f>
        <v>6.0060000000000002</v>
      </c>
      <c r="M511" s="615"/>
      <c r="N511" s="616">
        <f t="shared" si="191"/>
        <v>0</v>
      </c>
      <c r="O511" s="547">
        <f t="shared" si="192"/>
        <v>0</v>
      </c>
      <c r="P511" s="597"/>
      <c r="Q511" s="597"/>
      <c r="R511" s="597"/>
      <c r="S511" s="597"/>
      <c r="T511" s="597"/>
    </row>
    <row r="512" spans="1:20" ht="15.75" thickBot="1" x14ac:dyDescent="0.25">
      <c r="A512" s="597"/>
      <c r="B512" s="610" t="s">
        <v>550</v>
      </c>
      <c r="C512" s="611"/>
      <c r="D512" s="612" t="s">
        <v>500</v>
      </c>
      <c r="E512" s="613"/>
      <c r="F512" s="550">
        <v>9.0999999999999998E-2</v>
      </c>
      <c r="G512" s="614">
        <f>IF(AND($T$2=1, F474&gt;=600), F474-600, IF(AND($T$2=1, AND(F474&lt;600, F474&gt;=0)), 0, IF(AND($T$3=2, F474&gt;=1000), F474-1000, IF(AND($T$3=2, AND(F474&lt;1000, F474&gt;=0)), 0))))</f>
        <v>0</v>
      </c>
      <c r="H512" s="545">
        <f>G512*F512</f>
        <v>0</v>
      </c>
      <c r="I512" s="615"/>
      <c r="J512" s="544">
        <v>9.0999999999999998E-2</v>
      </c>
      <c r="K512" s="614">
        <f>G512</f>
        <v>0</v>
      </c>
      <c r="L512" s="545">
        <f>K512*J512</f>
        <v>0</v>
      </c>
      <c r="M512" s="615"/>
      <c r="N512" s="616">
        <f t="shared" si="191"/>
        <v>0</v>
      </c>
      <c r="O512" s="547" t="str">
        <f t="shared" si="192"/>
        <v/>
      </c>
      <c r="P512" s="597"/>
      <c r="Q512" s="597"/>
      <c r="R512" s="597"/>
      <c r="S512" s="597"/>
      <c r="T512" s="597"/>
    </row>
    <row r="513" spans="1:20" ht="15.75" thickBot="1" x14ac:dyDescent="0.25">
      <c r="A513" s="480"/>
      <c r="B513" s="553"/>
      <c r="C513" s="554"/>
      <c r="D513" s="555"/>
      <c r="E513" s="554"/>
      <c r="F513" s="556"/>
      <c r="G513" s="557"/>
      <c r="H513" s="558"/>
      <c r="I513" s="559"/>
      <c r="J513" s="556"/>
      <c r="K513" s="560"/>
      <c r="L513" s="558"/>
      <c r="M513" s="559"/>
      <c r="N513" s="561"/>
      <c r="O513" s="562"/>
      <c r="P513" s="480"/>
      <c r="Q513" s="480"/>
      <c r="R513" s="480"/>
      <c r="S513" s="480"/>
      <c r="T513" s="480"/>
    </row>
    <row r="514" spans="1:20" x14ac:dyDescent="0.2">
      <c r="A514" s="480"/>
      <c r="B514" s="563" t="s">
        <v>524</v>
      </c>
      <c r="C514" s="495"/>
      <c r="D514" s="495"/>
      <c r="E514" s="495"/>
      <c r="F514" s="564"/>
      <c r="G514" s="565"/>
      <c r="H514" s="566">
        <f>SUM(H507:H512,H506)</f>
        <v>27.499047599999997</v>
      </c>
      <c r="I514" s="567"/>
      <c r="J514" s="568"/>
      <c r="K514" s="568"/>
      <c r="L514" s="566">
        <f>SUM(L507:L512,L506)</f>
        <v>30.364335949999997</v>
      </c>
      <c r="M514" s="569"/>
      <c r="N514" s="570">
        <f t="shared" ref="N514:N518" si="195">L514-H514</f>
        <v>2.8652883500000002</v>
      </c>
      <c r="O514" s="571">
        <f t="shared" ref="O514:O518" si="196">IF((H514)=0,"",(N514/H514))</f>
        <v>0.10419591222497468</v>
      </c>
      <c r="P514" s="480"/>
      <c r="Q514" s="480"/>
      <c r="R514" s="480"/>
      <c r="S514" s="552"/>
      <c r="T514" s="480"/>
    </row>
    <row r="515" spans="1:20" x14ac:dyDescent="0.2">
      <c r="A515" s="480"/>
      <c r="B515" s="572" t="s">
        <v>525</v>
      </c>
      <c r="C515" s="495"/>
      <c r="D515" s="495"/>
      <c r="E515" s="495"/>
      <c r="F515" s="573">
        <v>0.13</v>
      </c>
      <c r="G515" s="574"/>
      <c r="H515" s="575">
        <f>H514*F515</f>
        <v>3.5748761879999997</v>
      </c>
      <c r="I515" s="576"/>
      <c r="J515" s="577">
        <v>0.13</v>
      </c>
      <c r="K515" s="576"/>
      <c r="L515" s="578">
        <f>L514*J515</f>
        <v>3.9473636734999999</v>
      </c>
      <c r="M515" s="579"/>
      <c r="N515" s="580">
        <f t="shared" si="195"/>
        <v>0.37248748550000021</v>
      </c>
      <c r="O515" s="581">
        <f t="shared" si="196"/>
        <v>0.10419591222497472</v>
      </c>
      <c r="P515" s="480"/>
      <c r="Q515" s="480"/>
      <c r="R515" s="480"/>
      <c r="S515" s="552"/>
      <c r="T515" s="480"/>
    </row>
    <row r="516" spans="1:20" x14ac:dyDescent="0.2">
      <c r="A516" s="480"/>
      <c r="B516" s="582" t="s">
        <v>526</v>
      </c>
      <c r="C516" s="495"/>
      <c r="D516" s="495"/>
      <c r="E516" s="495"/>
      <c r="F516" s="583"/>
      <c r="G516" s="574"/>
      <c r="H516" s="575">
        <f>H514+H515</f>
        <v>31.073923787999998</v>
      </c>
      <c r="I516" s="576"/>
      <c r="J516" s="576"/>
      <c r="K516" s="576"/>
      <c r="L516" s="578">
        <f>L514+L515</f>
        <v>34.311699623499997</v>
      </c>
      <c r="M516" s="579"/>
      <c r="N516" s="580">
        <f t="shared" si="195"/>
        <v>3.237775835499999</v>
      </c>
      <c r="O516" s="581">
        <f t="shared" si="196"/>
        <v>0.10419591222497464</v>
      </c>
      <c r="P516" s="480"/>
      <c r="Q516" s="480"/>
      <c r="R516" s="480"/>
      <c r="S516" s="552"/>
      <c r="T516" s="480"/>
    </row>
    <row r="517" spans="1:20" x14ac:dyDescent="0.2">
      <c r="A517" s="480"/>
      <c r="B517" s="964" t="s">
        <v>527</v>
      </c>
      <c r="C517" s="964"/>
      <c r="D517" s="964"/>
      <c r="E517" s="495"/>
      <c r="F517" s="583"/>
      <c r="G517" s="574"/>
      <c r="H517" s="584">
        <f>ROUND(-H516*10%,2)</f>
        <v>-3.11</v>
      </c>
      <c r="I517" s="576"/>
      <c r="J517" s="576"/>
      <c r="K517" s="576"/>
      <c r="L517" s="585">
        <f>ROUND(-L516*10%,2)</f>
        <v>-3.43</v>
      </c>
      <c r="M517" s="579"/>
      <c r="N517" s="586">
        <f t="shared" si="195"/>
        <v>-0.32000000000000028</v>
      </c>
      <c r="O517" s="587">
        <f t="shared" si="196"/>
        <v>0.10289389067524125</v>
      </c>
      <c r="P517" s="480"/>
      <c r="Q517" s="480"/>
      <c r="R517" s="480"/>
      <c r="S517" s="480"/>
      <c r="T517" s="480"/>
    </row>
    <row r="518" spans="1:20" ht="15.75" thickBot="1" x14ac:dyDescent="0.25">
      <c r="A518" s="480"/>
      <c r="B518" s="965" t="s">
        <v>528</v>
      </c>
      <c r="C518" s="965"/>
      <c r="D518" s="965"/>
      <c r="E518" s="588"/>
      <c r="F518" s="589"/>
      <c r="G518" s="590"/>
      <c r="H518" s="591">
        <f>H516+H517</f>
        <v>27.963923787999999</v>
      </c>
      <c r="I518" s="592"/>
      <c r="J518" s="592"/>
      <c r="K518" s="592"/>
      <c r="L518" s="593">
        <f>L516+L517</f>
        <v>30.881699623499998</v>
      </c>
      <c r="M518" s="594"/>
      <c r="N518" s="595">
        <f t="shared" si="195"/>
        <v>2.9177758354999987</v>
      </c>
      <c r="O518" s="596">
        <f t="shared" si="196"/>
        <v>0.10434071618919544</v>
      </c>
      <c r="P518" s="480"/>
      <c r="Q518" s="480"/>
      <c r="R518" s="480"/>
      <c r="S518" s="480"/>
      <c r="T518" s="480"/>
    </row>
    <row r="519" spans="1:20" ht="15.75" thickBot="1" x14ac:dyDescent="0.25">
      <c r="A519" s="597"/>
      <c r="B519" s="598"/>
      <c r="C519" s="599"/>
      <c r="D519" s="600"/>
      <c r="E519" s="599"/>
      <c r="F519" s="556"/>
      <c r="G519" s="601"/>
      <c r="H519" s="558"/>
      <c r="I519" s="602"/>
      <c r="J519" s="556"/>
      <c r="K519" s="603"/>
      <c r="L519" s="558"/>
      <c r="M519" s="602"/>
      <c r="N519" s="604"/>
      <c r="O519" s="562"/>
      <c r="P519" s="597"/>
      <c r="Q519" s="597"/>
      <c r="R519" s="597"/>
      <c r="S519" s="597"/>
      <c r="T519" s="597"/>
    </row>
    <row r="520" spans="1:20" x14ac:dyDescent="0.2">
      <c r="A520" s="480"/>
      <c r="B520" s="480"/>
      <c r="C520" s="480"/>
      <c r="D520" s="480"/>
      <c r="E520" s="480"/>
      <c r="F520" s="480"/>
      <c r="G520" s="480"/>
      <c r="H520" s="480"/>
      <c r="I520" s="480"/>
      <c r="J520" s="480"/>
      <c r="K520" s="480"/>
      <c r="L520" s="552"/>
      <c r="M520" s="480"/>
      <c r="N520" s="480"/>
      <c r="O520" s="480"/>
      <c r="P520" s="480"/>
      <c r="Q520" s="480"/>
      <c r="R520" s="480"/>
      <c r="S520" s="480"/>
      <c r="T520" s="480"/>
    </row>
    <row r="521" spans="1:20" x14ac:dyDescent="0.2">
      <c r="A521" s="480"/>
      <c r="B521" s="486" t="s">
        <v>529</v>
      </c>
      <c r="C521" s="480"/>
      <c r="D521" s="480"/>
      <c r="E521" s="480"/>
      <c r="F521" s="605">
        <v>6.8000000000000005E-2</v>
      </c>
      <c r="G521" s="480"/>
      <c r="H521" s="480"/>
      <c r="I521" s="480"/>
      <c r="J521" s="605">
        <v>6.5500000000000003E-2</v>
      </c>
      <c r="K521" s="480"/>
      <c r="L521" s="480"/>
      <c r="M521" s="480"/>
      <c r="N521" s="480"/>
      <c r="O521" s="480"/>
      <c r="P521" s="480"/>
      <c r="Q521" s="480"/>
      <c r="R521" s="480"/>
      <c r="S521" s="480"/>
      <c r="T521" s="480"/>
    </row>
    <row r="522" spans="1:20" x14ac:dyDescent="0.2">
      <c r="A522" s="480"/>
      <c r="B522" s="480"/>
      <c r="C522" s="480"/>
      <c r="D522" s="480"/>
      <c r="E522" s="480"/>
      <c r="F522" s="480"/>
      <c r="G522" s="480"/>
      <c r="H522" s="480"/>
      <c r="I522" s="480"/>
      <c r="J522" s="480"/>
      <c r="K522" s="480"/>
      <c r="L522" s="480"/>
      <c r="M522" s="480"/>
      <c r="N522" s="480"/>
      <c r="O522" s="480"/>
      <c r="P522" s="480"/>
      <c r="Q522" s="480"/>
      <c r="R522" s="480"/>
      <c r="S522" s="480"/>
      <c r="T522" s="480"/>
    </row>
    <row r="523" spans="1:20" x14ac:dyDescent="0.2">
      <c r="A523" s="606" t="s">
        <v>531</v>
      </c>
      <c r="B523" s="480"/>
      <c r="C523" s="480"/>
      <c r="D523" s="480"/>
      <c r="E523" s="480"/>
      <c r="F523" s="480"/>
      <c r="G523" s="480"/>
      <c r="H523" s="480"/>
      <c r="I523" s="480"/>
      <c r="J523" s="480"/>
      <c r="K523" s="480"/>
      <c r="L523" s="480"/>
      <c r="M523" s="480"/>
      <c r="N523" s="480"/>
      <c r="O523" s="480"/>
      <c r="P523" s="480"/>
      <c r="Q523" s="480"/>
      <c r="R523" s="480"/>
      <c r="S523" s="480"/>
      <c r="T523" s="480"/>
    </row>
    <row r="524" spans="1:20" x14ac:dyDescent="0.2">
      <c r="A524" s="480"/>
      <c r="B524" s="480"/>
      <c r="C524" s="480"/>
      <c r="D524" s="480"/>
      <c r="E524" s="480"/>
      <c r="F524" s="480"/>
      <c r="G524" s="480"/>
      <c r="H524" s="480"/>
      <c r="I524" s="480"/>
      <c r="J524" s="480"/>
      <c r="K524" s="480"/>
      <c r="L524" s="480"/>
      <c r="M524" s="480"/>
      <c r="N524" s="480"/>
      <c r="O524" s="480"/>
      <c r="P524" s="480"/>
      <c r="Q524" s="480"/>
      <c r="R524" s="480"/>
      <c r="S524" s="480"/>
      <c r="T524" s="480"/>
    </row>
    <row r="525" spans="1:20" ht="15.75" x14ac:dyDescent="0.2">
      <c r="A525" s="480"/>
      <c r="B525" s="481" t="s">
        <v>480</v>
      </c>
      <c r="C525" s="480"/>
      <c r="D525" s="966" t="s">
        <v>556</v>
      </c>
      <c r="E525" s="966"/>
      <c r="F525" s="966"/>
      <c r="G525" s="966"/>
      <c r="H525" s="966"/>
      <c r="I525" s="966"/>
      <c r="J525" s="966"/>
      <c r="K525" s="966"/>
      <c r="L525" s="966"/>
      <c r="M525" s="966"/>
      <c r="N525" s="966"/>
      <c r="O525" s="966"/>
      <c r="P525" s="480"/>
      <c r="Q525" s="480"/>
      <c r="R525" s="480"/>
      <c r="S525" s="480"/>
      <c r="T525" s="480"/>
    </row>
    <row r="526" spans="1:20" ht="15.75" x14ac:dyDescent="0.25">
      <c r="A526" s="480"/>
      <c r="B526" s="482"/>
      <c r="C526" s="480"/>
      <c r="D526" s="483"/>
      <c r="E526" s="483"/>
      <c r="F526" s="483"/>
      <c r="G526" s="483"/>
      <c r="H526" s="483"/>
      <c r="I526" s="483"/>
      <c r="J526" s="483"/>
      <c r="K526" s="483"/>
      <c r="L526" s="483"/>
      <c r="M526" s="483"/>
      <c r="N526" s="483"/>
      <c r="O526" s="483"/>
      <c r="P526" s="480"/>
      <c r="Q526" s="480"/>
      <c r="R526" s="480"/>
      <c r="S526" s="480"/>
      <c r="T526" s="480"/>
    </row>
    <row r="527" spans="1:20" ht="15.75" x14ac:dyDescent="0.25">
      <c r="A527" s="480"/>
      <c r="B527" s="481" t="s">
        <v>482</v>
      </c>
      <c r="C527" s="480"/>
      <c r="D527" s="484" t="s">
        <v>546</v>
      </c>
      <c r="E527" s="483"/>
      <c r="F527" s="483"/>
      <c r="G527" s="483"/>
      <c r="H527" s="483"/>
      <c r="I527" s="483"/>
      <c r="J527" s="483"/>
      <c r="K527" s="483"/>
      <c r="L527" s="483"/>
      <c r="M527" s="483"/>
      <c r="N527" s="483"/>
      <c r="O527" s="483"/>
      <c r="P527" s="480"/>
      <c r="Q527" s="480"/>
      <c r="R527" s="480"/>
      <c r="S527" s="480"/>
      <c r="T527" s="480"/>
    </row>
    <row r="528" spans="1:20" ht="15.75" x14ac:dyDescent="0.25">
      <c r="A528" s="480"/>
      <c r="B528" s="482"/>
      <c r="C528" s="480"/>
      <c r="D528" s="483"/>
      <c r="E528" s="483"/>
      <c r="F528" s="483"/>
      <c r="G528" s="483"/>
      <c r="H528" s="483"/>
      <c r="I528" s="483"/>
      <c r="J528" s="483"/>
      <c r="K528" s="483"/>
      <c r="L528" s="483"/>
      <c r="M528" s="483"/>
      <c r="N528" s="483"/>
      <c r="O528" s="483"/>
      <c r="P528" s="480"/>
      <c r="Q528" s="480"/>
      <c r="R528" s="480"/>
      <c r="S528" s="480"/>
      <c r="T528" s="480"/>
    </row>
    <row r="529" spans="1:20" x14ac:dyDescent="0.2">
      <c r="A529" s="480"/>
      <c r="B529" s="485"/>
      <c r="C529" s="480"/>
      <c r="D529" s="486" t="s">
        <v>484</v>
      </c>
      <c r="E529" s="486"/>
      <c r="F529" s="487">
        <v>170000</v>
      </c>
      <c r="G529" s="486" t="s">
        <v>485</v>
      </c>
      <c r="H529" s="480"/>
      <c r="I529" s="480"/>
      <c r="J529" s="480"/>
      <c r="K529" s="480"/>
      <c r="L529" s="480"/>
      <c r="M529" s="480"/>
      <c r="N529" s="480"/>
      <c r="O529" s="480"/>
      <c r="P529" s="480"/>
      <c r="Q529" s="480"/>
      <c r="R529" s="480"/>
      <c r="S529" s="480"/>
      <c r="T529" s="480"/>
    </row>
    <row r="530" spans="1:20" x14ac:dyDescent="0.2">
      <c r="A530" s="480"/>
      <c r="B530" s="485"/>
      <c r="C530" s="480"/>
      <c r="D530" s="480"/>
      <c r="E530" s="480"/>
      <c r="F530" s="660">
        <v>550</v>
      </c>
      <c r="G530" s="486" t="s">
        <v>547</v>
      </c>
      <c r="H530" s="480"/>
      <c r="I530" s="480"/>
      <c r="J530" s="480"/>
      <c r="K530" s="480"/>
      <c r="L530" s="480"/>
      <c r="M530" s="480"/>
      <c r="N530" s="480"/>
      <c r="O530" s="480"/>
      <c r="P530" s="480"/>
      <c r="Q530" s="480"/>
      <c r="R530" s="480"/>
      <c r="S530" s="480"/>
      <c r="T530" s="480"/>
    </row>
    <row r="531" spans="1:20" x14ac:dyDescent="0.2">
      <c r="A531" s="480"/>
      <c r="B531" s="485"/>
      <c r="C531" s="480"/>
      <c r="D531" s="488"/>
      <c r="E531" s="488"/>
      <c r="F531" s="967" t="s">
        <v>486</v>
      </c>
      <c r="G531" s="968"/>
      <c r="H531" s="969"/>
      <c r="I531" s="480"/>
      <c r="J531" s="967" t="s">
        <v>487</v>
      </c>
      <c r="K531" s="968"/>
      <c r="L531" s="969"/>
      <c r="M531" s="480"/>
      <c r="N531" s="967" t="s">
        <v>488</v>
      </c>
      <c r="O531" s="969"/>
      <c r="P531" s="480"/>
      <c r="Q531" s="480"/>
      <c r="R531" s="480"/>
      <c r="S531" s="480"/>
      <c r="T531" s="480"/>
    </row>
    <row r="532" spans="1:20" x14ac:dyDescent="0.2">
      <c r="A532" s="480"/>
      <c r="B532" s="485"/>
      <c r="C532" s="480"/>
      <c r="D532" s="958" t="s">
        <v>489</v>
      </c>
      <c r="E532" s="489"/>
      <c r="F532" s="490" t="s">
        <v>490</v>
      </c>
      <c r="G532" s="490" t="s">
        <v>491</v>
      </c>
      <c r="H532" s="491" t="s">
        <v>492</v>
      </c>
      <c r="I532" s="480"/>
      <c r="J532" s="490" t="s">
        <v>490</v>
      </c>
      <c r="K532" s="492" t="s">
        <v>491</v>
      </c>
      <c r="L532" s="491" t="s">
        <v>492</v>
      </c>
      <c r="M532" s="480"/>
      <c r="N532" s="960" t="s">
        <v>493</v>
      </c>
      <c r="O532" s="962" t="s">
        <v>494</v>
      </c>
      <c r="P532" s="480"/>
      <c r="Q532" s="480"/>
      <c r="R532" s="480"/>
      <c r="S532" s="480"/>
      <c r="T532" s="480"/>
    </row>
    <row r="533" spans="1:20" x14ac:dyDescent="0.2">
      <c r="A533" s="480"/>
      <c r="B533" s="485"/>
      <c r="C533" s="480"/>
      <c r="D533" s="959"/>
      <c r="E533" s="489"/>
      <c r="F533" s="493" t="s">
        <v>495</v>
      </c>
      <c r="G533" s="493"/>
      <c r="H533" s="494" t="s">
        <v>495</v>
      </c>
      <c r="I533" s="480"/>
      <c r="J533" s="493" t="s">
        <v>495</v>
      </c>
      <c r="K533" s="494"/>
      <c r="L533" s="494" t="s">
        <v>495</v>
      </c>
      <c r="M533" s="480"/>
      <c r="N533" s="961"/>
      <c r="O533" s="963"/>
      <c r="P533" s="480"/>
      <c r="Q533" s="480"/>
      <c r="R533" s="480"/>
      <c r="S533" s="480"/>
      <c r="T533" s="480"/>
    </row>
    <row r="534" spans="1:20" x14ac:dyDescent="0.2">
      <c r="A534" s="480"/>
      <c r="B534" s="495" t="s">
        <v>496</v>
      </c>
      <c r="C534" s="495"/>
      <c r="D534" s="496" t="s">
        <v>497</v>
      </c>
      <c r="E534" s="497"/>
      <c r="F534" s="498">
        <v>6.09</v>
      </c>
      <c r="G534" s="499">
        <v>2973</v>
      </c>
      <c r="H534" s="500">
        <f>G534*F534</f>
        <v>18105.57</v>
      </c>
      <c r="I534" s="501"/>
      <c r="J534" s="502">
        <v>6</v>
      </c>
      <c r="K534" s="503">
        <v>2973</v>
      </c>
      <c r="L534" s="500">
        <f>K534*J534</f>
        <v>17838</v>
      </c>
      <c r="M534" s="501"/>
      <c r="N534" s="504">
        <f>L534-H534</f>
        <v>-267.56999999999971</v>
      </c>
      <c r="O534" s="505">
        <f>IF((H534)=0,"",(N534/H534))</f>
        <v>-1.4778325123152693E-2</v>
      </c>
      <c r="P534" s="480"/>
      <c r="Q534" s="480"/>
      <c r="R534" s="480"/>
      <c r="S534" s="480"/>
      <c r="T534" s="480"/>
    </row>
    <row r="535" spans="1:20" x14ac:dyDescent="0.2">
      <c r="A535" s="480"/>
      <c r="B535" s="495" t="s">
        <v>498</v>
      </c>
      <c r="C535" s="495"/>
      <c r="D535" s="496"/>
      <c r="E535" s="497"/>
      <c r="F535" s="498"/>
      <c r="G535" s="499">
        <v>1</v>
      </c>
      <c r="H535" s="500">
        <f t="shared" ref="H535:H549" si="197">G535*F535</f>
        <v>0</v>
      </c>
      <c r="I535" s="501"/>
      <c r="J535" s="502"/>
      <c r="K535" s="503">
        <v>1</v>
      </c>
      <c r="L535" s="500">
        <f>K535*J535</f>
        <v>0</v>
      </c>
      <c r="M535" s="501"/>
      <c r="N535" s="504">
        <f>L535-H535</f>
        <v>0</v>
      </c>
      <c r="O535" s="505" t="str">
        <f>IF((H535)=0,"",(N535/H535))</f>
        <v/>
      </c>
      <c r="P535" s="480"/>
      <c r="Q535" s="480"/>
      <c r="R535" s="480"/>
      <c r="S535" s="480"/>
      <c r="T535" s="480"/>
    </row>
    <row r="536" spans="1:20" x14ac:dyDescent="0.2">
      <c r="A536" s="480"/>
      <c r="B536" s="506"/>
      <c r="C536" s="495"/>
      <c r="D536" s="496"/>
      <c r="E536" s="497"/>
      <c r="F536" s="498"/>
      <c r="G536" s="499">
        <v>1</v>
      </c>
      <c r="H536" s="500">
        <f t="shared" si="197"/>
        <v>0</v>
      </c>
      <c r="I536" s="501"/>
      <c r="J536" s="502"/>
      <c r="K536" s="503">
        <v>1</v>
      </c>
      <c r="L536" s="500">
        <f t="shared" ref="L536:L549" si="198">K536*J536</f>
        <v>0</v>
      </c>
      <c r="M536" s="501"/>
      <c r="N536" s="504">
        <f t="shared" ref="N536:N550" si="199">L536-H536</f>
        <v>0</v>
      </c>
      <c r="O536" s="505" t="str">
        <f t="shared" ref="O536:O550" si="200">IF((H536)=0,"",(N536/H536))</f>
        <v/>
      </c>
      <c r="P536" s="480"/>
      <c r="Q536" s="480"/>
      <c r="R536" s="480"/>
      <c r="S536" s="480"/>
      <c r="T536" s="480"/>
    </row>
    <row r="537" spans="1:20" x14ac:dyDescent="0.2">
      <c r="A537" s="480"/>
      <c r="B537" s="506"/>
      <c r="C537" s="495"/>
      <c r="D537" s="496"/>
      <c r="E537" s="497"/>
      <c r="F537" s="498"/>
      <c r="G537" s="499">
        <v>1</v>
      </c>
      <c r="H537" s="500">
        <f t="shared" si="197"/>
        <v>0</v>
      </c>
      <c r="I537" s="501"/>
      <c r="J537" s="502"/>
      <c r="K537" s="503">
        <v>1</v>
      </c>
      <c r="L537" s="500">
        <f t="shared" si="198"/>
        <v>0</v>
      </c>
      <c r="M537" s="501"/>
      <c r="N537" s="504">
        <f t="shared" si="199"/>
        <v>0</v>
      </c>
      <c r="O537" s="505" t="str">
        <f t="shared" si="200"/>
        <v/>
      </c>
      <c r="P537" s="480"/>
      <c r="Q537" s="480"/>
      <c r="R537" s="480"/>
      <c r="S537" s="480"/>
      <c r="T537" s="480"/>
    </row>
    <row r="538" spans="1:20" x14ac:dyDescent="0.2">
      <c r="A538" s="480"/>
      <c r="B538" s="506"/>
      <c r="C538" s="495"/>
      <c r="D538" s="496"/>
      <c r="E538" s="497"/>
      <c r="F538" s="498"/>
      <c r="G538" s="499">
        <v>1</v>
      </c>
      <c r="H538" s="500">
        <f t="shared" si="197"/>
        <v>0</v>
      </c>
      <c r="I538" s="501"/>
      <c r="J538" s="502"/>
      <c r="K538" s="503">
        <v>1</v>
      </c>
      <c r="L538" s="500">
        <f t="shared" si="198"/>
        <v>0</v>
      </c>
      <c r="M538" s="501"/>
      <c r="N538" s="504">
        <f t="shared" si="199"/>
        <v>0</v>
      </c>
      <c r="O538" s="505" t="str">
        <f t="shared" si="200"/>
        <v/>
      </c>
      <c r="P538" s="480"/>
      <c r="Q538" s="480"/>
      <c r="R538" s="480"/>
      <c r="S538" s="480"/>
      <c r="T538" s="480"/>
    </row>
    <row r="539" spans="1:20" x14ac:dyDescent="0.2">
      <c r="A539" s="480"/>
      <c r="B539" s="506"/>
      <c r="C539" s="495"/>
      <c r="D539" s="496"/>
      <c r="E539" s="497"/>
      <c r="F539" s="498"/>
      <c r="G539" s="499">
        <v>1</v>
      </c>
      <c r="H539" s="500">
        <f t="shared" si="197"/>
        <v>0</v>
      </c>
      <c r="I539" s="501"/>
      <c r="J539" s="502"/>
      <c r="K539" s="503">
        <v>1</v>
      </c>
      <c r="L539" s="500">
        <f t="shared" si="198"/>
        <v>0</v>
      </c>
      <c r="M539" s="501"/>
      <c r="N539" s="504">
        <f t="shared" si="199"/>
        <v>0</v>
      </c>
      <c r="O539" s="505" t="str">
        <f t="shared" si="200"/>
        <v/>
      </c>
      <c r="P539" s="480"/>
      <c r="Q539" s="480"/>
      <c r="R539" s="480"/>
      <c r="S539" s="480"/>
      <c r="T539" s="480"/>
    </row>
    <row r="540" spans="1:20" x14ac:dyDescent="0.2">
      <c r="A540" s="480"/>
      <c r="B540" s="495" t="s">
        <v>499</v>
      </c>
      <c r="C540" s="495"/>
      <c r="D540" s="496" t="s">
        <v>548</v>
      </c>
      <c r="E540" s="497"/>
      <c r="F540" s="498">
        <v>15.5853</v>
      </c>
      <c r="G540" s="656">
        <f>$F$530</f>
        <v>550</v>
      </c>
      <c r="H540" s="500">
        <f t="shared" si="197"/>
        <v>8571.9150000000009</v>
      </c>
      <c r="I540" s="501"/>
      <c r="J540" s="502">
        <v>15.363099999999999</v>
      </c>
      <c r="K540" s="656">
        <f>$F$530</f>
        <v>550</v>
      </c>
      <c r="L540" s="500">
        <f t="shared" si="198"/>
        <v>8449.7049999999999</v>
      </c>
      <c r="M540" s="501"/>
      <c r="N540" s="504">
        <f t="shared" si="199"/>
        <v>-122.21000000000095</v>
      </c>
      <c r="O540" s="505">
        <f t="shared" si="200"/>
        <v>-1.4257024247207413E-2</v>
      </c>
      <c r="P540" s="480"/>
      <c r="Q540" s="480"/>
      <c r="R540" s="480"/>
      <c r="S540" s="480"/>
      <c r="T540" s="480"/>
    </row>
    <row r="541" spans="1:20" x14ac:dyDescent="0.2">
      <c r="A541" s="480"/>
      <c r="B541" s="495" t="s">
        <v>501</v>
      </c>
      <c r="C541" s="495"/>
      <c r="D541" s="496"/>
      <c r="E541" s="497"/>
      <c r="F541" s="498"/>
      <c r="G541" s="656">
        <f t="shared" ref="G541:G549" si="201">$F$530</f>
        <v>550</v>
      </c>
      <c r="H541" s="500">
        <f t="shared" si="197"/>
        <v>0</v>
      </c>
      <c r="I541" s="501"/>
      <c r="J541" s="502"/>
      <c r="K541" s="656">
        <f t="shared" ref="K541:K549" si="202">$F$530</f>
        <v>550</v>
      </c>
      <c r="L541" s="500">
        <f t="shared" si="198"/>
        <v>0</v>
      </c>
      <c r="M541" s="501"/>
      <c r="N541" s="504">
        <f t="shared" si="199"/>
        <v>0</v>
      </c>
      <c r="O541" s="505" t="str">
        <f t="shared" si="200"/>
        <v/>
      </c>
      <c r="P541" s="480"/>
      <c r="Q541" s="480"/>
      <c r="R541" s="480"/>
      <c r="S541" s="480"/>
      <c r="T541" s="480"/>
    </row>
    <row r="542" spans="1:20" x14ac:dyDescent="0.2">
      <c r="A542" s="480"/>
      <c r="B542" s="495" t="s">
        <v>502</v>
      </c>
      <c r="C542" s="495"/>
      <c r="D542" s="496"/>
      <c r="E542" s="497"/>
      <c r="F542" s="498"/>
      <c r="G542" s="656">
        <f t="shared" si="201"/>
        <v>550</v>
      </c>
      <c r="H542" s="500">
        <f t="shared" si="197"/>
        <v>0</v>
      </c>
      <c r="I542" s="501"/>
      <c r="J542" s="502"/>
      <c r="K542" s="656">
        <f t="shared" si="202"/>
        <v>550</v>
      </c>
      <c r="L542" s="500">
        <f t="shared" si="198"/>
        <v>0</v>
      </c>
      <c r="M542" s="501"/>
      <c r="N542" s="504">
        <f t="shared" si="199"/>
        <v>0</v>
      </c>
      <c r="O542" s="505" t="str">
        <f t="shared" si="200"/>
        <v/>
      </c>
      <c r="P542" s="480"/>
      <c r="Q542" s="480"/>
      <c r="R542" s="480"/>
      <c r="S542" s="480"/>
      <c r="T542" s="480"/>
    </row>
    <row r="543" spans="1:20" x14ac:dyDescent="0.2">
      <c r="A543" s="480"/>
      <c r="B543" s="507" t="s">
        <v>503</v>
      </c>
      <c r="C543" s="495"/>
      <c r="D543" s="496" t="s">
        <v>548</v>
      </c>
      <c r="E543" s="497"/>
      <c r="F543" s="498">
        <v>-0.24049999999999999</v>
      </c>
      <c r="G543" s="656">
        <f t="shared" si="201"/>
        <v>550</v>
      </c>
      <c r="H543" s="500">
        <f t="shared" si="197"/>
        <v>-132.27500000000001</v>
      </c>
      <c r="I543" s="501"/>
      <c r="J543" s="502"/>
      <c r="K543" s="656">
        <f t="shared" si="202"/>
        <v>550</v>
      </c>
      <c r="L543" s="500">
        <f t="shared" si="198"/>
        <v>0</v>
      </c>
      <c r="M543" s="501"/>
      <c r="N543" s="504">
        <f t="shared" si="199"/>
        <v>132.27500000000001</v>
      </c>
      <c r="O543" s="505">
        <f t="shared" si="200"/>
        <v>-1</v>
      </c>
      <c r="P543" s="480"/>
      <c r="Q543" s="480"/>
      <c r="R543" s="480"/>
      <c r="S543" s="480"/>
      <c r="T543" s="480"/>
    </row>
    <row r="544" spans="1:20" x14ac:dyDescent="0.2">
      <c r="A544" s="480"/>
      <c r="B544" s="507" t="s">
        <v>504</v>
      </c>
      <c r="C544" s="495"/>
      <c r="D544" s="496" t="s">
        <v>548</v>
      </c>
      <c r="E544" s="497"/>
      <c r="F544" s="498">
        <v>-1.0803</v>
      </c>
      <c r="G544" s="656">
        <f t="shared" si="201"/>
        <v>550</v>
      </c>
      <c r="H544" s="500">
        <f t="shared" si="197"/>
        <v>-594.16500000000008</v>
      </c>
      <c r="I544" s="501"/>
      <c r="J544" s="502"/>
      <c r="K544" s="656">
        <f t="shared" si="202"/>
        <v>550</v>
      </c>
      <c r="L544" s="500">
        <f t="shared" si="198"/>
        <v>0</v>
      </c>
      <c r="M544" s="501"/>
      <c r="N544" s="504">
        <f t="shared" si="199"/>
        <v>594.16500000000008</v>
      </c>
      <c r="O544" s="505">
        <f t="shared" si="200"/>
        <v>-1</v>
      </c>
      <c r="P544" s="480"/>
      <c r="Q544" s="480"/>
      <c r="R544" s="480"/>
      <c r="S544" s="480"/>
      <c r="T544" s="480"/>
    </row>
    <row r="545" spans="1:20" x14ac:dyDescent="0.2">
      <c r="A545" s="480"/>
      <c r="B545" s="507" t="s">
        <v>506</v>
      </c>
      <c r="C545" s="495"/>
      <c r="D545" s="496" t="s">
        <v>548</v>
      </c>
      <c r="E545" s="497"/>
      <c r="F545" s="498"/>
      <c r="G545" s="656">
        <f t="shared" si="201"/>
        <v>550</v>
      </c>
      <c r="H545" s="500">
        <f t="shared" si="197"/>
        <v>0</v>
      </c>
      <c r="I545" s="501"/>
      <c r="J545" s="502">
        <v>-1.4578</v>
      </c>
      <c r="K545" s="656">
        <f t="shared" si="202"/>
        <v>550</v>
      </c>
      <c r="L545" s="500">
        <f t="shared" si="198"/>
        <v>-801.79</v>
      </c>
      <c r="M545" s="501"/>
      <c r="N545" s="504">
        <f t="shared" si="199"/>
        <v>-801.79</v>
      </c>
      <c r="O545" s="505" t="str">
        <f t="shared" si="200"/>
        <v/>
      </c>
      <c r="P545" s="480"/>
      <c r="Q545" s="480"/>
      <c r="R545" s="480"/>
      <c r="S545" s="480"/>
      <c r="T545" s="480"/>
    </row>
    <row r="546" spans="1:20" x14ac:dyDescent="0.2">
      <c r="A546" s="480"/>
      <c r="B546" s="507" t="s">
        <v>507</v>
      </c>
      <c r="C546" s="495"/>
      <c r="D546" s="496" t="s">
        <v>548</v>
      </c>
      <c r="E546" s="497"/>
      <c r="F546" s="498"/>
      <c r="G546" s="656">
        <f t="shared" si="201"/>
        <v>550</v>
      </c>
      <c r="H546" s="500">
        <f t="shared" si="197"/>
        <v>0</v>
      </c>
      <c r="I546" s="501"/>
      <c r="J546" s="502">
        <v>0.2205</v>
      </c>
      <c r="K546" s="656">
        <f t="shared" si="202"/>
        <v>550</v>
      </c>
      <c r="L546" s="500">
        <f t="shared" si="198"/>
        <v>121.27500000000001</v>
      </c>
      <c r="M546" s="501"/>
      <c r="N546" s="504">
        <f t="shared" si="199"/>
        <v>121.27500000000001</v>
      </c>
      <c r="O546" s="505" t="str">
        <f t="shared" si="200"/>
        <v/>
      </c>
      <c r="P546" s="480"/>
      <c r="Q546" s="480"/>
      <c r="R546" s="480"/>
      <c r="S546" s="480"/>
      <c r="T546" s="480"/>
    </row>
    <row r="547" spans="1:20" x14ac:dyDescent="0.2">
      <c r="A547" s="480"/>
      <c r="B547" s="507"/>
      <c r="C547" s="495"/>
      <c r="D547" s="496"/>
      <c r="E547" s="497"/>
      <c r="F547" s="498"/>
      <c r="G547" s="656">
        <f t="shared" si="201"/>
        <v>550</v>
      </c>
      <c r="H547" s="500">
        <f t="shared" si="197"/>
        <v>0</v>
      </c>
      <c r="I547" s="501"/>
      <c r="J547" s="502"/>
      <c r="K547" s="656">
        <f t="shared" si="202"/>
        <v>550</v>
      </c>
      <c r="L547" s="500">
        <f t="shared" si="198"/>
        <v>0</v>
      </c>
      <c r="M547" s="501"/>
      <c r="N547" s="504">
        <f t="shared" si="199"/>
        <v>0</v>
      </c>
      <c r="O547" s="505" t="str">
        <f t="shared" si="200"/>
        <v/>
      </c>
      <c r="P547" s="480"/>
      <c r="Q547" s="480"/>
      <c r="R547" s="480"/>
      <c r="S547" s="480"/>
      <c r="T547" s="480"/>
    </row>
    <row r="548" spans="1:20" x14ac:dyDescent="0.2">
      <c r="A548" s="480"/>
      <c r="B548" s="508"/>
      <c r="C548" s="495"/>
      <c r="D548" s="496"/>
      <c r="E548" s="497"/>
      <c r="F548" s="498"/>
      <c r="G548" s="656">
        <f t="shared" si="201"/>
        <v>550</v>
      </c>
      <c r="H548" s="500">
        <f t="shared" si="197"/>
        <v>0</v>
      </c>
      <c r="I548" s="501"/>
      <c r="J548" s="502"/>
      <c r="K548" s="656">
        <f t="shared" si="202"/>
        <v>550</v>
      </c>
      <c r="L548" s="500">
        <f t="shared" si="198"/>
        <v>0</v>
      </c>
      <c r="M548" s="501"/>
      <c r="N548" s="504">
        <f t="shared" si="199"/>
        <v>0</v>
      </c>
      <c r="O548" s="505" t="str">
        <f t="shared" si="200"/>
        <v/>
      </c>
      <c r="P548" s="480"/>
      <c r="Q548" s="480"/>
      <c r="R548" s="480"/>
      <c r="S548" s="480"/>
      <c r="T548" s="480"/>
    </row>
    <row r="549" spans="1:20" x14ac:dyDescent="0.2">
      <c r="A549" s="480"/>
      <c r="B549" s="508"/>
      <c r="C549" s="495"/>
      <c r="D549" s="496"/>
      <c r="E549" s="497"/>
      <c r="F549" s="498"/>
      <c r="G549" s="656">
        <f t="shared" si="201"/>
        <v>550</v>
      </c>
      <c r="H549" s="500">
        <f t="shared" si="197"/>
        <v>0</v>
      </c>
      <c r="I549" s="501"/>
      <c r="J549" s="502"/>
      <c r="K549" s="656">
        <f t="shared" si="202"/>
        <v>550</v>
      </c>
      <c r="L549" s="500">
        <f t="shared" si="198"/>
        <v>0</v>
      </c>
      <c r="M549" s="501"/>
      <c r="N549" s="504">
        <f t="shared" si="199"/>
        <v>0</v>
      </c>
      <c r="O549" s="505" t="str">
        <f t="shared" si="200"/>
        <v/>
      </c>
      <c r="P549" s="480"/>
      <c r="Q549" s="480"/>
      <c r="R549" s="480"/>
      <c r="S549" s="480"/>
      <c r="T549" s="480"/>
    </row>
    <row r="550" spans="1:20" x14ac:dyDescent="0.2">
      <c r="A550" s="509"/>
      <c r="B550" s="510" t="s">
        <v>508</v>
      </c>
      <c r="C550" s="511"/>
      <c r="D550" s="512"/>
      <c r="E550" s="511"/>
      <c r="F550" s="513"/>
      <c r="G550" s="514"/>
      <c r="H550" s="515">
        <f>SUM(H534:H549)</f>
        <v>25951.044999999998</v>
      </c>
      <c r="I550" s="516"/>
      <c r="J550" s="517"/>
      <c r="K550" s="518"/>
      <c r="L550" s="515">
        <f>SUM(L534:L549)</f>
        <v>25607.190000000002</v>
      </c>
      <c r="M550" s="516"/>
      <c r="N550" s="519">
        <f t="shared" si="199"/>
        <v>-343.85499999999593</v>
      </c>
      <c r="O550" s="520">
        <f t="shared" si="200"/>
        <v>-1.3250140793944751E-2</v>
      </c>
      <c r="P550" s="509"/>
      <c r="Q550" s="509"/>
      <c r="R550" s="509"/>
      <c r="S550" s="509"/>
      <c r="T550" s="509"/>
    </row>
    <row r="551" spans="1:20" ht="25.5" x14ac:dyDescent="0.2">
      <c r="A551" s="480"/>
      <c r="B551" s="521" t="s">
        <v>509</v>
      </c>
      <c r="C551" s="495"/>
      <c r="D551" s="496" t="s">
        <v>548</v>
      </c>
      <c r="E551" s="497"/>
      <c r="F551" s="502">
        <f>-1.3045-0.3553</f>
        <v>-1.6597999999999999</v>
      </c>
      <c r="G551" s="656">
        <f>$F$530</f>
        <v>550</v>
      </c>
      <c r="H551" s="500">
        <f>G551*F551</f>
        <v>-912.89</v>
      </c>
      <c r="I551" s="501"/>
      <c r="J551" s="502">
        <f>1.5563-1.5688</f>
        <v>-1.2499999999999956E-2</v>
      </c>
      <c r="K551" s="656">
        <f>$F$530</f>
        <v>550</v>
      </c>
      <c r="L551" s="500">
        <f>K551*J551</f>
        <v>-6.8749999999999751</v>
      </c>
      <c r="M551" s="501"/>
      <c r="N551" s="504">
        <f>L551-H551</f>
        <v>906.01499999999999</v>
      </c>
      <c r="O551" s="505">
        <f>IF((H551)=0,"",(N551/H551))*-1</f>
        <v>0.99246897216532115</v>
      </c>
      <c r="P551" s="480"/>
      <c r="Q551" s="480"/>
      <c r="R551" s="480"/>
      <c r="S551" s="480"/>
      <c r="T551" s="480"/>
    </row>
    <row r="552" spans="1:20" x14ac:dyDescent="0.2">
      <c r="A552" s="480"/>
      <c r="B552" s="521"/>
      <c r="C552" s="495"/>
      <c r="D552" s="496"/>
      <c r="E552" s="497"/>
      <c r="F552" s="498"/>
      <c r="G552" s="656">
        <f t="shared" ref="G552:G555" si="203">$F$530</f>
        <v>550</v>
      </c>
      <c r="H552" s="500">
        <f t="shared" ref="H552:H554" si="204">G552*F552</f>
        <v>0</v>
      </c>
      <c r="I552" s="522"/>
      <c r="J552" s="502"/>
      <c r="K552" s="656">
        <f t="shared" ref="K552:K555" si="205">$F$530</f>
        <v>550</v>
      </c>
      <c r="L552" s="500">
        <f t="shared" ref="L552:L554" si="206">K552*J552</f>
        <v>0</v>
      </c>
      <c r="M552" s="523"/>
      <c r="N552" s="504">
        <f t="shared" ref="N552:N554" si="207">L552-H552</f>
        <v>0</v>
      </c>
      <c r="O552" s="505" t="str">
        <f t="shared" ref="O552:O554" si="208">IF((H552)=0,"",(N552/H552))</f>
        <v/>
      </c>
      <c r="P552" s="480"/>
      <c r="Q552" s="480"/>
      <c r="R552" s="480"/>
      <c r="S552" s="480"/>
      <c r="T552" s="480"/>
    </row>
    <row r="553" spans="1:20" x14ac:dyDescent="0.2">
      <c r="A553" s="480"/>
      <c r="B553" s="521"/>
      <c r="C553" s="495"/>
      <c r="D553" s="496"/>
      <c r="E553" s="497"/>
      <c r="F553" s="498"/>
      <c r="G553" s="656">
        <f t="shared" si="203"/>
        <v>550</v>
      </c>
      <c r="H553" s="500">
        <f t="shared" si="204"/>
        <v>0</v>
      </c>
      <c r="I553" s="522"/>
      <c r="J553" s="502"/>
      <c r="K553" s="656">
        <f t="shared" si="205"/>
        <v>550</v>
      </c>
      <c r="L553" s="500">
        <f t="shared" si="206"/>
        <v>0</v>
      </c>
      <c r="M553" s="523"/>
      <c r="N553" s="504">
        <f t="shared" si="207"/>
        <v>0</v>
      </c>
      <c r="O553" s="505" t="str">
        <f t="shared" si="208"/>
        <v/>
      </c>
      <c r="P553" s="480"/>
      <c r="Q553" s="480"/>
      <c r="R553" s="480"/>
      <c r="S553" s="480"/>
      <c r="T553" s="480"/>
    </row>
    <row r="554" spans="1:20" x14ac:dyDescent="0.2">
      <c r="A554" s="480"/>
      <c r="B554" s="521"/>
      <c r="C554" s="495"/>
      <c r="D554" s="496"/>
      <c r="E554" s="497"/>
      <c r="F554" s="498"/>
      <c r="G554" s="656">
        <f t="shared" si="203"/>
        <v>550</v>
      </c>
      <c r="H554" s="500">
        <f t="shared" si="204"/>
        <v>0</v>
      </c>
      <c r="I554" s="522"/>
      <c r="J554" s="502"/>
      <c r="K554" s="656">
        <f t="shared" si="205"/>
        <v>550</v>
      </c>
      <c r="L554" s="500">
        <f t="shared" si="206"/>
        <v>0</v>
      </c>
      <c r="M554" s="523"/>
      <c r="N554" s="504">
        <f t="shared" si="207"/>
        <v>0</v>
      </c>
      <c r="O554" s="505" t="str">
        <f t="shared" si="208"/>
        <v/>
      </c>
      <c r="P554" s="480"/>
      <c r="Q554" s="480"/>
      <c r="R554" s="480"/>
      <c r="S554" s="480"/>
      <c r="T554" s="480"/>
    </row>
    <row r="555" spans="1:20" x14ac:dyDescent="0.2">
      <c r="A555" s="480"/>
      <c r="B555" s="524" t="s">
        <v>510</v>
      </c>
      <c r="C555" s="495"/>
      <c r="D555" s="496" t="s">
        <v>548</v>
      </c>
      <c r="E555" s="497"/>
      <c r="F555" s="498">
        <v>0.1081</v>
      </c>
      <c r="G555" s="656">
        <f t="shared" si="203"/>
        <v>550</v>
      </c>
      <c r="H555" s="500">
        <f>G555*F555</f>
        <v>59.454999999999998</v>
      </c>
      <c r="I555" s="501"/>
      <c r="J555" s="502">
        <v>0.1152</v>
      </c>
      <c r="K555" s="656">
        <f t="shared" si="205"/>
        <v>550</v>
      </c>
      <c r="L555" s="500">
        <f>K555*J555</f>
        <v>63.36</v>
      </c>
      <c r="M555" s="501"/>
      <c r="N555" s="504">
        <f>L555-H555</f>
        <v>3.9050000000000011</v>
      </c>
      <c r="O555" s="505">
        <f>IF((H555)=0,"",(N555/H555))</f>
        <v>6.5679925994449606E-2</v>
      </c>
      <c r="P555" s="480"/>
      <c r="Q555" s="480"/>
      <c r="R555" s="480"/>
      <c r="S555" s="480"/>
      <c r="T555" s="480"/>
    </row>
    <row r="556" spans="1:20" x14ac:dyDescent="0.2">
      <c r="A556" s="480"/>
      <c r="B556" s="524" t="s">
        <v>511</v>
      </c>
      <c r="C556" s="495"/>
      <c r="D556" s="496" t="s">
        <v>500</v>
      </c>
      <c r="E556" s="497"/>
      <c r="F556" s="525">
        <f>IF(ISBLANK(D527)=TRUE, 0, IF(D527="TOU", 0.64*$F$110+0.18*$F$111+0.18*$F$112, IF(AND(D527="non-TOU",G567&gt; 0),F567,F566)))</f>
        <v>9.0999999999999998E-2</v>
      </c>
      <c r="G556" s="609">
        <f>$F$529*(1+$F$121)-$F$529</f>
        <v>11560</v>
      </c>
      <c r="H556" s="500">
        <f t="shared" ref="H556" si="209">G556*F556</f>
        <v>1051.96</v>
      </c>
      <c r="I556" s="501"/>
      <c r="J556" s="525">
        <f>IF(ISBLANK(D527)=TRUE, 0, IF(D527="TOU", 0.64*$F$110+0.18*$F$111+0.18*$F$112, IF(AND(D527="non-TOU",K567&gt; 0),J567,J566)))</f>
        <v>9.0999999999999998E-2</v>
      </c>
      <c r="K556" s="609">
        <f>$F$529*(1+$J$121)-$F$529</f>
        <v>11135.000000000029</v>
      </c>
      <c r="L556" s="500">
        <f t="shared" ref="L556" si="210">K556*J556</f>
        <v>1013.2850000000026</v>
      </c>
      <c r="M556" s="501"/>
      <c r="N556" s="504">
        <f t="shared" ref="N556" si="211">L556-H556</f>
        <v>-38.674999999997453</v>
      </c>
      <c r="O556" s="505">
        <f t="shared" ref="O556" si="212">IF((H556)=0,"",(N556/H556))</f>
        <v>-3.6764705882350521E-2</v>
      </c>
      <c r="P556" s="480"/>
      <c r="Q556" s="480"/>
      <c r="R556" s="480"/>
      <c r="S556" s="480"/>
      <c r="T556" s="480"/>
    </row>
    <row r="557" spans="1:20" x14ac:dyDescent="0.2">
      <c r="A557" s="480"/>
      <c r="B557" s="524" t="s">
        <v>512</v>
      </c>
      <c r="C557" s="495"/>
      <c r="D557" s="496"/>
      <c r="E557" s="497"/>
      <c r="F557" s="525">
        <v>0.79</v>
      </c>
      <c r="G557" s="499"/>
      <c r="H557" s="500">
        <f>G557*F557</f>
        <v>0</v>
      </c>
      <c r="I557" s="501"/>
      <c r="J557" s="525">
        <v>0.79</v>
      </c>
      <c r="K557" s="499"/>
      <c r="L557" s="500">
        <f>K557*J557</f>
        <v>0</v>
      </c>
      <c r="M557" s="501"/>
      <c r="N557" s="504">
        <f>L557-H557</f>
        <v>0</v>
      </c>
      <c r="O557" s="505"/>
      <c r="P557" s="480"/>
      <c r="Q557" s="480"/>
      <c r="R557" s="480"/>
      <c r="S557" s="480"/>
      <c r="T557" s="480"/>
    </row>
    <row r="558" spans="1:20" ht="25.5" x14ac:dyDescent="0.2">
      <c r="A558" s="480"/>
      <c r="B558" s="528" t="s">
        <v>513</v>
      </c>
      <c r="C558" s="529"/>
      <c r="D558" s="529"/>
      <c r="E558" s="529"/>
      <c r="F558" s="530"/>
      <c r="G558" s="531"/>
      <c r="H558" s="532">
        <f>SUM(H551:H557)+H550</f>
        <v>26149.57</v>
      </c>
      <c r="I558" s="516"/>
      <c r="J558" s="531"/>
      <c r="K558" s="533"/>
      <c r="L558" s="532">
        <f>SUM(L551:L557)+L550</f>
        <v>26676.960000000006</v>
      </c>
      <c r="M558" s="516"/>
      <c r="N558" s="519">
        <f t="shared" ref="N558:N567" si="213">L558-H558</f>
        <v>527.39000000000669</v>
      </c>
      <c r="O558" s="520">
        <f t="shared" ref="O558:O567" si="214">IF((H558)=0,"",(N558/H558))</f>
        <v>2.016820926692128E-2</v>
      </c>
      <c r="P558" s="480"/>
      <c r="Q558" s="480"/>
      <c r="R558" s="480"/>
      <c r="S558" s="480"/>
      <c r="T558" s="480"/>
    </row>
    <row r="559" spans="1:20" x14ac:dyDescent="0.2">
      <c r="A559" s="480"/>
      <c r="B559" s="501" t="s">
        <v>514</v>
      </c>
      <c r="C559" s="501"/>
      <c r="D559" s="534" t="s">
        <v>548</v>
      </c>
      <c r="E559" s="535"/>
      <c r="F559" s="502">
        <v>1.7934000000000001</v>
      </c>
      <c r="G559" s="536">
        <f>F530</f>
        <v>550</v>
      </c>
      <c r="H559" s="500">
        <f>G559*F559</f>
        <v>986.37</v>
      </c>
      <c r="I559" s="501"/>
      <c r="J559" s="502">
        <v>1.8791</v>
      </c>
      <c r="K559" s="537">
        <f>F530</f>
        <v>550</v>
      </c>
      <c r="L559" s="500">
        <f>K559*J559</f>
        <v>1033.5050000000001</v>
      </c>
      <c r="M559" s="501"/>
      <c r="N559" s="504">
        <f t="shared" si="213"/>
        <v>47.135000000000105</v>
      </c>
      <c r="O559" s="505">
        <f t="shared" si="214"/>
        <v>4.7786327645812532E-2</v>
      </c>
      <c r="P559" s="480"/>
      <c r="Q559" s="480"/>
      <c r="R559" s="480"/>
      <c r="S559" s="480"/>
      <c r="T559" s="480"/>
    </row>
    <row r="560" spans="1:20" ht="30" x14ac:dyDescent="0.2">
      <c r="A560" s="480"/>
      <c r="B560" s="538" t="s">
        <v>515</v>
      </c>
      <c r="C560" s="501"/>
      <c r="D560" s="534" t="s">
        <v>548</v>
      </c>
      <c r="E560" s="535"/>
      <c r="F560" s="502">
        <v>1.3394999999999999</v>
      </c>
      <c r="G560" s="536">
        <f>G559</f>
        <v>550</v>
      </c>
      <c r="H560" s="500">
        <f>G560*F560</f>
        <v>736.72499999999991</v>
      </c>
      <c r="I560" s="501"/>
      <c r="J560" s="502">
        <v>1.4603999999999999</v>
      </c>
      <c r="K560" s="537">
        <f>K559</f>
        <v>550</v>
      </c>
      <c r="L560" s="500">
        <f>K560*J560</f>
        <v>803.21999999999991</v>
      </c>
      <c r="M560" s="501"/>
      <c r="N560" s="504">
        <f t="shared" si="213"/>
        <v>66.495000000000005</v>
      </c>
      <c r="O560" s="505">
        <f t="shared" si="214"/>
        <v>9.0257558790593523E-2</v>
      </c>
      <c r="P560" s="480"/>
      <c r="Q560" s="480"/>
      <c r="R560" s="480"/>
      <c r="S560" s="480"/>
      <c r="T560" s="480"/>
    </row>
    <row r="561" spans="1:20" ht="25.5" x14ac:dyDescent="0.2">
      <c r="A561" s="480"/>
      <c r="B561" s="528" t="s">
        <v>516</v>
      </c>
      <c r="C561" s="511"/>
      <c r="D561" s="511"/>
      <c r="E561" s="511"/>
      <c r="F561" s="539"/>
      <c r="G561" s="531"/>
      <c r="H561" s="532">
        <f>SUM(H558:H560)</f>
        <v>27872.664999999997</v>
      </c>
      <c r="I561" s="540"/>
      <c r="J561" s="541"/>
      <c r="K561" s="542"/>
      <c r="L561" s="532">
        <f>SUM(L558:L560)</f>
        <v>28513.685000000009</v>
      </c>
      <c r="M561" s="540"/>
      <c r="N561" s="519">
        <f t="shared" si="213"/>
        <v>641.02000000001135</v>
      </c>
      <c r="O561" s="520">
        <f t="shared" si="214"/>
        <v>2.2998159666469332E-2</v>
      </c>
      <c r="P561" s="480"/>
      <c r="Q561" s="480"/>
      <c r="R561" s="480"/>
      <c r="S561" s="480"/>
      <c r="T561" s="480"/>
    </row>
    <row r="562" spans="1:20" ht="30" x14ac:dyDescent="0.2">
      <c r="A562" s="480"/>
      <c r="B562" s="543" t="s">
        <v>517</v>
      </c>
      <c r="C562" s="495"/>
      <c r="D562" s="496" t="s">
        <v>500</v>
      </c>
      <c r="E562" s="497"/>
      <c r="F562" s="544">
        <v>4.4000000000000003E-3</v>
      </c>
      <c r="G562" s="536">
        <f>F529*(1+F576)</f>
        <v>181560</v>
      </c>
      <c r="H562" s="545">
        <f t="shared" ref="H562:H565" si="215">G562*F562</f>
        <v>798.86400000000003</v>
      </c>
      <c r="I562" s="501"/>
      <c r="J562" s="546">
        <v>4.4000000000000003E-3</v>
      </c>
      <c r="K562" s="537">
        <f>F529*(1+J576)</f>
        <v>181135.00000000003</v>
      </c>
      <c r="L562" s="545">
        <f t="shared" ref="L562:L565" si="216">K562*J562</f>
        <v>796.99400000000014</v>
      </c>
      <c r="M562" s="501"/>
      <c r="N562" s="504">
        <f t="shared" si="213"/>
        <v>-1.8699999999998909</v>
      </c>
      <c r="O562" s="547">
        <f t="shared" si="214"/>
        <v>-2.3408239700373167E-3</v>
      </c>
      <c r="P562" s="480"/>
      <c r="Q562" s="480"/>
      <c r="R562" s="480"/>
      <c r="S562" s="480"/>
      <c r="T562" s="480"/>
    </row>
    <row r="563" spans="1:20" ht="30" x14ac:dyDescent="0.2">
      <c r="A563" s="480"/>
      <c r="B563" s="543" t="s">
        <v>518</v>
      </c>
      <c r="C563" s="495"/>
      <c r="D563" s="496" t="s">
        <v>500</v>
      </c>
      <c r="E563" s="497"/>
      <c r="F563" s="544">
        <v>1.1999999999999999E-3</v>
      </c>
      <c r="G563" s="536">
        <f>G562</f>
        <v>181560</v>
      </c>
      <c r="H563" s="545">
        <f t="shared" si="215"/>
        <v>217.87199999999999</v>
      </c>
      <c r="I563" s="501"/>
      <c r="J563" s="546">
        <v>1.2999999999999999E-3</v>
      </c>
      <c r="K563" s="537">
        <f>K562</f>
        <v>181135.00000000003</v>
      </c>
      <c r="L563" s="545">
        <f t="shared" si="216"/>
        <v>235.47550000000004</v>
      </c>
      <c r="M563" s="501"/>
      <c r="N563" s="504">
        <f t="shared" si="213"/>
        <v>17.603500000000054</v>
      </c>
      <c r="O563" s="547">
        <f t="shared" si="214"/>
        <v>8.0797440699126338E-2</v>
      </c>
      <c r="P563" s="480"/>
      <c r="Q563" s="480"/>
      <c r="R563" s="480"/>
      <c r="S563" s="480"/>
      <c r="T563" s="480"/>
    </row>
    <row r="564" spans="1:20" x14ac:dyDescent="0.2">
      <c r="A564" s="480"/>
      <c r="B564" s="495" t="s">
        <v>519</v>
      </c>
      <c r="C564" s="495"/>
      <c r="D564" s="496" t="s">
        <v>497</v>
      </c>
      <c r="E564" s="497"/>
      <c r="F564" s="544">
        <v>0.25</v>
      </c>
      <c r="G564" s="499">
        <v>2973</v>
      </c>
      <c r="H564" s="545">
        <f t="shared" si="215"/>
        <v>743.25</v>
      </c>
      <c r="I564" s="501"/>
      <c r="J564" s="546">
        <v>0.25</v>
      </c>
      <c r="K564" s="503">
        <v>2973</v>
      </c>
      <c r="L564" s="545">
        <f t="shared" si="216"/>
        <v>743.25</v>
      </c>
      <c r="M564" s="501"/>
      <c r="N564" s="504">
        <f t="shared" si="213"/>
        <v>0</v>
      </c>
      <c r="O564" s="547">
        <f t="shared" si="214"/>
        <v>0</v>
      </c>
      <c r="P564" s="480"/>
      <c r="Q564" s="480"/>
      <c r="R564" s="480"/>
      <c r="S564" s="480"/>
      <c r="T564" s="480"/>
    </row>
    <row r="565" spans="1:20" x14ac:dyDescent="0.2">
      <c r="A565" s="480"/>
      <c r="B565" s="495" t="s">
        <v>520</v>
      </c>
      <c r="C565" s="495"/>
      <c r="D565" s="496" t="s">
        <v>500</v>
      </c>
      <c r="E565" s="497"/>
      <c r="F565" s="544">
        <v>7.0000000000000001E-3</v>
      </c>
      <c r="G565" s="548">
        <f>F529</f>
        <v>170000</v>
      </c>
      <c r="H565" s="545">
        <f t="shared" si="215"/>
        <v>1190</v>
      </c>
      <c r="I565" s="501"/>
      <c r="J565" s="546">
        <v>7.0000000000000001E-3</v>
      </c>
      <c r="K565" s="549">
        <f>F529</f>
        <v>170000</v>
      </c>
      <c r="L565" s="545">
        <f t="shared" si="216"/>
        <v>1190</v>
      </c>
      <c r="M565" s="501"/>
      <c r="N565" s="504">
        <f t="shared" si="213"/>
        <v>0</v>
      </c>
      <c r="O565" s="547">
        <f t="shared" si="214"/>
        <v>0</v>
      </c>
      <c r="P565" s="480"/>
      <c r="Q565" s="480"/>
      <c r="R565" s="480"/>
      <c r="S565" s="480"/>
      <c r="T565" s="480"/>
    </row>
    <row r="566" spans="1:20" x14ac:dyDescent="0.2">
      <c r="A566" s="597"/>
      <c r="B566" s="610" t="s">
        <v>549</v>
      </c>
      <c r="C566" s="611"/>
      <c r="D566" s="612" t="s">
        <v>500</v>
      </c>
      <c r="E566" s="613"/>
      <c r="F566" s="550">
        <v>7.8E-2</v>
      </c>
      <c r="G566" s="614">
        <f>IF(AND($T$2=1, F529&gt;=600), 600, IF(AND($T$2=1, AND(F529&lt;600, F529&gt;=0)), F529, IF(AND($T$3=2, F529&gt;=1000), 1000, IF(AND($T$3=2, AND(F529&lt;1000, F529&gt;=0)), F529))))</f>
        <v>600</v>
      </c>
      <c r="H566" s="545">
        <f>G566*F566</f>
        <v>46.8</v>
      </c>
      <c r="I566" s="615"/>
      <c r="J566" s="544">
        <v>7.8E-2</v>
      </c>
      <c r="K566" s="614">
        <f>G566</f>
        <v>600</v>
      </c>
      <c r="L566" s="545">
        <f>K566*J566</f>
        <v>46.8</v>
      </c>
      <c r="M566" s="615"/>
      <c r="N566" s="616">
        <f t="shared" si="213"/>
        <v>0</v>
      </c>
      <c r="O566" s="547">
        <f t="shared" si="214"/>
        <v>0</v>
      </c>
      <c r="P566" s="597"/>
      <c r="Q566" s="597"/>
      <c r="R566" s="597"/>
      <c r="S566" s="597"/>
      <c r="T566" s="597"/>
    </row>
    <row r="567" spans="1:20" ht="15.75" thickBot="1" x14ac:dyDescent="0.25">
      <c r="A567" s="597"/>
      <c r="B567" s="610" t="s">
        <v>550</v>
      </c>
      <c r="C567" s="611"/>
      <c r="D567" s="612" t="s">
        <v>500</v>
      </c>
      <c r="E567" s="613"/>
      <c r="F567" s="550">
        <v>9.0999999999999998E-2</v>
      </c>
      <c r="G567" s="614">
        <f>IF(AND($T$2=1, F529&gt;=600), F529-600, IF(AND($T$2=1, AND(F529&lt;600, F529&gt;=0)), 0, IF(AND($T$3=2, F529&gt;=1000), F529-1000, IF(AND($T$3=2, AND(F529&lt;1000, F529&gt;=0)), 0))))</f>
        <v>169400</v>
      </c>
      <c r="H567" s="545">
        <f>G567*F567</f>
        <v>15415.4</v>
      </c>
      <c r="I567" s="615"/>
      <c r="J567" s="544">
        <v>9.0999999999999998E-2</v>
      </c>
      <c r="K567" s="614">
        <f>G567</f>
        <v>169400</v>
      </c>
      <c r="L567" s="545">
        <f>K567*J567</f>
        <v>15415.4</v>
      </c>
      <c r="M567" s="615"/>
      <c r="N567" s="616">
        <f t="shared" si="213"/>
        <v>0</v>
      </c>
      <c r="O567" s="547">
        <f t="shared" si="214"/>
        <v>0</v>
      </c>
      <c r="P567" s="597"/>
      <c r="Q567" s="597"/>
      <c r="R567" s="597"/>
      <c r="S567" s="597"/>
      <c r="T567" s="597"/>
    </row>
    <row r="568" spans="1:20" ht="15.75" thickBot="1" x14ac:dyDescent="0.25">
      <c r="A568" s="480"/>
      <c r="B568" s="553"/>
      <c r="C568" s="554"/>
      <c r="D568" s="555"/>
      <c r="E568" s="554"/>
      <c r="F568" s="556"/>
      <c r="G568" s="557"/>
      <c r="H568" s="558"/>
      <c r="I568" s="559"/>
      <c r="J568" s="556"/>
      <c r="K568" s="560"/>
      <c r="L568" s="558"/>
      <c r="M568" s="559"/>
      <c r="N568" s="561"/>
      <c r="O568" s="562"/>
      <c r="P568" s="480"/>
      <c r="Q568" s="480"/>
      <c r="R568" s="480"/>
      <c r="S568" s="480"/>
      <c r="T568" s="480"/>
    </row>
    <row r="569" spans="1:20" x14ac:dyDescent="0.2">
      <c r="A569" s="480"/>
      <c r="B569" s="563" t="s">
        <v>524</v>
      </c>
      <c r="C569" s="495"/>
      <c r="D569" s="495"/>
      <c r="E569" s="495"/>
      <c r="F569" s="564"/>
      <c r="G569" s="565"/>
      <c r="H569" s="566">
        <f>SUM(H562:H567,H561)</f>
        <v>46284.850999999995</v>
      </c>
      <c r="I569" s="567"/>
      <c r="J569" s="568"/>
      <c r="K569" s="568"/>
      <c r="L569" s="566">
        <f>SUM(L562:L567,L561)</f>
        <v>46941.604500000009</v>
      </c>
      <c r="M569" s="569"/>
      <c r="N569" s="570">
        <f t="shared" ref="N569:N573" si="217">L569-H569</f>
        <v>656.75350000001345</v>
      </c>
      <c r="O569" s="571">
        <f t="shared" ref="O569:O573" si="218">IF((H569)=0,"",(N569/H569))</f>
        <v>1.4189383476680383E-2</v>
      </c>
      <c r="P569" s="480"/>
      <c r="Q569" s="480"/>
      <c r="R569" s="480"/>
      <c r="S569" s="552"/>
      <c r="T569" s="480"/>
    </row>
    <row r="570" spans="1:20" x14ac:dyDescent="0.2">
      <c r="A570" s="480"/>
      <c r="B570" s="572" t="s">
        <v>525</v>
      </c>
      <c r="C570" s="495"/>
      <c r="D570" s="495"/>
      <c r="E570" s="495"/>
      <c r="F570" s="573">
        <v>0.13</v>
      </c>
      <c r="G570" s="574"/>
      <c r="H570" s="575">
        <f>H569*F570</f>
        <v>6017.0306299999993</v>
      </c>
      <c r="I570" s="576"/>
      <c r="J570" s="577">
        <v>0.13</v>
      </c>
      <c r="K570" s="576"/>
      <c r="L570" s="578">
        <f>L569*J570</f>
        <v>6102.408585000001</v>
      </c>
      <c r="M570" s="579"/>
      <c r="N570" s="580">
        <f t="shared" si="217"/>
        <v>85.377955000001748</v>
      </c>
      <c r="O570" s="581">
        <f t="shared" si="218"/>
        <v>1.4189383476680384E-2</v>
      </c>
      <c r="P570" s="480"/>
      <c r="Q570" s="480"/>
      <c r="R570" s="480"/>
      <c r="S570" s="552"/>
      <c r="T570" s="480"/>
    </row>
    <row r="571" spans="1:20" x14ac:dyDescent="0.2">
      <c r="A571" s="480"/>
      <c r="B571" s="582" t="s">
        <v>526</v>
      </c>
      <c r="C571" s="495"/>
      <c r="D571" s="495"/>
      <c r="E571" s="495"/>
      <c r="F571" s="583"/>
      <c r="G571" s="574"/>
      <c r="H571" s="575">
        <f>H569+H570</f>
        <v>52301.881629999996</v>
      </c>
      <c r="I571" s="576"/>
      <c r="J571" s="576"/>
      <c r="K571" s="576"/>
      <c r="L571" s="578">
        <f>L569+L570</f>
        <v>53044.013085000013</v>
      </c>
      <c r="M571" s="579"/>
      <c r="N571" s="580">
        <f t="shared" si="217"/>
        <v>742.13145500001701</v>
      </c>
      <c r="O571" s="581">
        <f t="shared" si="218"/>
        <v>1.4189383476680417E-2</v>
      </c>
      <c r="P571" s="480"/>
      <c r="Q571" s="480"/>
      <c r="R571" s="480"/>
      <c r="S571" s="552"/>
      <c r="T571" s="480"/>
    </row>
    <row r="572" spans="1:20" x14ac:dyDescent="0.2">
      <c r="A572" s="480"/>
      <c r="B572" s="964" t="s">
        <v>527</v>
      </c>
      <c r="C572" s="964"/>
      <c r="D572" s="964"/>
      <c r="E572" s="495"/>
      <c r="F572" s="583"/>
      <c r="G572" s="574"/>
      <c r="H572" s="584"/>
      <c r="I572" s="576"/>
      <c r="J572" s="576"/>
      <c r="K572" s="576"/>
      <c r="L572" s="585"/>
      <c r="M572" s="579"/>
      <c r="N572" s="586">
        <f t="shared" si="217"/>
        <v>0</v>
      </c>
      <c r="O572" s="587" t="str">
        <f t="shared" si="218"/>
        <v/>
      </c>
      <c r="P572" s="480"/>
      <c r="Q572" s="480"/>
      <c r="R572" s="480"/>
      <c r="S572" s="480"/>
      <c r="T572" s="480"/>
    </row>
    <row r="573" spans="1:20" ht="15.75" thickBot="1" x14ac:dyDescent="0.25">
      <c r="A573" s="480"/>
      <c r="B573" s="965" t="s">
        <v>528</v>
      </c>
      <c r="C573" s="965"/>
      <c r="D573" s="965"/>
      <c r="E573" s="588"/>
      <c r="F573" s="589"/>
      <c r="G573" s="590"/>
      <c r="H573" s="591">
        <f>H571+H572</f>
        <v>52301.881629999996</v>
      </c>
      <c r="I573" s="592"/>
      <c r="J573" s="592"/>
      <c r="K573" s="592"/>
      <c r="L573" s="593">
        <f>L571+L572</f>
        <v>53044.013085000013</v>
      </c>
      <c r="M573" s="594"/>
      <c r="N573" s="595">
        <f t="shared" si="217"/>
        <v>742.13145500001701</v>
      </c>
      <c r="O573" s="596">
        <f t="shared" si="218"/>
        <v>1.4189383476680417E-2</v>
      </c>
      <c r="P573" s="480"/>
      <c r="Q573" s="480"/>
      <c r="R573" s="480"/>
      <c r="S573" s="480"/>
      <c r="T573" s="480"/>
    </row>
    <row r="574" spans="1:20" ht="15.75" thickBot="1" x14ac:dyDescent="0.25">
      <c r="A574" s="597"/>
      <c r="B574" s="598"/>
      <c r="C574" s="599"/>
      <c r="D574" s="600"/>
      <c r="E574" s="599"/>
      <c r="F574" s="556"/>
      <c r="G574" s="601"/>
      <c r="H574" s="558"/>
      <c r="I574" s="602"/>
      <c r="J574" s="556"/>
      <c r="K574" s="603"/>
      <c r="L574" s="558"/>
      <c r="M574" s="602"/>
      <c r="N574" s="604"/>
      <c r="O574" s="562"/>
      <c r="P574" s="597"/>
      <c r="Q574" s="597"/>
      <c r="R574" s="597"/>
      <c r="S574" s="597"/>
      <c r="T574" s="597"/>
    </row>
    <row r="575" spans="1:20" x14ac:dyDescent="0.2">
      <c r="A575" s="480"/>
      <c r="B575" s="480"/>
      <c r="C575" s="480"/>
      <c r="D575" s="480"/>
      <c r="E575" s="480"/>
      <c r="F575" s="480"/>
      <c r="G575" s="480"/>
      <c r="H575" s="480"/>
      <c r="I575" s="480"/>
      <c r="J575" s="480"/>
      <c r="K575" s="480"/>
      <c r="L575" s="552"/>
      <c r="M575" s="480"/>
      <c r="N575" s="480"/>
      <c r="O575" s="480"/>
      <c r="P575" s="480"/>
      <c r="Q575" s="480"/>
      <c r="R575" s="480"/>
      <c r="S575" s="480"/>
      <c r="T575" s="480"/>
    </row>
    <row r="576" spans="1:20" x14ac:dyDescent="0.2">
      <c r="A576" s="480"/>
      <c r="B576" s="486" t="s">
        <v>529</v>
      </c>
      <c r="C576" s="480"/>
      <c r="D576" s="480"/>
      <c r="E576" s="480"/>
      <c r="F576" s="605">
        <v>6.8000000000000005E-2</v>
      </c>
      <c r="G576" s="480"/>
      <c r="H576" s="480"/>
      <c r="I576" s="480"/>
      <c r="J576" s="605">
        <v>6.5500000000000003E-2</v>
      </c>
      <c r="K576" s="480"/>
      <c r="L576" s="480"/>
      <c r="M576" s="480"/>
      <c r="N576" s="480"/>
      <c r="O576" s="480"/>
      <c r="P576" s="480"/>
      <c r="Q576" s="480"/>
      <c r="R576" s="480"/>
      <c r="S576" s="480"/>
      <c r="T576" s="480"/>
    </row>
    <row r="577" spans="1:20" x14ac:dyDescent="0.2">
      <c r="A577" s="480"/>
      <c r="B577" s="480"/>
      <c r="C577" s="480"/>
      <c r="D577" s="480"/>
      <c r="E577" s="480"/>
      <c r="F577" s="480"/>
      <c r="G577" s="480"/>
      <c r="H577" s="480"/>
      <c r="I577" s="480"/>
      <c r="J577" s="480"/>
      <c r="K577" s="480"/>
      <c r="L577" s="480"/>
      <c r="M577" s="480"/>
      <c r="N577" s="480"/>
      <c r="O577" s="480"/>
      <c r="P577" s="480"/>
      <c r="Q577" s="480"/>
      <c r="R577" s="480"/>
      <c r="S577" s="480"/>
      <c r="T577" s="480"/>
    </row>
    <row r="578" spans="1:20" x14ac:dyDescent="0.2">
      <c r="A578" s="606" t="s">
        <v>531</v>
      </c>
      <c r="B578" s="480"/>
      <c r="C578" s="480"/>
      <c r="D578" s="480"/>
      <c r="E578" s="480"/>
      <c r="F578" s="480"/>
      <c r="G578" s="480"/>
      <c r="H578" s="480"/>
      <c r="I578" s="480"/>
      <c r="J578" s="480"/>
      <c r="K578" s="480"/>
      <c r="L578" s="480"/>
      <c r="M578" s="480"/>
      <c r="N578" s="480"/>
      <c r="O578" s="480"/>
      <c r="P578" s="480"/>
      <c r="Q578" s="480"/>
      <c r="R578" s="480"/>
      <c r="S578" s="480"/>
      <c r="T578" s="480"/>
    </row>
    <row r="579" spans="1:20" x14ac:dyDescent="0.2">
      <c r="A579" s="480"/>
      <c r="B579" s="480"/>
      <c r="C579" s="480"/>
      <c r="D579" s="480"/>
      <c r="E579" s="480"/>
      <c r="F579" s="480"/>
      <c r="G579" s="480"/>
      <c r="H579" s="480"/>
      <c r="I579" s="480"/>
      <c r="J579" s="480"/>
      <c r="K579" s="480"/>
      <c r="L579" s="480"/>
      <c r="M579" s="480"/>
      <c r="N579" s="480"/>
      <c r="O579" s="480"/>
      <c r="P579" s="480"/>
      <c r="Q579" s="480"/>
      <c r="R579" s="480"/>
      <c r="S579" s="480"/>
      <c r="T579" s="480"/>
    </row>
    <row r="580" spans="1:20" ht="15.75" x14ac:dyDescent="0.2">
      <c r="A580" s="480"/>
      <c r="B580" s="481" t="s">
        <v>480</v>
      </c>
      <c r="C580" s="480"/>
      <c r="D580" s="966" t="s">
        <v>557</v>
      </c>
      <c r="E580" s="966"/>
      <c r="F580" s="966"/>
      <c r="G580" s="966"/>
      <c r="H580" s="966"/>
      <c r="I580" s="966"/>
      <c r="J580" s="966"/>
      <c r="K580" s="966"/>
      <c r="L580" s="966"/>
      <c r="M580" s="966"/>
      <c r="N580" s="966"/>
      <c r="O580" s="966"/>
      <c r="P580" s="480"/>
      <c r="Q580" s="480"/>
      <c r="R580" s="480"/>
      <c r="S580" s="480"/>
      <c r="T580" s="480"/>
    </row>
    <row r="581" spans="1:20" ht="15.75" x14ac:dyDescent="0.25">
      <c r="A581" s="480"/>
      <c r="B581" s="482"/>
      <c r="C581" s="480"/>
      <c r="D581" s="483"/>
      <c r="E581" s="483"/>
      <c r="F581" s="483"/>
      <c r="G581" s="483"/>
      <c r="H581" s="483"/>
      <c r="I581" s="483"/>
      <c r="J581" s="483"/>
      <c r="K581" s="483"/>
      <c r="L581" s="483"/>
      <c r="M581" s="483"/>
      <c r="N581" s="483"/>
      <c r="O581" s="483"/>
      <c r="P581" s="480"/>
      <c r="Q581" s="480"/>
      <c r="R581" s="480"/>
      <c r="S581" s="480"/>
      <c r="T581" s="480"/>
    </row>
    <row r="582" spans="1:20" ht="15.75" x14ac:dyDescent="0.25">
      <c r="A582" s="480"/>
      <c r="B582" s="481" t="s">
        <v>482</v>
      </c>
      <c r="C582" s="480"/>
      <c r="D582" s="484" t="s">
        <v>546</v>
      </c>
      <c r="E582" s="483"/>
      <c r="F582" s="483"/>
      <c r="G582" s="483"/>
      <c r="H582" s="483"/>
      <c r="I582" s="483"/>
      <c r="J582" s="483"/>
      <c r="K582" s="483"/>
      <c r="L582" s="483"/>
      <c r="M582" s="483"/>
      <c r="N582" s="483"/>
      <c r="O582" s="483"/>
      <c r="P582" s="480"/>
      <c r="Q582" s="480"/>
      <c r="R582" s="480"/>
      <c r="S582" s="480"/>
      <c r="T582" s="480"/>
    </row>
    <row r="583" spans="1:20" ht="15.75" x14ac:dyDescent="0.25">
      <c r="A583" s="480"/>
      <c r="B583" s="482"/>
      <c r="C583" s="480"/>
      <c r="D583" s="483"/>
      <c r="E583" s="483"/>
      <c r="F583" s="483"/>
      <c r="G583" s="483"/>
      <c r="H583" s="483"/>
      <c r="I583" s="483"/>
      <c r="J583" s="483"/>
      <c r="K583" s="483"/>
      <c r="L583" s="483"/>
      <c r="M583" s="483"/>
      <c r="N583" s="483"/>
      <c r="O583" s="483"/>
      <c r="P583" s="480"/>
      <c r="Q583" s="480"/>
      <c r="R583" s="480"/>
      <c r="S583" s="480"/>
      <c r="T583" s="480"/>
    </row>
    <row r="584" spans="1:20" x14ac:dyDescent="0.2">
      <c r="A584" s="480"/>
      <c r="B584" s="485"/>
      <c r="C584" s="480"/>
      <c r="D584" s="486" t="s">
        <v>484</v>
      </c>
      <c r="E584" s="486"/>
      <c r="F584" s="487">
        <v>6055000</v>
      </c>
      <c r="G584" s="486" t="s">
        <v>485</v>
      </c>
      <c r="H584" s="480"/>
      <c r="I584" s="480"/>
      <c r="J584" s="480"/>
      <c r="K584" s="480"/>
      <c r="L584" s="480"/>
      <c r="M584" s="480"/>
      <c r="N584" s="480"/>
      <c r="O584" s="480"/>
      <c r="P584" s="480"/>
      <c r="Q584" s="480"/>
      <c r="R584" s="480"/>
      <c r="S584" s="480"/>
      <c r="T584" s="480"/>
    </row>
    <row r="585" spans="1:20" x14ac:dyDescent="0.2">
      <c r="A585" s="480"/>
      <c r="B585" s="485"/>
      <c r="C585" s="480"/>
      <c r="D585" s="480"/>
      <c r="E585" s="480"/>
      <c r="F585" s="660">
        <v>18970</v>
      </c>
      <c r="G585" s="486" t="s">
        <v>547</v>
      </c>
      <c r="H585" s="480"/>
      <c r="I585" s="480"/>
      <c r="J585" s="480"/>
      <c r="K585" s="480"/>
      <c r="L585" s="480"/>
      <c r="M585" s="480"/>
      <c r="N585" s="480"/>
      <c r="O585" s="480"/>
      <c r="P585" s="480"/>
      <c r="Q585" s="480"/>
      <c r="R585" s="480"/>
      <c r="S585" s="480"/>
      <c r="T585" s="480"/>
    </row>
    <row r="586" spans="1:20" x14ac:dyDescent="0.2">
      <c r="A586" s="480"/>
      <c r="B586" s="485"/>
      <c r="C586" s="480"/>
      <c r="D586" s="488"/>
      <c r="E586" s="488"/>
      <c r="F586" s="967" t="s">
        <v>486</v>
      </c>
      <c r="G586" s="968"/>
      <c r="H586" s="969"/>
      <c r="I586" s="480"/>
      <c r="J586" s="967" t="s">
        <v>487</v>
      </c>
      <c r="K586" s="968"/>
      <c r="L586" s="969"/>
      <c r="M586" s="480"/>
      <c r="N586" s="967" t="s">
        <v>488</v>
      </c>
      <c r="O586" s="969"/>
      <c r="P586" s="480"/>
      <c r="Q586" s="480"/>
      <c r="R586" s="480"/>
      <c r="S586" s="480"/>
      <c r="T586" s="480"/>
    </row>
    <row r="587" spans="1:20" x14ac:dyDescent="0.2">
      <c r="A587" s="480"/>
      <c r="B587" s="485"/>
      <c r="C587" s="480"/>
      <c r="D587" s="958" t="s">
        <v>489</v>
      </c>
      <c r="E587" s="489"/>
      <c r="F587" s="490" t="s">
        <v>490</v>
      </c>
      <c r="G587" s="490" t="s">
        <v>491</v>
      </c>
      <c r="H587" s="491" t="s">
        <v>492</v>
      </c>
      <c r="I587" s="480"/>
      <c r="J587" s="490" t="s">
        <v>490</v>
      </c>
      <c r="K587" s="492" t="s">
        <v>491</v>
      </c>
      <c r="L587" s="491" t="s">
        <v>492</v>
      </c>
      <c r="M587" s="480"/>
      <c r="N587" s="960" t="s">
        <v>493</v>
      </c>
      <c r="O587" s="962" t="s">
        <v>494</v>
      </c>
      <c r="P587" s="480"/>
      <c r="Q587" s="480"/>
      <c r="R587" s="480"/>
      <c r="S587" s="480"/>
      <c r="T587" s="480"/>
    </row>
    <row r="588" spans="1:20" x14ac:dyDescent="0.2">
      <c r="A588" s="480"/>
      <c r="B588" s="485"/>
      <c r="C588" s="480"/>
      <c r="D588" s="959"/>
      <c r="E588" s="489"/>
      <c r="F588" s="493" t="s">
        <v>495</v>
      </c>
      <c r="G588" s="493"/>
      <c r="H588" s="494" t="s">
        <v>495</v>
      </c>
      <c r="I588" s="480"/>
      <c r="J588" s="493" t="s">
        <v>495</v>
      </c>
      <c r="K588" s="494"/>
      <c r="L588" s="494" t="s">
        <v>495</v>
      </c>
      <c r="M588" s="480"/>
      <c r="N588" s="961"/>
      <c r="O588" s="963"/>
      <c r="P588" s="480"/>
      <c r="Q588" s="480"/>
      <c r="R588" s="480"/>
      <c r="S588" s="480"/>
      <c r="T588" s="480"/>
    </row>
    <row r="589" spans="1:20" x14ac:dyDescent="0.2">
      <c r="A589" s="480"/>
      <c r="B589" s="495" t="s">
        <v>496</v>
      </c>
      <c r="C589" s="495"/>
      <c r="D589" s="496" t="s">
        <v>497</v>
      </c>
      <c r="E589" s="497"/>
      <c r="F589" s="498">
        <v>184.32</v>
      </c>
      <c r="G589" s="499">
        <v>1</v>
      </c>
      <c r="H589" s="500">
        <f>G589*F589</f>
        <v>184.32</v>
      </c>
      <c r="I589" s="501"/>
      <c r="J589" s="659">
        <v>463.17</v>
      </c>
      <c r="K589" s="503">
        <v>1</v>
      </c>
      <c r="L589" s="500">
        <f>K589*J589</f>
        <v>463.17</v>
      </c>
      <c r="M589" s="501"/>
      <c r="N589" s="504">
        <f>L589-H589</f>
        <v>278.85000000000002</v>
      </c>
      <c r="O589" s="505">
        <f>IF((H589)=0,"",(N589/H589))</f>
        <v>1.5128580729166667</v>
      </c>
      <c r="P589" s="480"/>
      <c r="Q589" s="480"/>
      <c r="R589" s="480"/>
      <c r="S589" s="480"/>
      <c r="T589" s="480"/>
    </row>
    <row r="590" spans="1:20" x14ac:dyDescent="0.2">
      <c r="A590" s="480"/>
      <c r="B590" s="495" t="s">
        <v>498</v>
      </c>
      <c r="C590" s="495"/>
      <c r="D590" s="496"/>
      <c r="E590" s="497"/>
      <c r="F590" s="498"/>
      <c r="G590" s="499">
        <v>1</v>
      </c>
      <c r="H590" s="500">
        <f t="shared" ref="H590:H604" si="219">G590*F590</f>
        <v>0</v>
      </c>
      <c r="I590" s="501"/>
      <c r="J590" s="502"/>
      <c r="K590" s="503">
        <v>1</v>
      </c>
      <c r="L590" s="500">
        <f>K590*J590</f>
        <v>0</v>
      </c>
      <c r="M590" s="501"/>
      <c r="N590" s="504">
        <f>L590-H590</f>
        <v>0</v>
      </c>
      <c r="O590" s="505" t="str">
        <f>IF((H590)=0,"",(N590/H590))</f>
        <v/>
      </c>
      <c r="P590" s="480"/>
      <c r="Q590" s="480"/>
      <c r="R590" s="480"/>
      <c r="S590" s="480"/>
      <c r="T590" s="480"/>
    </row>
    <row r="591" spans="1:20" x14ac:dyDescent="0.2">
      <c r="A591" s="480"/>
      <c r="B591" s="506"/>
      <c r="C591" s="495"/>
      <c r="D591" s="496"/>
      <c r="E591" s="497"/>
      <c r="F591" s="498"/>
      <c r="G591" s="499">
        <v>1</v>
      </c>
      <c r="H591" s="500">
        <f t="shared" si="219"/>
        <v>0</v>
      </c>
      <c r="I591" s="501"/>
      <c r="J591" s="502"/>
      <c r="K591" s="503">
        <v>1</v>
      </c>
      <c r="L591" s="500">
        <f t="shared" ref="L591:L604" si="220">K591*J591</f>
        <v>0</v>
      </c>
      <c r="M591" s="501"/>
      <c r="N591" s="504">
        <f t="shared" ref="N591:N605" si="221">L591-H591</f>
        <v>0</v>
      </c>
      <c r="O591" s="505" t="str">
        <f t="shared" ref="O591:O605" si="222">IF((H591)=0,"",(N591/H591))</f>
        <v/>
      </c>
      <c r="P591" s="480"/>
      <c r="Q591" s="480"/>
      <c r="R591" s="480"/>
      <c r="S591" s="480"/>
      <c r="T591" s="480"/>
    </row>
    <row r="592" spans="1:20" x14ac:dyDescent="0.2">
      <c r="A592" s="480"/>
      <c r="B592" s="506"/>
      <c r="C592" s="495"/>
      <c r="D592" s="496"/>
      <c r="E592" s="497"/>
      <c r="F592" s="498"/>
      <c r="G592" s="499">
        <v>1</v>
      </c>
      <c r="H592" s="500">
        <f t="shared" si="219"/>
        <v>0</v>
      </c>
      <c r="I592" s="501"/>
      <c r="J592" s="502"/>
      <c r="K592" s="503">
        <v>1</v>
      </c>
      <c r="L592" s="500">
        <f t="shared" si="220"/>
        <v>0</v>
      </c>
      <c r="M592" s="501"/>
      <c r="N592" s="504">
        <f t="shared" si="221"/>
        <v>0</v>
      </c>
      <c r="O592" s="505" t="str">
        <f t="shared" si="222"/>
        <v/>
      </c>
      <c r="P592" s="480"/>
      <c r="Q592" s="480"/>
      <c r="R592" s="480"/>
      <c r="S592" s="480"/>
      <c r="T592" s="480"/>
    </row>
    <row r="593" spans="1:20" x14ac:dyDescent="0.2">
      <c r="A593" s="480"/>
      <c r="B593" s="506"/>
      <c r="C593" s="495"/>
      <c r="D593" s="496"/>
      <c r="E593" s="497"/>
      <c r="F593" s="498"/>
      <c r="G593" s="499">
        <v>1</v>
      </c>
      <c r="H593" s="500">
        <f t="shared" si="219"/>
        <v>0</v>
      </c>
      <c r="I593" s="501"/>
      <c r="J593" s="502"/>
      <c r="K593" s="503">
        <v>1</v>
      </c>
      <c r="L593" s="500">
        <f t="shared" si="220"/>
        <v>0</v>
      </c>
      <c r="M593" s="501"/>
      <c r="N593" s="504">
        <f t="shared" si="221"/>
        <v>0</v>
      </c>
      <c r="O593" s="505" t="str">
        <f t="shared" si="222"/>
        <v/>
      </c>
      <c r="P593" s="480"/>
      <c r="Q593" s="480"/>
      <c r="R593" s="480"/>
      <c r="S593" s="480"/>
      <c r="T593" s="480"/>
    </row>
    <row r="594" spans="1:20" x14ac:dyDescent="0.2">
      <c r="A594" s="480"/>
      <c r="B594" s="506"/>
      <c r="C594" s="495"/>
      <c r="D594" s="496"/>
      <c r="E594" s="497"/>
      <c r="F594" s="498"/>
      <c r="G594" s="499">
        <v>1</v>
      </c>
      <c r="H594" s="500">
        <f t="shared" si="219"/>
        <v>0</v>
      </c>
      <c r="I594" s="501"/>
      <c r="J594" s="502"/>
      <c r="K594" s="503">
        <v>1</v>
      </c>
      <c r="L594" s="500">
        <f t="shared" si="220"/>
        <v>0</v>
      </c>
      <c r="M594" s="501"/>
      <c r="N594" s="504">
        <f t="shared" si="221"/>
        <v>0</v>
      </c>
      <c r="O594" s="505" t="str">
        <f t="shared" si="222"/>
        <v/>
      </c>
      <c r="P594" s="480"/>
      <c r="Q594" s="480"/>
      <c r="R594" s="480"/>
      <c r="S594" s="480"/>
      <c r="T594" s="480"/>
    </row>
    <row r="595" spans="1:20" x14ac:dyDescent="0.2">
      <c r="A595" s="480"/>
      <c r="B595" s="495" t="s">
        <v>499</v>
      </c>
      <c r="C595" s="495"/>
      <c r="D595" s="496" t="s">
        <v>548</v>
      </c>
      <c r="E595" s="497"/>
      <c r="F595" s="498">
        <v>0.56799999999999995</v>
      </c>
      <c r="G595" s="656">
        <f>$F$585</f>
        <v>18970</v>
      </c>
      <c r="H595" s="500">
        <f t="shared" si="219"/>
        <v>10774.96</v>
      </c>
      <c r="I595" s="501"/>
      <c r="J595" s="502">
        <v>1.4273</v>
      </c>
      <c r="K595" s="656">
        <f>$F$585</f>
        <v>18970</v>
      </c>
      <c r="L595" s="500">
        <f t="shared" si="220"/>
        <v>27075.881000000001</v>
      </c>
      <c r="M595" s="501"/>
      <c r="N595" s="504">
        <f t="shared" si="221"/>
        <v>16300.921000000002</v>
      </c>
      <c r="O595" s="505">
        <f t="shared" si="222"/>
        <v>1.5128521126760566</v>
      </c>
      <c r="P595" s="480"/>
      <c r="Q595" s="480"/>
      <c r="R595" s="480"/>
      <c r="S595" s="480"/>
      <c r="T595" s="480"/>
    </row>
    <row r="596" spans="1:20" x14ac:dyDescent="0.2">
      <c r="A596" s="480"/>
      <c r="B596" s="495" t="s">
        <v>501</v>
      </c>
      <c r="C596" s="495"/>
      <c r="D596" s="496"/>
      <c r="E596" s="497"/>
      <c r="F596" s="498"/>
      <c r="G596" s="656">
        <f t="shared" ref="G596:G604" si="223">$F$585</f>
        <v>18970</v>
      </c>
      <c r="H596" s="500">
        <f t="shared" si="219"/>
        <v>0</v>
      </c>
      <c r="I596" s="501"/>
      <c r="J596" s="502"/>
      <c r="K596" s="656">
        <f t="shared" ref="K596:K604" si="224">$F$585</f>
        <v>18970</v>
      </c>
      <c r="L596" s="500">
        <f t="shared" si="220"/>
        <v>0</v>
      </c>
      <c r="M596" s="501"/>
      <c r="N596" s="504">
        <f t="shared" si="221"/>
        <v>0</v>
      </c>
      <c r="O596" s="505" t="str">
        <f t="shared" si="222"/>
        <v/>
      </c>
      <c r="P596" s="480"/>
      <c r="Q596" s="480"/>
      <c r="R596" s="480"/>
      <c r="S596" s="480"/>
      <c r="T596" s="480"/>
    </row>
    <row r="597" spans="1:20" x14ac:dyDescent="0.2">
      <c r="A597" s="480"/>
      <c r="B597" s="495" t="s">
        <v>502</v>
      </c>
      <c r="C597" s="495"/>
      <c r="D597" s="496"/>
      <c r="E597" s="497"/>
      <c r="F597" s="498"/>
      <c r="G597" s="656">
        <f t="shared" si="223"/>
        <v>18970</v>
      </c>
      <c r="H597" s="500">
        <f t="shared" si="219"/>
        <v>0</v>
      </c>
      <c r="I597" s="501"/>
      <c r="J597" s="502"/>
      <c r="K597" s="656">
        <f t="shared" si="224"/>
        <v>18970</v>
      </c>
      <c r="L597" s="500">
        <f t="shared" si="220"/>
        <v>0</v>
      </c>
      <c r="M597" s="501"/>
      <c r="N597" s="504">
        <f t="shared" si="221"/>
        <v>0</v>
      </c>
      <c r="O597" s="505" t="str">
        <f t="shared" si="222"/>
        <v/>
      </c>
      <c r="P597" s="480"/>
      <c r="Q597" s="480"/>
      <c r="R597" s="480"/>
      <c r="S597" s="480"/>
      <c r="T597" s="480"/>
    </row>
    <row r="598" spans="1:20" x14ac:dyDescent="0.2">
      <c r="A598" s="480"/>
      <c r="B598" s="507"/>
      <c r="C598" s="495"/>
      <c r="D598" s="496"/>
      <c r="E598" s="497"/>
      <c r="F598" s="498"/>
      <c r="G598" s="656">
        <f t="shared" si="223"/>
        <v>18970</v>
      </c>
      <c r="H598" s="500">
        <f t="shared" si="219"/>
        <v>0</v>
      </c>
      <c r="I598" s="501"/>
      <c r="J598" s="502"/>
      <c r="K598" s="656">
        <f t="shared" si="224"/>
        <v>18970</v>
      </c>
      <c r="L598" s="500">
        <f t="shared" si="220"/>
        <v>0</v>
      </c>
      <c r="M598" s="501"/>
      <c r="N598" s="504">
        <f t="shared" si="221"/>
        <v>0</v>
      </c>
      <c r="O598" s="505" t="str">
        <f t="shared" si="222"/>
        <v/>
      </c>
      <c r="P598" s="480"/>
      <c r="Q598" s="480"/>
      <c r="R598" s="480"/>
      <c r="S598" s="480"/>
      <c r="T598" s="480"/>
    </row>
    <row r="599" spans="1:20" x14ac:dyDescent="0.2">
      <c r="A599" s="480"/>
      <c r="B599" s="507"/>
      <c r="C599" s="495"/>
      <c r="D599" s="496"/>
      <c r="E599" s="497"/>
      <c r="F599" s="498"/>
      <c r="G599" s="656">
        <f t="shared" si="223"/>
        <v>18970</v>
      </c>
      <c r="H599" s="500">
        <f t="shared" si="219"/>
        <v>0</v>
      </c>
      <c r="I599" s="501"/>
      <c r="J599" s="502"/>
      <c r="K599" s="656">
        <f t="shared" si="224"/>
        <v>18970</v>
      </c>
      <c r="L599" s="500">
        <f t="shared" si="220"/>
        <v>0</v>
      </c>
      <c r="M599" s="501"/>
      <c r="N599" s="504">
        <f t="shared" si="221"/>
        <v>0</v>
      </c>
      <c r="O599" s="505" t="str">
        <f t="shared" si="222"/>
        <v/>
      </c>
      <c r="P599" s="480"/>
      <c r="Q599" s="480"/>
      <c r="R599" s="480"/>
      <c r="S599" s="480"/>
      <c r="T599" s="480"/>
    </row>
    <row r="600" spans="1:20" x14ac:dyDescent="0.2">
      <c r="A600" s="480"/>
      <c r="B600" s="507"/>
      <c r="C600" s="495"/>
      <c r="D600" s="496"/>
      <c r="E600" s="497"/>
      <c r="F600" s="498"/>
      <c r="G600" s="656">
        <f t="shared" si="223"/>
        <v>18970</v>
      </c>
      <c r="H600" s="500">
        <f t="shared" si="219"/>
        <v>0</v>
      </c>
      <c r="I600" s="501"/>
      <c r="J600" s="502"/>
      <c r="K600" s="656">
        <f t="shared" si="224"/>
        <v>18970</v>
      </c>
      <c r="L600" s="500">
        <f t="shared" si="220"/>
        <v>0</v>
      </c>
      <c r="M600" s="501"/>
      <c r="N600" s="504">
        <f t="shared" si="221"/>
        <v>0</v>
      </c>
      <c r="O600" s="505" t="str">
        <f t="shared" si="222"/>
        <v/>
      </c>
      <c r="P600" s="480"/>
      <c r="Q600" s="480"/>
      <c r="R600" s="480"/>
      <c r="S600" s="480"/>
      <c r="T600" s="480"/>
    </row>
    <row r="601" spans="1:20" x14ac:dyDescent="0.2">
      <c r="A601" s="480"/>
      <c r="B601" s="507"/>
      <c r="C601" s="495"/>
      <c r="D601" s="496"/>
      <c r="E601" s="497"/>
      <c r="F601" s="498"/>
      <c r="G601" s="656">
        <f t="shared" si="223"/>
        <v>18970</v>
      </c>
      <c r="H601" s="500">
        <f t="shared" si="219"/>
        <v>0</v>
      </c>
      <c r="I601" s="501"/>
      <c r="J601" s="502"/>
      <c r="K601" s="656">
        <f t="shared" si="224"/>
        <v>18970</v>
      </c>
      <c r="L601" s="500">
        <f t="shared" si="220"/>
        <v>0</v>
      </c>
      <c r="M601" s="501"/>
      <c r="N601" s="504">
        <f t="shared" si="221"/>
        <v>0</v>
      </c>
      <c r="O601" s="505" t="str">
        <f t="shared" si="222"/>
        <v/>
      </c>
      <c r="P601" s="480"/>
      <c r="Q601" s="480"/>
      <c r="R601" s="480"/>
      <c r="S601" s="480"/>
      <c r="T601" s="480"/>
    </row>
    <row r="602" spans="1:20" x14ac:dyDescent="0.2">
      <c r="A602" s="480"/>
      <c r="B602" s="507"/>
      <c r="C602" s="495"/>
      <c r="D602" s="496"/>
      <c r="E602" s="497"/>
      <c r="F602" s="498"/>
      <c r="G602" s="656">
        <f t="shared" si="223"/>
        <v>18970</v>
      </c>
      <c r="H602" s="500">
        <f t="shared" si="219"/>
        <v>0</v>
      </c>
      <c r="I602" s="501"/>
      <c r="J602" s="502"/>
      <c r="K602" s="656">
        <f t="shared" si="224"/>
        <v>18970</v>
      </c>
      <c r="L602" s="500">
        <f t="shared" si="220"/>
        <v>0</v>
      </c>
      <c r="M602" s="501"/>
      <c r="N602" s="504">
        <f t="shared" si="221"/>
        <v>0</v>
      </c>
      <c r="O602" s="505" t="str">
        <f t="shared" si="222"/>
        <v/>
      </c>
      <c r="P602" s="480"/>
      <c r="Q602" s="480"/>
      <c r="R602" s="480"/>
      <c r="S602" s="480"/>
      <c r="T602" s="480"/>
    </row>
    <row r="603" spans="1:20" x14ac:dyDescent="0.2">
      <c r="A603" s="480"/>
      <c r="B603" s="508"/>
      <c r="C603" s="495"/>
      <c r="D603" s="496"/>
      <c r="E603" s="497"/>
      <c r="F603" s="498"/>
      <c r="G603" s="656">
        <f t="shared" si="223"/>
        <v>18970</v>
      </c>
      <c r="H603" s="500">
        <f t="shared" si="219"/>
        <v>0</v>
      </c>
      <c r="I603" s="501"/>
      <c r="J603" s="502"/>
      <c r="K603" s="656">
        <f t="shared" si="224"/>
        <v>18970</v>
      </c>
      <c r="L603" s="500">
        <f t="shared" si="220"/>
        <v>0</v>
      </c>
      <c r="M603" s="501"/>
      <c r="N603" s="504">
        <f t="shared" si="221"/>
        <v>0</v>
      </c>
      <c r="O603" s="505" t="str">
        <f t="shared" si="222"/>
        <v/>
      </c>
      <c r="P603" s="480"/>
      <c r="Q603" s="480"/>
      <c r="R603" s="480"/>
      <c r="S603" s="480"/>
      <c r="T603" s="480"/>
    </row>
    <row r="604" spans="1:20" x14ac:dyDescent="0.2">
      <c r="A604" s="480"/>
      <c r="B604" s="508"/>
      <c r="C604" s="495"/>
      <c r="D604" s="496"/>
      <c r="E604" s="497"/>
      <c r="F604" s="498"/>
      <c r="G604" s="656">
        <f t="shared" si="223"/>
        <v>18970</v>
      </c>
      <c r="H604" s="500">
        <f t="shared" si="219"/>
        <v>0</v>
      </c>
      <c r="I604" s="501"/>
      <c r="J604" s="502"/>
      <c r="K604" s="656">
        <f t="shared" si="224"/>
        <v>18970</v>
      </c>
      <c r="L604" s="500">
        <f t="shared" si="220"/>
        <v>0</v>
      </c>
      <c r="M604" s="501"/>
      <c r="N604" s="504">
        <f t="shared" si="221"/>
        <v>0</v>
      </c>
      <c r="O604" s="505" t="str">
        <f t="shared" si="222"/>
        <v/>
      </c>
      <c r="P604" s="480"/>
      <c r="Q604" s="480"/>
      <c r="R604" s="480"/>
      <c r="S604" s="480"/>
      <c r="T604" s="480"/>
    </row>
    <row r="605" spans="1:20" x14ac:dyDescent="0.2">
      <c r="A605" s="509"/>
      <c r="B605" s="510" t="s">
        <v>508</v>
      </c>
      <c r="C605" s="511"/>
      <c r="D605" s="512"/>
      <c r="E605" s="511"/>
      <c r="F605" s="513"/>
      <c r="G605" s="514"/>
      <c r="H605" s="515">
        <f>SUM(H589:H604)</f>
        <v>10959.279999999999</v>
      </c>
      <c r="I605" s="516"/>
      <c r="J605" s="517"/>
      <c r="K605" s="518"/>
      <c r="L605" s="515">
        <f>SUM(L589:L604)</f>
        <v>27539.050999999999</v>
      </c>
      <c r="M605" s="516"/>
      <c r="N605" s="519">
        <f t="shared" si="221"/>
        <v>16579.771000000001</v>
      </c>
      <c r="O605" s="520">
        <f t="shared" si="222"/>
        <v>1.5128522129190971</v>
      </c>
      <c r="P605" s="509"/>
      <c r="Q605" s="509"/>
      <c r="R605" s="509"/>
      <c r="S605" s="509"/>
      <c r="T605" s="509"/>
    </row>
    <row r="606" spans="1:20" ht="25.5" x14ac:dyDescent="0.2">
      <c r="A606" s="480"/>
      <c r="B606" s="521" t="s">
        <v>509</v>
      </c>
      <c r="C606" s="495"/>
      <c r="D606" s="496" t="s">
        <v>548</v>
      </c>
      <c r="E606" s="497"/>
      <c r="F606" s="502">
        <f>-0.6893+0.1488</f>
        <v>-0.54049999999999998</v>
      </c>
      <c r="G606" s="656">
        <f>$F$585</f>
        <v>18970</v>
      </c>
      <c r="H606" s="500">
        <f>G606*F606</f>
        <v>-10253.285</v>
      </c>
      <c r="I606" s="501"/>
      <c r="J606" s="502">
        <f>0.5729-0.0465</f>
        <v>0.52639999999999998</v>
      </c>
      <c r="K606" s="656">
        <f>$F$585</f>
        <v>18970</v>
      </c>
      <c r="L606" s="500">
        <f>K606*J606</f>
        <v>9985.8079999999991</v>
      </c>
      <c r="M606" s="501"/>
      <c r="N606" s="504">
        <f>L606-H606</f>
        <v>20239.093000000001</v>
      </c>
      <c r="O606" s="505">
        <f>IF((H606)=0,"",(N606/H606))*-1</f>
        <v>1.973913043478261</v>
      </c>
      <c r="P606" s="480"/>
      <c r="Q606" s="480"/>
      <c r="R606" s="480"/>
      <c r="S606" s="480"/>
      <c r="T606" s="480"/>
    </row>
    <row r="607" spans="1:20" x14ac:dyDescent="0.2">
      <c r="A607" s="480"/>
      <c r="B607" s="521"/>
      <c r="C607" s="495"/>
      <c r="D607" s="496"/>
      <c r="E607" s="497"/>
      <c r="F607" s="498"/>
      <c r="G607" s="656">
        <f t="shared" ref="G607:G610" si="225">$F$585</f>
        <v>18970</v>
      </c>
      <c r="H607" s="500">
        <f t="shared" ref="H607:H609" si="226">G607*F607</f>
        <v>0</v>
      </c>
      <c r="I607" s="522"/>
      <c r="J607" s="502"/>
      <c r="K607" s="656">
        <f t="shared" ref="K607:K610" si="227">$F$585</f>
        <v>18970</v>
      </c>
      <c r="L607" s="500">
        <f t="shared" ref="L607:L609" si="228">K607*J607</f>
        <v>0</v>
      </c>
      <c r="M607" s="523"/>
      <c r="N607" s="504">
        <f t="shared" ref="N607:N609" si="229">L607-H607</f>
        <v>0</v>
      </c>
      <c r="O607" s="505" t="str">
        <f t="shared" ref="O607:O609" si="230">IF((H607)=0,"",(N607/H607))</f>
        <v/>
      </c>
      <c r="P607" s="480"/>
      <c r="Q607" s="480"/>
      <c r="R607" s="480"/>
      <c r="S607" s="480"/>
      <c r="T607" s="480"/>
    </row>
    <row r="608" spans="1:20" x14ac:dyDescent="0.2">
      <c r="A608" s="480"/>
      <c r="B608" s="521"/>
      <c r="C608" s="495"/>
      <c r="D608" s="496"/>
      <c r="E608" s="497"/>
      <c r="F608" s="498"/>
      <c r="G608" s="656">
        <f t="shared" si="225"/>
        <v>18970</v>
      </c>
      <c r="H608" s="500">
        <f t="shared" si="226"/>
        <v>0</v>
      </c>
      <c r="I608" s="522"/>
      <c r="J608" s="502"/>
      <c r="K608" s="656">
        <f t="shared" si="227"/>
        <v>18970</v>
      </c>
      <c r="L608" s="500">
        <f t="shared" si="228"/>
        <v>0</v>
      </c>
      <c r="M608" s="523"/>
      <c r="N608" s="504">
        <f t="shared" si="229"/>
        <v>0</v>
      </c>
      <c r="O608" s="505" t="str">
        <f t="shared" si="230"/>
        <v/>
      </c>
      <c r="P608" s="480"/>
      <c r="Q608" s="480"/>
      <c r="R608" s="480"/>
      <c r="S608" s="480"/>
      <c r="T608" s="480"/>
    </row>
    <row r="609" spans="1:20" x14ac:dyDescent="0.2">
      <c r="A609" s="480"/>
      <c r="B609" s="521"/>
      <c r="C609" s="495"/>
      <c r="D609" s="496"/>
      <c r="E609" s="497"/>
      <c r="F609" s="498"/>
      <c r="G609" s="656">
        <f t="shared" si="225"/>
        <v>18970</v>
      </c>
      <c r="H609" s="500">
        <f t="shared" si="226"/>
        <v>0</v>
      </c>
      <c r="I609" s="522"/>
      <c r="J609" s="502"/>
      <c r="K609" s="656">
        <f t="shared" si="227"/>
        <v>18970</v>
      </c>
      <c r="L609" s="500">
        <f t="shared" si="228"/>
        <v>0</v>
      </c>
      <c r="M609" s="523"/>
      <c r="N609" s="504">
        <f t="shared" si="229"/>
        <v>0</v>
      </c>
      <c r="O609" s="505" t="str">
        <f t="shared" si="230"/>
        <v/>
      </c>
      <c r="P609" s="480"/>
      <c r="Q609" s="480"/>
      <c r="R609" s="480"/>
      <c r="S609" s="480"/>
      <c r="T609" s="480"/>
    </row>
    <row r="610" spans="1:20" x14ac:dyDescent="0.2">
      <c r="A610" s="480"/>
      <c r="B610" s="524" t="s">
        <v>510</v>
      </c>
      <c r="C610" s="495"/>
      <c r="D610" s="496" t="s">
        <v>548</v>
      </c>
      <c r="E610" s="497"/>
      <c r="F610" s="498"/>
      <c r="G610" s="656">
        <f t="shared" si="225"/>
        <v>18970</v>
      </c>
      <c r="H610" s="500">
        <f>G610*F610</f>
        <v>0</v>
      </c>
      <c r="I610" s="501"/>
      <c r="J610" s="502"/>
      <c r="K610" s="656">
        <f t="shared" si="227"/>
        <v>18970</v>
      </c>
      <c r="L610" s="500">
        <f>K610*J610</f>
        <v>0</v>
      </c>
      <c r="M610" s="501"/>
      <c r="N610" s="504">
        <f>L610-H610</f>
        <v>0</v>
      </c>
      <c r="O610" s="505" t="str">
        <f>IF((H610)=0,"",(N610/H610))</f>
        <v/>
      </c>
      <c r="P610" s="480"/>
      <c r="Q610" s="480"/>
      <c r="R610" s="480"/>
      <c r="S610" s="480"/>
      <c r="T610" s="480"/>
    </row>
    <row r="611" spans="1:20" x14ac:dyDescent="0.2">
      <c r="A611" s="480"/>
      <c r="B611" s="524" t="s">
        <v>511</v>
      </c>
      <c r="C611" s="495"/>
      <c r="D611" s="496" t="s">
        <v>500</v>
      </c>
      <c r="E611" s="497"/>
      <c r="F611" s="525">
        <f>IF(ISBLANK(D582)=TRUE, 0, IF(D582="TOU", 0.64*$F$110+0.18*$F$111+0.18*$F$112, IF(AND(D582="non-TOU",G622&gt; 0),F622,F621)))</f>
        <v>9.0999999999999998E-2</v>
      </c>
      <c r="G611" s="609">
        <f>$F$584*(1+$F$631)-$F$584</f>
        <v>184677.5</v>
      </c>
      <c r="H611" s="500">
        <f t="shared" ref="H611" si="231">G611*F611</f>
        <v>16805.6525</v>
      </c>
      <c r="I611" s="501"/>
      <c r="J611" s="525">
        <f>IF(ISBLANK(D582)=TRUE, 0, IF(D582="TOU", 0.64*$F$110+0.18*$F$111+0.18*$F$112, IF(AND(D582="non-TOU",K622&gt; 0),J622,J621)))</f>
        <v>9.0999999999999998E-2</v>
      </c>
      <c r="K611" s="609">
        <f>$F$584*(1+$J$631)-$F$584</f>
        <v>174384</v>
      </c>
      <c r="L611" s="500">
        <f t="shared" ref="L611" si="232">K611*J611</f>
        <v>15868.944</v>
      </c>
      <c r="M611" s="501"/>
      <c r="N611" s="504">
        <f t="shared" ref="N611" si="233">L611-H611</f>
        <v>-936.70850000000064</v>
      </c>
      <c r="O611" s="505">
        <f t="shared" ref="O611" si="234">IF((H611)=0,"",(N611/H611))</f>
        <v>-5.5737704918032822E-2</v>
      </c>
      <c r="P611" s="480"/>
      <c r="Q611" s="480"/>
      <c r="R611" s="480"/>
      <c r="S611" s="480"/>
      <c r="T611" s="480"/>
    </row>
    <row r="612" spans="1:20" x14ac:dyDescent="0.2">
      <c r="A612" s="480"/>
      <c r="B612" s="524" t="s">
        <v>512</v>
      </c>
      <c r="C612" s="495"/>
      <c r="D612" s="496"/>
      <c r="E612" s="497"/>
      <c r="F612" s="525">
        <v>0.79</v>
      </c>
      <c r="G612" s="499"/>
      <c r="H612" s="500">
        <f>G612*F612</f>
        <v>0</v>
      </c>
      <c r="I612" s="501"/>
      <c r="J612" s="525">
        <v>0.79</v>
      </c>
      <c r="K612" s="499"/>
      <c r="L612" s="500">
        <f>K612*J612</f>
        <v>0</v>
      </c>
      <c r="M612" s="501"/>
      <c r="N612" s="504">
        <f>L612-H612</f>
        <v>0</v>
      </c>
      <c r="O612" s="505"/>
      <c r="P612" s="480"/>
      <c r="Q612" s="480"/>
      <c r="R612" s="480"/>
      <c r="S612" s="480"/>
      <c r="T612" s="480"/>
    </row>
    <row r="613" spans="1:20" ht="25.5" x14ac:dyDescent="0.2">
      <c r="A613" s="480"/>
      <c r="B613" s="528" t="s">
        <v>513</v>
      </c>
      <c r="C613" s="529"/>
      <c r="D613" s="529"/>
      <c r="E613" s="529"/>
      <c r="F613" s="530"/>
      <c r="G613" s="531"/>
      <c r="H613" s="532">
        <f>SUM(H606:H612)+H605</f>
        <v>17511.647499999999</v>
      </c>
      <c r="I613" s="516"/>
      <c r="J613" s="531"/>
      <c r="K613" s="533"/>
      <c r="L613" s="532">
        <f>SUM(L606:L612)+L605</f>
        <v>53393.803</v>
      </c>
      <c r="M613" s="516"/>
      <c r="N613" s="519">
        <f t="shared" ref="N613:N622" si="235">L613-H613</f>
        <v>35882.155500000001</v>
      </c>
      <c r="O613" s="520">
        <f t="shared" ref="O613:O622" si="236">IF((H613)=0,"",(N613/H613))</f>
        <v>2.0490450998399781</v>
      </c>
      <c r="P613" s="480"/>
      <c r="Q613" s="480"/>
      <c r="R613" s="480"/>
      <c r="S613" s="480"/>
      <c r="T613" s="480"/>
    </row>
    <row r="614" spans="1:20" x14ac:dyDescent="0.2">
      <c r="A614" s="480"/>
      <c r="B614" s="501" t="s">
        <v>514</v>
      </c>
      <c r="C614" s="501"/>
      <c r="D614" s="534" t="s">
        <v>548</v>
      </c>
      <c r="E614" s="535"/>
      <c r="F614" s="502">
        <v>2.5638000000000001</v>
      </c>
      <c r="G614" s="536">
        <f>F585*(1+F631)</f>
        <v>19548.584999999999</v>
      </c>
      <c r="H614" s="500">
        <f>G614*F614</f>
        <v>50118.662222999999</v>
      </c>
      <c r="I614" s="501"/>
      <c r="J614" s="502">
        <v>2.9565999999999999</v>
      </c>
      <c r="K614" s="537">
        <f>F585*(1+J631)</f>
        <v>19516.335999999999</v>
      </c>
      <c r="L614" s="500">
        <f>K614*J614</f>
        <v>57701.999017599999</v>
      </c>
      <c r="M614" s="501"/>
      <c r="N614" s="504">
        <f t="shared" si="235"/>
        <v>7583.3367945999998</v>
      </c>
      <c r="O614" s="505">
        <f t="shared" si="236"/>
        <v>0.1513076458597078</v>
      </c>
      <c r="P614" s="480"/>
      <c r="Q614" s="480"/>
      <c r="R614" s="480"/>
      <c r="S614" s="480"/>
      <c r="T614" s="480"/>
    </row>
    <row r="615" spans="1:20" ht="30" x14ac:dyDescent="0.2">
      <c r="A615" s="480"/>
      <c r="B615" s="538" t="s">
        <v>515</v>
      </c>
      <c r="C615" s="501"/>
      <c r="D615" s="534" t="s">
        <v>548</v>
      </c>
      <c r="E615" s="535"/>
      <c r="F615" s="502">
        <v>2.3365</v>
      </c>
      <c r="G615" s="536">
        <f>G614</f>
        <v>19548.584999999999</v>
      </c>
      <c r="H615" s="500">
        <f>G615*F615</f>
        <v>45675.268852499998</v>
      </c>
      <c r="I615" s="501"/>
      <c r="J615" s="502">
        <v>2.3933</v>
      </c>
      <c r="K615" s="537">
        <f>K614</f>
        <v>19516.335999999999</v>
      </c>
      <c r="L615" s="500">
        <f>K615*J615</f>
        <v>46708.446948799996</v>
      </c>
      <c r="M615" s="501"/>
      <c r="N615" s="504">
        <f t="shared" si="235"/>
        <v>1033.1780962999983</v>
      </c>
      <c r="O615" s="505">
        <f t="shared" si="236"/>
        <v>2.262007695316386E-2</v>
      </c>
      <c r="P615" s="480"/>
      <c r="Q615" s="480"/>
      <c r="R615" s="480"/>
      <c r="S615" s="480"/>
      <c r="T615" s="480"/>
    </row>
    <row r="616" spans="1:20" ht="25.5" x14ac:dyDescent="0.2">
      <c r="A616" s="480"/>
      <c r="B616" s="528" t="s">
        <v>516</v>
      </c>
      <c r="C616" s="511"/>
      <c r="D616" s="511"/>
      <c r="E616" s="511"/>
      <c r="F616" s="539"/>
      <c r="G616" s="531"/>
      <c r="H616" s="532">
        <f>SUM(H613:H615)</f>
        <v>113305.5785755</v>
      </c>
      <c r="I616" s="540"/>
      <c r="J616" s="541"/>
      <c r="K616" s="542"/>
      <c r="L616" s="532">
        <f>SUM(L613:L615)</f>
        <v>157804.24896639999</v>
      </c>
      <c r="M616" s="540"/>
      <c r="N616" s="519">
        <f t="shared" si="235"/>
        <v>44498.670390899992</v>
      </c>
      <c r="O616" s="520">
        <f t="shared" si="236"/>
        <v>0.39273150492981918</v>
      </c>
      <c r="P616" s="480"/>
      <c r="Q616" s="480"/>
      <c r="R616" s="480"/>
      <c r="S616" s="480"/>
      <c r="T616" s="480"/>
    </row>
    <row r="617" spans="1:20" ht="30" x14ac:dyDescent="0.2">
      <c r="A617" s="480"/>
      <c r="B617" s="543" t="s">
        <v>517</v>
      </c>
      <c r="C617" s="495"/>
      <c r="D617" s="496" t="s">
        <v>500</v>
      </c>
      <c r="E617" s="497"/>
      <c r="F617" s="544">
        <v>4.4000000000000003E-3</v>
      </c>
      <c r="G617" s="536">
        <f>F584*(1+F631)</f>
        <v>6239677.5</v>
      </c>
      <c r="H617" s="545">
        <f t="shared" ref="H617:H620" si="237">G617*F617</f>
        <v>27454.581000000002</v>
      </c>
      <c r="I617" s="501"/>
      <c r="J617" s="546">
        <v>4.4000000000000003E-3</v>
      </c>
      <c r="K617" s="537">
        <f>F584*(1+J631)</f>
        <v>6229384</v>
      </c>
      <c r="L617" s="545">
        <f t="shared" ref="L617:L620" si="238">K617*J617</f>
        <v>27409.2896</v>
      </c>
      <c r="M617" s="501"/>
      <c r="N617" s="504">
        <f t="shared" si="235"/>
        <v>-45.291400000001886</v>
      </c>
      <c r="O617" s="547">
        <f t="shared" si="236"/>
        <v>-1.649684619117002E-3</v>
      </c>
      <c r="P617" s="480"/>
      <c r="Q617" s="480"/>
      <c r="R617" s="480"/>
      <c r="S617" s="480"/>
      <c r="T617" s="480"/>
    </row>
    <row r="618" spans="1:20" ht="30" x14ac:dyDescent="0.2">
      <c r="A618" s="480"/>
      <c r="B618" s="543" t="s">
        <v>518</v>
      </c>
      <c r="C618" s="495"/>
      <c r="D618" s="496" t="s">
        <v>500</v>
      </c>
      <c r="E618" s="497"/>
      <c r="F618" s="544">
        <v>1.1999999999999999E-3</v>
      </c>
      <c r="G618" s="536">
        <f>G617</f>
        <v>6239677.5</v>
      </c>
      <c r="H618" s="545">
        <f t="shared" si="237"/>
        <v>7487.6129999999994</v>
      </c>
      <c r="I618" s="501"/>
      <c r="J618" s="546">
        <v>1.2999999999999999E-3</v>
      </c>
      <c r="K618" s="537">
        <f>K617</f>
        <v>6229384</v>
      </c>
      <c r="L618" s="545">
        <f t="shared" si="238"/>
        <v>8098.1992</v>
      </c>
      <c r="M618" s="501"/>
      <c r="N618" s="504">
        <f t="shared" si="235"/>
        <v>610.58620000000064</v>
      </c>
      <c r="O618" s="547">
        <f t="shared" si="236"/>
        <v>8.1546174995956747E-2</v>
      </c>
      <c r="P618" s="480"/>
      <c r="Q618" s="480"/>
      <c r="R618" s="480"/>
      <c r="S618" s="480"/>
      <c r="T618" s="480"/>
    </row>
    <row r="619" spans="1:20" x14ac:dyDescent="0.2">
      <c r="A619" s="480"/>
      <c r="B619" s="495" t="s">
        <v>519</v>
      </c>
      <c r="C619" s="495"/>
      <c r="D619" s="496" t="s">
        <v>497</v>
      </c>
      <c r="E619" s="497"/>
      <c r="F619" s="544">
        <v>0.25</v>
      </c>
      <c r="G619" s="499">
        <v>2973</v>
      </c>
      <c r="H619" s="545">
        <f t="shared" si="237"/>
        <v>743.25</v>
      </c>
      <c r="I619" s="501"/>
      <c r="J619" s="546">
        <v>0.25</v>
      </c>
      <c r="K619" s="503">
        <v>2973</v>
      </c>
      <c r="L619" s="545">
        <f t="shared" si="238"/>
        <v>743.25</v>
      </c>
      <c r="M619" s="501"/>
      <c r="N619" s="504">
        <f t="shared" si="235"/>
        <v>0</v>
      </c>
      <c r="O619" s="547">
        <f t="shared" si="236"/>
        <v>0</v>
      </c>
      <c r="P619" s="480"/>
      <c r="Q619" s="480"/>
      <c r="R619" s="480"/>
      <c r="S619" s="480"/>
      <c r="T619" s="480"/>
    </row>
    <row r="620" spans="1:20" x14ac:dyDescent="0.2">
      <c r="A620" s="480"/>
      <c r="B620" s="495" t="s">
        <v>520</v>
      </c>
      <c r="C620" s="495"/>
      <c r="D620" s="496" t="s">
        <v>500</v>
      </c>
      <c r="E620" s="497"/>
      <c r="F620" s="544">
        <v>7.0000000000000001E-3</v>
      </c>
      <c r="G620" s="548">
        <f>F584</f>
        <v>6055000</v>
      </c>
      <c r="H620" s="545">
        <f t="shared" si="237"/>
        <v>42385</v>
      </c>
      <c r="I620" s="501"/>
      <c r="J620" s="546">
        <v>7.0000000000000001E-3</v>
      </c>
      <c r="K620" s="549">
        <f>F584</f>
        <v>6055000</v>
      </c>
      <c r="L620" s="545">
        <f t="shared" si="238"/>
        <v>42385</v>
      </c>
      <c r="M620" s="501"/>
      <c r="N620" s="504">
        <f t="shared" si="235"/>
        <v>0</v>
      </c>
      <c r="O620" s="547">
        <f t="shared" si="236"/>
        <v>0</v>
      </c>
      <c r="P620" s="480"/>
      <c r="Q620" s="480"/>
      <c r="R620" s="480"/>
      <c r="S620" s="480"/>
      <c r="T620" s="480"/>
    </row>
    <row r="621" spans="1:20" x14ac:dyDescent="0.2">
      <c r="A621" s="597"/>
      <c r="B621" s="610" t="s">
        <v>549</v>
      </c>
      <c r="C621" s="611"/>
      <c r="D621" s="612" t="s">
        <v>500</v>
      </c>
      <c r="E621" s="613"/>
      <c r="F621" s="550">
        <v>7.8E-2</v>
      </c>
      <c r="G621" s="614">
        <f>IF(AND($T$2=1, F584&gt;=600), 600, IF(AND($T$2=1, AND(F584&lt;600, F584&gt;=0)), F584, IF(AND($T$3=2, F584&gt;=1000), 1000, IF(AND($T$3=2, AND(F584&lt;1000, F584&gt;=0)), F584))))</f>
        <v>600</v>
      </c>
      <c r="H621" s="545">
        <f>G621*F621</f>
        <v>46.8</v>
      </c>
      <c r="I621" s="615"/>
      <c r="J621" s="544">
        <v>7.8E-2</v>
      </c>
      <c r="K621" s="614">
        <f>G621</f>
        <v>600</v>
      </c>
      <c r="L621" s="545">
        <f>K621*J621</f>
        <v>46.8</v>
      </c>
      <c r="M621" s="615"/>
      <c r="N621" s="616">
        <f t="shared" si="235"/>
        <v>0</v>
      </c>
      <c r="O621" s="547">
        <f t="shared" si="236"/>
        <v>0</v>
      </c>
      <c r="P621" s="597"/>
      <c r="Q621" s="597"/>
      <c r="R621" s="597"/>
      <c r="S621" s="597"/>
      <c r="T621" s="597"/>
    </row>
    <row r="622" spans="1:20" ht="15.75" thickBot="1" x14ac:dyDescent="0.25">
      <c r="A622" s="597"/>
      <c r="B622" s="610" t="s">
        <v>550</v>
      </c>
      <c r="C622" s="611"/>
      <c r="D622" s="612" t="s">
        <v>500</v>
      </c>
      <c r="E622" s="613"/>
      <c r="F622" s="550">
        <v>9.0999999999999998E-2</v>
      </c>
      <c r="G622" s="614">
        <f>IF(AND($T$2=1, F584&gt;=600), F584-600, IF(AND($T$2=1, AND(F584&lt;600, F584&gt;=0)), 0, IF(AND($T$3=2, F584&gt;=1000), F584-1000, IF(AND($T$3=2, AND(F584&lt;1000, F584&gt;=0)), 0))))</f>
        <v>6054400</v>
      </c>
      <c r="H622" s="545">
        <f>G622*F622</f>
        <v>550950.40000000002</v>
      </c>
      <c r="I622" s="615"/>
      <c r="J622" s="544">
        <v>9.0999999999999998E-2</v>
      </c>
      <c r="K622" s="614">
        <f>G622</f>
        <v>6054400</v>
      </c>
      <c r="L622" s="545">
        <f>K622*J622</f>
        <v>550950.40000000002</v>
      </c>
      <c r="M622" s="615"/>
      <c r="N622" s="616">
        <f t="shared" si="235"/>
        <v>0</v>
      </c>
      <c r="O622" s="547">
        <f t="shared" si="236"/>
        <v>0</v>
      </c>
      <c r="P622" s="597"/>
      <c r="Q622" s="597"/>
      <c r="R622" s="597"/>
      <c r="S622" s="597"/>
      <c r="T622" s="597"/>
    </row>
    <row r="623" spans="1:20" ht="15.75" thickBot="1" x14ac:dyDescent="0.25">
      <c r="A623" s="480"/>
      <c r="B623" s="553"/>
      <c r="C623" s="554"/>
      <c r="D623" s="555"/>
      <c r="E623" s="554"/>
      <c r="F623" s="556"/>
      <c r="G623" s="557"/>
      <c r="H623" s="558"/>
      <c r="I623" s="559"/>
      <c r="J623" s="556"/>
      <c r="K623" s="560"/>
      <c r="L623" s="558"/>
      <c r="M623" s="559"/>
      <c r="N623" s="561"/>
      <c r="O623" s="562"/>
      <c r="P623" s="480"/>
      <c r="Q623" s="480"/>
      <c r="R623" s="480"/>
      <c r="S623" s="480"/>
      <c r="T623" s="480"/>
    </row>
    <row r="624" spans="1:20" x14ac:dyDescent="0.2">
      <c r="A624" s="480"/>
      <c r="B624" s="563" t="s">
        <v>524</v>
      </c>
      <c r="C624" s="495"/>
      <c r="D624" s="495"/>
      <c r="E624" s="495"/>
      <c r="F624" s="564"/>
      <c r="G624" s="565"/>
      <c r="H624" s="566">
        <f>SUM(H617:H622,H616)</f>
        <v>742373.22257550014</v>
      </c>
      <c r="I624" s="567"/>
      <c r="J624" s="568"/>
      <c r="K624" s="568"/>
      <c r="L624" s="566">
        <f>SUM(L617:L622,L616)</f>
        <v>787437.18776639993</v>
      </c>
      <c r="M624" s="569"/>
      <c r="N624" s="570">
        <f t="shared" ref="N624:N628" si="239">L624-H624</f>
        <v>45063.965190899791</v>
      </c>
      <c r="O624" s="571">
        <f t="shared" ref="O624:O628" si="240">IF((H624)=0,"",(N624/H624))</f>
        <v>6.0702573611909526E-2</v>
      </c>
      <c r="P624" s="480"/>
      <c r="Q624" s="480"/>
      <c r="R624" s="480"/>
      <c r="S624" s="552"/>
      <c r="T624" s="480"/>
    </row>
    <row r="625" spans="1:20" x14ac:dyDescent="0.2">
      <c r="A625" s="480"/>
      <c r="B625" s="572" t="s">
        <v>525</v>
      </c>
      <c r="C625" s="495"/>
      <c r="D625" s="495"/>
      <c r="E625" s="495"/>
      <c r="F625" s="573">
        <v>0.13</v>
      </c>
      <c r="G625" s="574"/>
      <c r="H625" s="575">
        <f>H624*F625</f>
        <v>96508.518934815016</v>
      </c>
      <c r="I625" s="576"/>
      <c r="J625" s="577">
        <v>0.13</v>
      </c>
      <c r="K625" s="576"/>
      <c r="L625" s="578">
        <f>L624*J625</f>
        <v>102366.83440963199</v>
      </c>
      <c r="M625" s="579"/>
      <c r="N625" s="580">
        <f t="shared" si="239"/>
        <v>5858.3154748169763</v>
      </c>
      <c r="O625" s="581">
        <f t="shared" si="240"/>
        <v>6.070257361190956E-2</v>
      </c>
      <c r="P625" s="480"/>
      <c r="Q625" s="480"/>
      <c r="R625" s="480"/>
      <c r="S625" s="552"/>
      <c r="T625" s="480"/>
    </row>
    <row r="626" spans="1:20" x14ac:dyDescent="0.2">
      <c r="A626" s="480"/>
      <c r="B626" s="582" t="s">
        <v>526</v>
      </c>
      <c r="C626" s="495"/>
      <c r="D626" s="495"/>
      <c r="E626" s="495"/>
      <c r="F626" s="583"/>
      <c r="G626" s="574"/>
      <c r="H626" s="575">
        <f>H624+H625</f>
        <v>838881.7415103151</v>
      </c>
      <c r="I626" s="576"/>
      <c r="J626" s="576"/>
      <c r="K626" s="576"/>
      <c r="L626" s="578">
        <f>L624+L625</f>
        <v>889804.02217603195</v>
      </c>
      <c r="M626" s="579"/>
      <c r="N626" s="580">
        <f t="shared" si="239"/>
        <v>50922.280665716855</v>
      </c>
      <c r="O626" s="581">
        <f t="shared" si="240"/>
        <v>6.0702573611909637E-2</v>
      </c>
      <c r="P626" s="480"/>
      <c r="Q626" s="480"/>
      <c r="R626" s="480"/>
      <c r="S626" s="552"/>
      <c r="T626" s="480"/>
    </row>
    <row r="627" spans="1:20" x14ac:dyDescent="0.2">
      <c r="A627" s="480"/>
      <c r="B627" s="964" t="s">
        <v>527</v>
      </c>
      <c r="C627" s="964"/>
      <c r="D627" s="964"/>
      <c r="E627" s="495"/>
      <c r="F627" s="583"/>
      <c r="G627" s="574"/>
      <c r="H627" s="584"/>
      <c r="I627" s="576"/>
      <c r="J627" s="576"/>
      <c r="K627" s="576"/>
      <c r="L627" s="585"/>
      <c r="M627" s="579"/>
      <c r="N627" s="586">
        <f t="shared" si="239"/>
        <v>0</v>
      </c>
      <c r="O627" s="587" t="str">
        <f t="shared" si="240"/>
        <v/>
      </c>
      <c r="P627" s="480"/>
      <c r="Q627" s="480"/>
      <c r="R627" s="480"/>
      <c r="S627" s="480"/>
      <c r="T627" s="480"/>
    </row>
    <row r="628" spans="1:20" ht="15.75" thickBot="1" x14ac:dyDescent="0.25">
      <c r="A628" s="480"/>
      <c r="B628" s="965" t="s">
        <v>528</v>
      </c>
      <c r="C628" s="965"/>
      <c r="D628" s="965"/>
      <c r="E628" s="588"/>
      <c r="F628" s="589"/>
      <c r="G628" s="590"/>
      <c r="H628" s="591">
        <f>H626+H627</f>
        <v>838881.7415103151</v>
      </c>
      <c r="I628" s="592"/>
      <c r="J628" s="592"/>
      <c r="K628" s="592"/>
      <c r="L628" s="593">
        <f>L626+L627</f>
        <v>889804.02217603195</v>
      </c>
      <c r="M628" s="594"/>
      <c r="N628" s="595">
        <f t="shared" si="239"/>
        <v>50922.280665716855</v>
      </c>
      <c r="O628" s="596">
        <f t="shared" si="240"/>
        <v>6.0702573611909637E-2</v>
      </c>
      <c r="P628" s="480"/>
      <c r="Q628" s="480"/>
      <c r="R628" s="480"/>
      <c r="S628" s="480"/>
      <c r="T628" s="480"/>
    </row>
    <row r="629" spans="1:20" ht="15.75" thickBot="1" x14ac:dyDescent="0.25">
      <c r="A629" s="597"/>
      <c r="B629" s="598"/>
      <c r="C629" s="599"/>
      <c r="D629" s="600"/>
      <c r="E629" s="599"/>
      <c r="F629" s="556"/>
      <c r="G629" s="601"/>
      <c r="H629" s="558"/>
      <c r="I629" s="602"/>
      <c r="J629" s="556"/>
      <c r="K629" s="603"/>
      <c r="L629" s="558"/>
      <c r="M629" s="602"/>
      <c r="N629" s="604"/>
      <c r="O629" s="562"/>
      <c r="P629" s="597"/>
      <c r="Q629" s="597"/>
      <c r="R629" s="597"/>
      <c r="S629" s="597"/>
      <c r="T629" s="597"/>
    </row>
    <row r="630" spans="1:20" x14ac:dyDescent="0.2">
      <c r="A630" s="480"/>
      <c r="B630" s="480"/>
      <c r="C630" s="480"/>
      <c r="D630" s="480"/>
      <c r="E630" s="480"/>
      <c r="F630" s="480"/>
      <c r="G630" s="480"/>
      <c r="H630" s="480"/>
      <c r="I630" s="480"/>
      <c r="J630" s="480"/>
      <c r="K630" s="480"/>
      <c r="L630" s="552"/>
      <c r="M630" s="480"/>
      <c r="N630" s="480"/>
      <c r="O630" s="480"/>
      <c r="P630" s="480"/>
      <c r="Q630" s="480"/>
      <c r="R630" s="480"/>
      <c r="S630" s="480"/>
      <c r="T630" s="480"/>
    </row>
    <row r="631" spans="1:20" x14ac:dyDescent="0.2">
      <c r="A631" s="480"/>
      <c r="B631" s="486" t="s">
        <v>529</v>
      </c>
      <c r="C631" s="480"/>
      <c r="D631" s="480"/>
      <c r="E631" s="480"/>
      <c r="F631" s="605">
        <v>3.0499999999999999E-2</v>
      </c>
      <c r="G631" s="480"/>
      <c r="H631" s="480"/>
      <c r="I631" s="480"/>
      <c r="J631" s="605">
        <v>2.8799999999999999E-2</v>
      </c>
      <c r="K631" s="480"/>
      <c r="L631" s="480"/>
      <c r="M631" s="480"/>
      <c r="N631" s="480"/>
      <c r="O631" s="480"/>
      <c r="P631" s="480"/>
      <c r="Q631" s="480"/>
      <c r="R631" s="480"/>
      <c r="S631" s="480"/>
      <c r="T631" s="480"/>
    </row>
    <row r="632" spans="1:20" x14ac:dyDescent="0.2">
      <c r="A632" s="480"/>
      <c r="B632" s="480"/>
      <c r="C632" s="480"/>
      <c r="D632" s="480"/>
      <c r="E632" s="480"/>
      <c r="F632" s="480"/>
      <c r="G632" s="480"/>
      <c r="H632" s="480"/>
      <c r="I632" s="480"/>
      <c r="J632" s="480"/>
      <c r="K632" s="480"/>
      <c r="L632" s="480"/>
      <c r="M632" s="480"/>
      <c r="N632" s="480"/>
      <c r="O632" s="480"/>
      <c r="P632" s="480"/>
      <c r="Q632" s="480"/>
      <c r="R632" s="480"/>
      <c r="S632" s="480"/>
      <c r="T632" s="480"/>
    </row>
    <row r="633" spans="1:20" x14ac:dyDescent="0.2">
      <c r="A633" s="606" t="s">
        <v>531</v>
      </c>
      <c r="B633" s="480"/>
      <c r="C633" s="480"/>
      <c r="D633" s="480"/>
      <c r="E633" s="480"/>
      <c r="F633" s="480"/>
      <c r="G633" s="480"/>
      <c r="H633" s="480"/>
      <c r="I633" s="480"/>
      <c r="J633" s="480"/>
      <c r="K633" s="480"/>
      <c r="L633" s="480"/>
      <c r="M633" s="480"/>
      <c r="N633" s="480"/>
      <c r="O633" s="480"/>
      <c r="P633" s="480"/>
      <c r="Q633" s="480"/>
      <c r="R633" s="480"/>
      <c r="S633" s="480"/>
      <c r="T633" s="480"/>
    </row>
    <row r="634" spans="1:20" x14ac:dyDescent="0.2">
      <c r="A634" s="480"/>
      <c r="B634" s="480"/>
      <c r="C634" s="480"/>
      <c r="D634" s="480"/>
      <c r="E634" s="480"/>
      <c r="F634" s="480"/>
      <c r="G634" s="480"/>
      <c r="H634" s="480"/>
      <c r="I634" s="480"/>
      <c r="J634" s="480"/>
      <c r="K634" s="480"/>
      <c r="L634" s="480"/>
      <c r="M634" s="480"/>
      <c r="N634" s="480"/>
      <c r="O634" s="480"/>
      <c r="P634" s="480"/>
      <c r="Q634" s="480"/>
      <c r="R634" s="480"/>
      <c r="S634" s="480"/>
      <c r="T634" s="480"/>
    </row>
    <row r="635" spans="1:20" x14ac:dyDescent="0.2">
      <c r="A635" s="480"/>
      <c r="B635" s="480"/>
      <c r="C635" s="480"/>
      <c r="D635" s="480"/>
      <c r="E635" s="480"/>
      <c r="F635" s="480"/>
      <c r="G635" s="480"/>
      <c r="H635" s="480"/>
      <c r="I635" s="480"/>
      <c r="J635" s="480"/>
      <c r="K635" s="480"/>
      <c r="L635" s="480"/>
      <c r="M635" s="480"/>
      <c r="N635" s="480"/>
      <c r="O635" s="480"/>
      <c r="P635" s="480"/>
      <c r="Q635" s="480"/>
      <c r="R635" s="480"/>
      <c r="S635" s="480"/>
      <c r="T635" s="480"/>
    </row>
  </sheetData>
  <mergeCells count="102">
    <mergeCell ref="A3:K3"/>
    <mergeCell ref="B10:O10"/>
    <mergeCell ref="B11:O11"/>
    <mergeCell ref="D14:O14"/>
    <mergeCell ref="F20:H20"/>
    <mergeCell ref="J20:L20"/>
    <mergeCell ref="N20:O20"/>
    <mergeCell ref="F75:H75"/>
    <mergeCell ref="J75:L75"/>
    <mergeCell ref="N75:O75"/>
    <mergeCell ref="D76:D77"/>
    <mergeCell ref="N76:N77"/>
    <mergeCell ref="O76:O77"/>
    <mergeCell ref="D21:D22"/>
    <mergeCell ref="N21:N22"/>
    <mergeCell ref="O21:O22"/>
    <mergeCell ref="B62:D62"/>
    <mergeCell ref="B63:D63"/>
    <mergeCell ref="D69:O69"/>
    <mergeCell ref="D145:D146"/>
    <mergeCell ref="N145:N146"/>
    <mergeCell ref="O145:O146"/>
    <mergeCell ref="B186:D186"/>
    <mergeCell ref="B187:D187"/>
    <mergeCell ref="D193:O193"/>
    <mergeCell ref="B117:D117"/>
    <mergeCell ref="B118:D118"/>
    <mergeCell ref="D138:O138"/>
    <mergeCell ref="F144:H144"/>
    <mergeCell ref="J144:L144"/>
    <mergeCell ref="N144:O144"/>
    <mergeCell ref="B241:D241"/>
    <mergeCell ref="B242:D242"/>
    <mergeCell ref="D249:O249"/>
    <mergeCell ref="F255:H255"/>
    <mergeCell ref="J255:L255"/>
    <mergeCell ref="N255:O255"/>
    <mergeCell ref="F199:H199"/>
    <mergeCell ref="J199:L199"/>
    <mergeCell ref="N199:O199"/>
    <mergeCell ref="D200:D201"/>
    <mergeCell ref="N200:N201"/>
    <mergeCell ref="O200:O201"/>
    <mergeCell ref="F311:H311"/>
    <mergeCell ref="J311:L311"/>
    <mergeCell ref="N311:O311"/>
    <mergeCell ref="D312:D313"/>
    <mergeCell ref="N312:N313"/>
    <mergeCell ref="O312:O313"/>
    <mergeCell ref="D256:D257"/>
    <mergeCell ref="N256:N257"/>
    <mergeCell ref="O256:O257"/>
    <mergeCell ref="B297:D297"/>
    <mergeCell ref="B298:D298"/>
    <mergeCell ref="D305:O305"/>
    <mergeCell ref="D367:D368"/>
    <mergeCell ref="N367:N368"/>
    <mergeCell ref="O367:O368"/>
    <mergeCell ref="B407:D407"/>
    <mergeCell ref="B408:D408"/>
    <mergeCell ref="D415:O415"/>
    <mergeCell ref="B352:D352"/>
    <mergeCell ref="B353:D353"/>
    <mergeCell ref="D360:O360"/>
    <mergeCell ref="F366:H366"/>
    <mergeCell ref="J366:L366"/>
    <mergeCell ref="N366:O366"/>
    <mergeCell ref="B462:D462"/>
    <mergeCell ref="B463:D463"/>
    <mergeCell ref="D470:O470"/>
    <mergeCell ref="F476:H476"/>
    <mergeCell ref="J476:L476"/>
    <mergeCell ref="N476:O476"/>
    <mergeCell ref="F421:H421"/>
    <mergeCell ref="J421:L421"/>
    <mergeCell ref="N421:O421"/>
    <mergeCell ref="D422:D423"/>
    <mergeCell ref="N422:N423"/>
    <mergeCell ref="O422:O423"/>
    <mergeCell ref="F531:H531"/>
    <mergeCell ref="J531:L531"/>
    <mergeCell ref="N531:O531"/>
    <mergeCell ref="D532:D533"/>
    <mergeCell ref="N532:N533"/>
    <mergeCell ref="O532:O533"/>
    <mergeCell ref="D477:D478"/>
    <mergeCell ref="N477:N478"/>
    <mergeCell ref="O477:O478"/>
    <mergeCell ref="B517:D517"/>
    <mergeCell ref="B518:D518"/>
    <mergeCell ref="D525:O525"/>
    <mergeCell ref="D587:D588"/>
    <mergeCell ref="N587:N588"/>
    <mergeCell ref="O587:O588"/>
    <mergeCell ref="B627:D627"/>
    <mergeCell ref="B628:D628"/>
    <mergeCell ref="B572:D572"/>
    <mergeCell ref="B573:D573"/>
    <mergeCell ref="D580:O580"/>
    <mergeCell ref="F586:H586"/>
    <mergeCell ref="J586:L586"/>
    <mergeCell ref="N586:O58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G46" sqref="G46"/>
    </sheetView>
  </sheetViews>
  <sheetFormatPr defaultRowHeight="15" x14ac:dyDescent="0.2"/>
  <cols>
    <col min="3" max="3" width="12.109375" customWidth="1"/>
    <col min="4" max="4" width="11.88671875" customWidth="1"/>
    <col min="5" max="5" width="10.5546875" customWidth="1"/>
    <col min="6" max="6" width="10" customWidth="1"/>
    <col min="7" max="7" width="16.109375" customWidth="1"/>
    <col min="8" max="8" width="10.6640625" customWidth="1"/>
    <col min="9" max="9" width="9.77734375" customWidth="1"/>
  </cols>
  <sheetData>
    <row r="1" spans="1:9" x14ac:dyDescent="0.2">
      <c r="A1" s="2"/>
      <c r="B1" s="2"/>
      <c r="C1" s="2"/>
      <c r="D1" s="2"/>
      <c r="E1" s="2"/>
      <c r="F1" s="2"/>
      <c r="G1" s="2"/>
      <c r="H1" s="180" t="s">
        <v>106</v>
      </c>
      <c r="I1" s="661" t="str">
        <f>EBNUMBER</f>
        <v>EB-2013-0134</v>
      </c>
    </row>
    <row r="2" spans="1:9" x14ac:dyDescent="0.2">
      <c r="A2" s="2"/>
      <c r="B2" s="2"/>
      <c r="C2" s="2"/>
      <c r="D2" s="2"/>
      <c r="E2" s="2"/>
      <c r="F2" s="2"/>
      <c r="G2" s="2"/>
      <c r="H2" s="180" t="s">
        <v>107</v>
      </c>
      <c r="I2" s="182">
        <v>6</v>
      </c>
    </row>
    <row r="3" spans="1:9" x14ac:dyDescent="0.2">
      <c r="A3" s="2"/>
      <c r="B3" s="2"/>
      <c r="C3" s="2"/>
      <c r="D3" s="2"/>
      <c r="E3" s="2"/>
      <c r="F3" s="2"/>
      <c r="G3" s="2"/>
      <c r="H3" s="180" t="s">
        <v>108</v>
      </c>
      <c r="I3" s="182">
        <v>1</v>
      </c>
    </row>
    <row r="4" spans="1:9" x14ac:dyDescent="0.2">
      <c r="A4" s="2"/>
      <c r="B4" s="2"/>
      <c r="C4" s="2"/>
      <c r="D4" s="2"/>
      <c r="E4" s="2"/>
      <c r="F4" s="2"/>
      <c r="G4" s="2"/>
      <c r="H4" s="180" t="s">
        <v>109</v>
      </c>
      <c r="I4" s="182">
        <v>2</v>
      </c>
    </row>
    <row r="5" spans="1:9" x14ac:dyDescent="0.2">
      <c r="A5" s="2"/>
      <c r="B5" s="2"/>
      <c r="C5" s="2"/>
      <c r="D5" s="2"/>
      <c r="E5" s="2"/>
      <c r="F5" s="2"/>
      <c r="G5" s="2"/>
      <c r="H5" s="180" t="s">
        <v>110</v>
      </c>
      <c r="I5" s="663">
        <v>2</v>
      </c>
    </row>
    <row r="6" spans="1:9" x14ac:dyDescent="0.2">
      <c r="A6" s="2"/>
      <c r="B6" s="2"/>
      <c r="C6" s="2"/>
      <c r="D6" s="2"/>
      <c r="E6" s="2"/>
      <c r="F6" s="2"/>
      <c r="G6" s="2"/>
      <c r="H6" s="180"/>
      <c r="I6" s="661"/>
    </row>
    <row r="7" spans="1:9" x14ac:dyDescent="0.2">
      <c r="A7" s="2"/>
      <c r="B7" s="2"/>
      <c r="C7" s="2"/>
      <c r="D7" s="2"/>
      <c r="E7" s="2"/>
      <c r="F7" s="2"/>
      <c r="G7" s="2"/>
      <c r="H7" s="180" t="s">
        <v>112</v>
      </c>
      <c r="I7" s="664">
        <v>41702</v>
      </c>
    </row>
    <row r="8" spans="1:9" x14ac:dyDescent="0.2">
      <c r="A8" s="2"/>
      <c r="B8" s="2"/>
      <c r="C8" s="2"/>
      <c r="D8" s="2"/>
      <c r="E8" s="2"/>
      <c r="F8" s="2"/>
      <c r="G8" s="2"/>
      <c r="H8" s="2"/>
      <c r="I8" s="2"/>
    </row>
    <row r="9" spans="1:9" ht="18" x14ac:dyDescent="0.25">
      <c r="A9" s="854" t="s">
        <v>667</v>
      </c>
      <c r="B9" s="855"/>
      <c r="C9" s="855"/>
      <c r="D9" s="855"/>
      <c r="E9" s="855"/>
      <c r="F9" s="855"/>
      <c r="G9" s="855"/>
      <c r="H9" s="855"/>
      <c r="I9" s="855"/>
    </row>
    <row r="10" spans="1:9" ht="18" x14ac:dyDescent="0.25">
      <c r="A10" s="856" t="s">
        <v>668</v>
      </c>
      <c r="B10" s="857"/>
      <c r="C10" s="857"/>
      <c r="D10" s="857"/>
      <c r="E10" s="857"/>
      <c r="F10" s="857"/>
      <c r="G10" s="857"/>
      <c r="H10" s="857"/>
      <c r="I10" s="857"/>
    </row>
    <row r="11" spans="1:9" ht="18" x14ac:dyDescent="0.25">
      <c r="A11" s="856" t="s">
        <v>669</v>
      </c>
      <c r="B11" s="857"/>
      <c r="C11" s="857"/>
      <c r="D11" s="857"/>
      <c r="E11" s="857"/>
      <c r="F11" s="857"/>
      <c r="G11" s="857"/>
      <c r="H11" s="857"/>
      <c r="I11" s="857"/>
    </row>
    <row r="12" spans="1:9" x14ac:dyDescent="0.2">
      <c r="A12" s="2"/>
      <c r="B12" s="2"/>
      <c r="C12" s="2"/>
      <c r="D12" s="2"/>
      <c r="E12" s="2"/>
      <c r="F12" s="2"/>
      <c r="G12" s="2"/>
      <c r="H12" s="2"/>
      <c r="I12" s="2"/>
    </row>
    <row r="13" spans="1:9" x14ac:dyDescent="0.2">
      <c r="A13" s="2"/>
      <c r="B13" s="2"/>
      <c r="C13" s="2"/>
      <c r="D13" s="2"/>
      <c r="E13" s="2"/>
      <c r="F13" s="2"/>
      <c r="G13" s="2"/>
      <c r="H13" s="2"/>
      <c r="I13" s="2"/>
    </row>
    <row r="14" spans="1:9" ht="15.75" thickBot="1" x14ac:dyDescent="0.25">
      <c r="A14" s="2"/>
      <c r="B14" s="2"/>
      <c r="C14" s="2"/>
      <c r="D14" s="2"/>
      <c r="E14" s="2"/>
      <c r="F14" s="2"/>
      <c r="G14" s="2"/>
      <c r="H14" s="2"/>
      <c r="I14" s="2"/>
    </row>
    <row r="15" spans="1:9" x14ac:dyDescent="0.2">
      <c r="A15" s="1028" t="s">
        <v>670</v>
      </c>
      <c r="B15" s="1029"/>
      <c r="C15" s="1030"/>
      <c r="D15" s="1031">
        <f>TestYear</f>
        <v>2014</v>
      </c>
      <c r="E15" s="1031">
        <f>TestYear</f>
        <v>2014</v>
      </c>
      <c r="F15" s="1032" t="s">
        <v>311</v>
      </c>
      <c r="G15" s="1033" t="s">
        <v>671</v>
      </c>
      <c r="H15" s="1034"/>
      <c r="I15" s="1035"/>
    </row>
    <row r="16" spans="1:9" x14ac:dyDescent="0.2">
      <c r="A16" s="1036"/>
      <c r="B16" s="1037"/>
      <c r="C16" s="1038"/>
      <c r="D16" s="1039" t="s">
        <v>672</v>
      </c>
      <c r="E16" s="1040" t="s">
        <v>5</v>
      </c>
      <c r="F16" s="1040"/>
      <c r="G16" s="1041" t="s">
        <v>673</v>
      </c>
      <c r="H16" s="1042"/>
      <c r="I16" s="1043"/>
    </row>
    <row r="17" spans="1:9" x14ac:dyDescent="0.2">
      <c r="A17" s="1036"/>
      <c r="B17" s="1037"/>
      <c r="C17" s="1038"/>
      <c r="D17" s="1039" t="s">
        <v>674</v>
      </c>
      <c r="E17" s="1039" t="s">
        <v>675</v>
      </c>
      <c r="F17" s="1044"/>
      <c r="G17" s="1041" t="s">
        <v>676</v>
      </c>
      <c r="H17" s="1042"/>
      <c r="I17" s="1043"/>
    </row>
    <row r="18" spans="1:9" x14ac:dyDescent="0.2">
      <c r="A18" s="1036"/>
      <c r="B18" s="1037"/>
      <c r="C18" s="1038"/>
      <c r="D18" s="1039" t="s">
        <v>677</v>
      </c>
      <c r="E18" s="1039" t="s">
        <v>677</v>
      </c>
      <c r="F18" s="1040"/>
      <c r="G18" s="1041" t="s">
        <v>678</v>
      </c>
      <c r="H18" s="1045"/>
      <c r="I18" s="1046"/>
    </row>
    <row r="19" spans="1:9" ht="15.75" thickBot="1" x14ac:dyDescent="0.25">
      <c r="A19" s="1047"/>
      <c r="B19" s="1048"/>
      <c r="C19" s="1049"/>
      <c r="D19" s="1050" t="s">
        <v>679</v>
      </c>
      <c r="E19" s="1051" t="s">
        <v>679</v>
      </c>
      <c r="F19" s="1040"/>
      <c r="G19" s="1052"/>
      <c r="H19" s="1053"/>
      <c r="I19" s="1054"/>
    </row>
    <row r="20" spans="1:9" x14ac:dyDescent="0.2">
      <c r="A20" s="1055" t="s">
        <v>680</v>
      </c>
      <c r="B20" s="1056"/>
      <c r="C20" s="1057"/>
      <c r="D20" s="1058">
        <v>43615106</v>
      </c>
      <c r="E20" s="1058">
        <v>42155406</v>
      </c>
      <c r="F20" s="1059">
        <f t="shared" ref="F20:F23" si="0">+D20-E20</f>
        <v>1459700</v>
      </c>
      <c r="G20" s="1060" t="s">
        <v>681</v>
      </c>
      <c r="H20" s="1061"/>
      <c r="I20" s="1062"/>
    </row>
    <row r="21" spans="1:9" x14ac:dyDescent="0.2">
      <c r="A21" s="1063" t="s">
        <v>682</v>
      </c>
      <c r="B21" s="1064"/>
      <c r="C21" s="1065"/>
      <c r="D21" s="1058">
        <v>48653321</v>
      </c>
      <c r="E21" s="1058">
        <v>45771032</v>
      </c>
      <c r="F21" s="1059">
        <f t="shared" si="0"/>
        <v>2882289</v>
      </c>
      <c r="G21" s="1066" t="s">
        <v>683</v>
      </c>
      <c r="H21" s="1067"/>
      <c r="I21" s="1068"/>
    </row>
    <row r="22" spans="1:9" x14ac:dyDescent="0.2">
      <c r="A22" s="1069" t="s">
        <v>684</v>
      </c>
      <c r="B22" s="1070"/>
      <c r="C22" s="1071"/>
      <c r="D22" s="1072">
        <f>(D20+D21)/2</f>
        <v>46134213.5</v>
      </c>
      <c r="E22" s="1059">
        <f>(E20+E21)/2</f>
        <v>43963219</v>
      </c>
      <c r="F22" s="1059">
        <f>(F20+F21)/2</f>
        <v>2170994.5</v>
      </c>
      <c r="G22" s="1066"/>
      <c r="H22" s="1067"/>
      <c r="I22" s="1068"/>
    </row>
    <row r="23" spans="1:9" ht="15.75" thickBot="1" x14ac:dyDescent="0.25">
      <c r="A23" s="1073" t="s">
        <v>685</v>
      </c>
      <c r="B23" s="1074"/>
      <c r="C23" s="1075"/>
      <c r="D23" s="1058">
        <v>7282509</v>
      </c>
      <c r="E23" s="1058">
        <v>7282509</v>
      </c>
      <c r="F23" s="1076">
        <f t="shared" si="0"/>
        <v>0</v>
      </c>
      <c r="G23" s="1077"/>
      <c r="H23" s="1067"/>
      <c r="I23" s="1068"/>
    </row>
    <row r="24" spans="1:9" ht="15.75" thickBot="1" x14ac:dyDescent="0.25">
      <c r="A24" s="1078" t="s">
        <v>686</v>
      </c>
      <c r="B24" s="1079"/>
      <c r="C24" s="1080"/>
      <c r="D24" s="1081">
        <f>SUM(D22:D23)</f>
        <v>53416722.5</v>
      </c>
      <c r="E24" s="1081">
        <f>SUM(E22:E23)</f>
        <v>51245728</v>
      </c>
      <c r="F24" s="1081">
        <f>SUM(F22:F23)</f>
        <v>2170994.5</v>
      </c>
      <c r="G24" s="1082"/>
      <c r="H24" s="1083"/>
      <c r="I24" s="1084"/>
    </row>
    <row r="25" spans="1:9" ht="15.75" thickTop="1" x14ac:dyDescent="0.2">
      <c r="A25" s="1085"/>
      <c r="B25" s="1086"/>
      <c r="C25" s="1087"/>
      <c r="D25" s="1088"/>
      <c r="E25" s="1089"/>
      <c r="F25" s="1090"/>
      <c r="G25" s="1085"/>
      <c r="H25" s="1086"/>
      <c r="I25" s="1087"/>
    </row>
    <row r="26" spans="1:9" x14ac:dyDescent="0.2">
      <c r="A26" s="1091" t="s">
        <v>687</v>
      </c>
      <c r="B26" s="1092"/>
      <c r="C26" s="1093"/>
      <c r="D26" s="1058">
        <v>2909502</v>
      </c>
      <c r="E26" s="1058">
        <v>2791252</v>
      </c>
      <c r="F26" s="1059">
        <f t="shared" ref="F26:F33" si="1">+D26-E26</f>
        <v>118250</v>
      </c>
      <c r="G26" s="1066" t="s">
        <v>688</v>
      </c>
      <c r="H26" s="1067"/>
      <c r="I26" s="1068"/>
    </row>
    <row r="27" spans="1:9" x14ac:dyDescent="0.2">
      <c r="A27" s="1094"/>
      <c r="B27" s="1095"/>
      <c r="C27" s="1096"/>
      <c r="D27" s="1058"/>
      <c r="E27" s="1058"/>
      <c r="F27" s="1059">
        <f t="shared" si="1"/>
        <v>0</v>
      </c>
      <c r="G27" s="1066"/>
      <c r="H27" s="1067"/>
      <c r="I27" s="1068"/>
    </row>
    <row r="28" spans="1:9" x14ac:dyDescent="0.2">
      <c r="A28" s="1091" t="s">
        <v>689</v>
      </c>
      <c r="B28" s="1092"/>
      <c r="C28" s="1093"/>
      <c r="D28" s="1058">
        <v>8617075</v>
      </c>
      <c r="E28" s="1058">
        <v>8617075</v>
      </c>
      <c r="F28" s="1059">
        <f t="shared" si="1"/>
        <v>0</v>
      </c>
      <c r="G28" s="1066"/>
      <c r="H28" s="1067"/>
      <c r="I28" s="1068"/>
    </row>
    <row r="29" spans="1:9" x14ac:dyDescent="0.2">
      <c r="A29" s="1091" t="s">
        <v>690</v>
      </c>
      <c r="B29" s="1092"/>
      <c r="C29" s="1093"/>
      <c r="D29" s="1058">
        <v>2078190</v>
      </c>
      <c r="E29" s="1058">
        <v>3500778</v>
      </c>
      <c r="F29" s="1059">
        <f t="shared" si="1"/>
        <v>-1422588</v>
      </c>
      <c r="G29" s="1066" t="s">
        <v>688</v>
      </c>
      <c r="H29" s="1067"/>
      <c r="I29" s="1068"/>
    </row>
    <row r="30" spans="1:9" x14ac:dyDescent="0.2">
      <c r="A30" s="1094" t="s">
        <v>691</v>
      </c>
      <c r="B30" s="1095"/>
      <c r="C30" s="1096"/>
      <c r="D30" s="1058">
        <v>143748</v>
      </c>
      <c r="E30" s="1058">
        <v>622858</v>
      </c>
      <c r="F30" s="1059">
        <f t="shared" si="1"/>
        <v>-479110</v>
      </c>
      <c r="G30" s="1066" t="s">
        <v>692</v>
      </c>
      <c r="H30" s="1067"/>
      <c r="I30" s="1068"/>
    </row>
    <row r="31" spans="1:9" x14ac:dyDescent="0.2">
      <c r="A31" s="1094"/>
      <c r="B31" s="1095"/>
      <c r="C31" s="1096"/>
      <c r="D31" s="1058"/>
      <c r="E31" s="1058"/>
      <c r="F31" s="1059">
        <f t="shared" si="1"/>
        <v>0</v>
      </c>
      <c r="G31" s="1066"/>
      <c r="H31" s="1067"/>
      <c r="I31" s="1068"/>
    </row>
    <row r="32" spans="1:9" x14ac:dyDescent="0.2">
      <c r="A32" s="1091" t="s">
        <v>693</v>
      </c>
      <c r="B32" s="1092"/>
      <c r="C32" s="1093"/>
      <c r="D32" s="1058">
        <v>-1138061</v>
      </c>
      <c r="E32" s="1058">
        <v>-1138061</v>
      </c>
      <c r="F32" s="1059">
        <f t="shared" si="1"/>
        <v>0</v>
      </c>
      <c r="G32" s="1066"/>
      <c r="H32" s="1067"/>
      <c r="I32" s="1068"/>
    </row>
    <row r="33" spans="1:9" ht="15.75" thickBot="1" x14ac:dyDescent="0.25">
      <c r="A33" s="1097"/>
      <c r="B33" s="1098"/>
      <c r="C33" s="1099"/>
      <c r="D33" s="1058"/>
      <c r="E33" s="1058"/>
      <c r="F33" s="1059">
        <f t="shared" si="1"/>
        <v>0</v>
      </c>
      <c r="G33" s="1066"/>
      <c r="H33" s="1067"/>
      <c r="I33" s="1068"/>
    </row>
    <row r="34" spans="1:9" ht="16.5" thickTop="1" thickBot="1" x14ac:dyDescent="0.25">
      <c r="A34" s="1100" t="s">
        <v>694</v>
      </c>
      <c r="B34" s="1101"/>
      <c r="C34" s="1102"/>
      <c r="D34" s="1103">
        <f>SUM(D26:D33)</f>
        <v>12610454</v>
      </c>
      <c r="E34" s="1103">
        <f>SUM(E26:E33)</f>
        <v>14393902</v>
      </c>
      <c r="F34" s="1103">
        <f>SUM(F26:F33)</f>
        <v>-1783448</v>
      </c>
      <c r="G34" s="1104"/>
      <c r="H34" s="1105"/>
      <c r="I34" s="1106"/>
    </row>
    <row r="35" spans="1:9" x14ac:dyDescent="0.2">
      <c r="A35" s="2"/>
      <c r="B35" s="2"/>
      <c r="C35" s="2"/>
      <c r="D35" s="2"/>
      <c r="E35" s="2"/>
      <c r="F35" s="2"/>
      <c r="G35" s="2"/>
      <c r="H35" s="2"/>
      <c r="I35" s="2"/>
    </row>
    <row r="36" spans="1:9" x14ac:dyDescent="0.2">
      <c r="A36" s="2"/>
      <c r="B36" s="2"/>
      <c r="C36" s="2"/>
      <c r="D36" s="2"/>
      <c r="E36" s="2"/>
      <c r="F36" s="2"/>
      <c r="G36" s="2"/>
      <c r="H36" s="2"/>
      <c r="I36" s="2"/>
    </row>
    <row r="37" spans="1:9" x14ac:dyDescent="0.2">
      <c r="A37" s="834" t="s">
        <v>695</v>
      </c>
      <c r="B37" s="834"/>
      <c r="C37" s="834"/>
      <c r="D37" s="834"/>
      <c r="E37" s="834"/>
      <c r="F37" s="834"/>
      <c r="G37" s="834"/>
      <c r="H37" s="834"/>
      <c r="I37" s="834"/>
    </row>
    <row r="38" spans="1:9" x14ac:dyDescent="0.2">
      <c r="A38" s="834"/>
      <c r="B38" s="834"/>
      <c r="C38" s="834"/>
      <c r="D38" s="834"/>
      <c r="E38" s="834"/>
      <c r="F38" s="834"/>
      <c r="G38" s="834"/>
      <c r="H38" s="834"/>
      <c r="I38" s="834"/>
    </row>
    <row r="39" spans="1:9" x14ac:dyDescent="0.2">
      <c r="A39" s="834"/>
      <c r="B39" s="834"/>
      <c r="C39" s="834"/>
      <c r="D39" s="834"/>
      <c r="E39" s="834"/>
      <c r="F39" s="834"/>
      <c r="G39" s="834"/>
      <c r="H39" s="834"/>
      <c r="I39" s="834"/>
    </row>
    <row r="40" spans="1:9" x14ac:dyDescent="0.2">
      <c r="A40" s="834"/>
      <c r="B40" s="834"/>
      <c r="C40" s="834"/>
      <c r="D40" s="834"/>
      <c r="E40" s="834"/>
      <c r="F40" s="834"/>
      <c r="G40" s="834"/>
      <c r="H40" s="834"/>
      <c r="I40" s="834"/>
    </row>
  </sheetData>
  <mergeCells count="40">
    <mergeCell ref="A37:I40"/>
    <mergeCell ref="A32:C32"/>
    <mergeCell ref="G32:I32"/>
    <mergeCell ref="A33:C33"/>
    <mergeCell ref="G33:I33"/>
    <mergeCell ref="A34:C34"/>
    <mergeCell ref="G34:I34"/>
    <mergeCell ref="A29:C29"/>
    <mergeCell ref="G29:I29"/>
    <mergeCell ref="A30:C30"/>
    <mergeCell ref="G30:I30"/>
    <mergeCell ref="A31:C31"/>
    <mergeCell ref="G31:I31"/>
    <mergeCell ref="A26:C26"/>
    <mergeCell ref="G26:I26"/>
    <mergeCell ref="A27:C27"/>
    <mergeCell ref="G27:I27"/>
    <mergeCell ref="A28:C28"/>
    <mergeCell ref="G28:I28"/>
    <mergeCell ref="A23:C23"/>
    <mergeCell ref="G23:I23"/>
    <mergeCell ref="A24:C24"/>
    <mergeCell ref="G24:I24"/>
    <mergeCell ref="A25:C25"/>
    <mergeCell ref="D25:F25"/>
    <mergeCell ref="G25:I25"/>
    <mergeCell ref="A20:C20"/>
    <mergeCell ref="G20:I20"/>
    <mergeCell ref="A21:C21"/>
    <mergeCell ref="G21:I21"/>
    <mergeCell ref="A22:C22"/>
    <mergeCell ref="G22:I22"/>
    <mergeCell ref="A9:I9"/>
    <mergeCell ref="A10:I10"/>
    <mergeCell ref="A11:I11"/>
    <mergeCell ref="A15:C19"/>
    <mergeCell ref="G15:I15"/>
    <mergeCell ref="G16:I16"/>
    <mergeCell ref="G17:I17"/>
    <mergeCell ref="G18:I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4"/>
  <sheetViews>
    <sheetView workbookViewId="0">
      <selection activeCell="F37" sqref="F37"/>
    </sheetView>
  </sheetViews>
  <sheetFormatPr defaultRowHeight="15" x14ac:dyDescent="0.2"/>
  <cols>
    <col min="1" max="1" width="45.33203125" customWidth="1"/>
    <col min="2" max="2" width="12.77734375" customWidth="1"/>
    <col min="3" max="3" width="4.44140625" customWidth="1"/>
    <col min="4" max="4" width="7.77734375" customWidth="1"/>
    <col min="5" max="5" width="13" customWidth="1"/>
    <col min="6" max="6" width="11.109375" customWidth="1"/>
    <col min="7" max="7" width="10.6640625" customWidth="1"/>
  </cols>
  <sheetData>
    <row r="1" spans="1:8" x14ac:dyDescent="0.2">
      <c r="B1" s="180" t="s">
        <v>106</v>
      </c>
      <c r="C1" s="1024" t="str">
        <f>EBNUMBER</f>
        <v>EB-2013-0134</v>
      </c>
      <c r="D1" s="1024"/>
    </row>
    <row r="2" spans="1:8" x14ac:dyDescent="0.2">
      <c r="B2" s="180" t="s">
        <v>107</v>
      </c>
      <c r="C2" s="1025">
        <v>8</v>
      </c>
      <c r="D2" s="1025"/>
    </row>
    <row r="3" spans="1:8" x14ac:dyDescent="0.2">
      <c r="B3" s="180" t="s">
        <v>108</v>
      </c>
      <c r="C3" s="1025">
        <v>2</v>
      </c>
      <c r="D3" s="1025"/>
      <c r="E3" s="662"/>
    </row>
    <row r="4" spans="1:8" x14ac:dyDescent="0.2">
      <c r="B4" s="180" t="s">
        <v>109</v>
      </c>
      <c r="C4" s="1025">
        <v>2</v>
      </c>
      <c r="D4" s="1025"/>
    </row>
    <row r="5" spans="1:8" x14ac:dyDescent="0.2">
      <c r="B5" s="180" t="s">
        <v>110</v>
      </c>
      <c r="C5" s="1026">
        <v>1</v>
      </c>
      <c r="D5" s="1026"/>
    </row>
    <row r="6" spans="1:8" x14ac:dyDescent="0.2">
      <c r="B6" s="180"/>
      <c r="C6" s="181"/>
    </row>
    <row r="7" spans="1:8" x14ac:dyDescent="0.2">
      <c r="B7" s="180" t="s">
        <v>112</v>
      </c>
      <c r="C7" s="1027">
        <v>41702</v>
      </c>
      <c r="D7" s="1026"/>
    </row>
    <row r="8" spans="1:8" ht="18" x14ac:dyDescent="0.2">
      <c r="A8" s="1018" t="s">
        <v>558</v>
      </c>
      <c r="B8" s="1019"/>
      <c r="C8" s="1019"/>
      <c r="D8" s="1019"/>
    </row>
    <row r="10" spans="1:8" x14ac:dyDescent="0.2">
      <c r="A10" s="786" t="s">
        <v>559</v>
      </c>
      <c r="B10" s="786"/>
      <c r="C10" s="786"/>
      <c r="D10" s="786"/>
      <c r="E10" s="443"/>
      <c r="F10" s="443"/>
      <c r="G10" s="443"/>
      <c r="H10" s="443"/>
    </row>
    <row r="11" spans="1:8" x14ac:dyDescent="0.2">
      <c r="A11" s="1020" t="s">
        <v>560</v>
      </c>
      <c r="B11" s="1020"/>
      <c r="C11" s="1020"/>
      <c r="D11" s="1020"/>
      <c r="E11" s="665"/>
      <c r="F11" s="665"/>
      <c r="G11" s="665"/>
      <c r="H11" s="665"/>
    </row>
    <row r="12" spans="1:8" x14ac:dyDescent="0.2">
      <c r="G12" s="243"/>
    </row>
    <row r="13" spans="1:8" x14ac:dyDescent="0.2">
      <c r="A13" s="1021" t="s">
        <v>561</v>
      </c>
      <c r="B13" s="1021"/>
      <c r="C13" s="666">
        <v>8</v>
      </c>
      <c r="D13" s="667"/>
      <c r="E13" s="667"/>
      <c r="G13" s="667"/>
      <c r="H13" s="667"/>
    </row>
    <row r="14" spans="1:8" x14ac:dyDescent="0.2">
      <c r="C14" s="667"/>
      <c r="D14" s="667"/>
      <c r="E14" s="667"/>
      <c r="F14" s="667"/>
      <c r="G14" s="667"/>
      <c r="H14" s="667"/>
    </row>
    <row r="15" spans="1:8" ht="30" customHeight="1" x14ac:dyDescent="0.2">
      <c r="A15" s="894" t="s">
        <v>562</v>
      </c>
      <c r="B15" s="1021"/>
      <c r="C15" s="1021"/>
      <c r="D15" s="1021"/>
      <c r="E15" s="668"/>
      <c r="F15" s="669"/>
      <c r="G15" s="670"/>
      <c r="H15" s="670"/>
    </row>
    <row r="18" spans="1:8" ht="15.75" x14ac:dyDescent="0.2">
      <c r="A18" s="1022" t="s">
        <v>563</v>
      </c>
      <c r="B18" s="1022"/>
      <c r="C18" s="1022"/>
      <c r="D18" s="1023"/>
      <c r="E18" s="671"/>
      <c r="F18" s="671"/>
      <c r="G18" s="671"/>
      <c r="H18" s="672"/>
    </row>
    <row r="19" spans="1:8" x14ac:dyDescent="0.2">
      <c r="A19" s="1012" t="s">
        <v>564</v>
      </c>
      <c r="B19" s="1013"/>
      <c r="C19" s="1013"/>
      <c r="D19" s="1014"/>
      <c r="E19" s="673"/>
      <c r="F19" s="673"/>
      <c r="G19" s="673"/>
      <c r="H19" s="674"/>
    </row>
    <row r="20" spans="1:8" x14ac:dyDescent="0.2">
      <c r="A20" s="1012" t="s">
        <v>565</v>
      </c>
      <c r="B20" s="1013"/>
      <c r="C20" s="1013"/>
      <c r="D20" s="1014"/>
      <c r="E20" s="673"/>
      <c r="F20" s="675"/>
      <c r="G20" s="675"/>
      <c r="H20" s="676"/>
    </row>
    <row r="21" spans="1:8" x14ac:dyDescent="0.2">
      <c r="A21" s="1012" t="s">
        <v>566</v>
      </c>
      <c r="B21" s="1013"/>
      <c r="C21" s="1013"/>
      <c r="D21" s="1014"/>
      <c r="E21" s="673"/>
      <c r="F21" s="673"/>
      <c r="G21" s="673"/>
      <c r="H21" s="674"/>
    </row>
    <row r="22" spans="1:8" x14ac:dyDescent="0.2">
      <c r="A22" s="1012" t="s">
        <v>567</v>
      </c>
      <c r="B22" s="1013"/>
      <c r="C22" s="1013"/>
      <c r="D22" s="1014"/>
      <c r="E22" s="675"/>
      <c r="F22" s="675"/>
      <c r="G22" s="675"/>
      <c r="H22" s="676"/>
    </row>
    <row r="23" spans="1:8" x14ac:dyDescent="0.2">
      <c r="A23" s="1012" t="s">
        <v>568</v>
      </c>
      <c r="B23" s="1013"/>
      <c r="C23" s="1013"/>
      <c r="D23" s="1014"/>
      <c r="E23" s="673"/>
      <c r="F23" s="673"/>
      <c r="G23" s="673"/>
      <c r="H23" s="674"/>
    </row>
    <row r="24" spans="1:8" x14ac:dyDescent="0.2">
      <c r="A24" s="1012" t="s">
        <v>569</v>
      </c>
      <c r="B24" s="1013"/>
      <c r="C24" s="1013"/>
      <c r="D24" s="1014"/>
      <c r="E24" s="675"/>
      <c r="F24" s="675"/>
      <c r="G24" s="675"/>
      <c r="H24" s="676"/>
    </row>
    <row r="25" spans="1:8" x14ac:dyDescent="0.2">
      <c r="A25" s="1012" t="s">
        <v>570</v>
      </c>
      <c r="B25" s="1013"/>
      <c r="C25" s="1013"/>
      <c r="D25" s="1014"/>
      <c r="E25" s="675"/>
      <c r="F25" s="675"/>
      <c r="G25" s="675"/>
      <c r="H25" s="676"/>
    </row>
    <row r="26" spans="1:8" x14ac:dyDescent="0.2">
      <c r="A26" s="1012" t="s">
        <v>571</v>
      </c>
      <c r="B26" s="1013"/>
      <c r="C26" s="1013"/>
      <c r="D26" s="1014"/>
      <c r="E26" s="675"/>
      <c r="F26" s="675"/>
      <c r="G26" s="675"/>
      <c r="H26" s="676"/>
    </row>
    <row r="27" spans="1:8" x14ac:dyDescent="0.2">
      <c r="A27" s="677"/>
      <c r="B27" s="678"/>
      <c r="C27" s="678"/>
      <c r="D27" s="679"/>
      <c r="E27" s="675"/>
      <c r="F27" s="675"/>
      <c r="G27" s="675"/>
      <c r="H27" s="676"/>
    </row>
    <row r="28" spans="1:8" x14ac:dyDescent="0.2">
      <c r="A28" s="680"/>
      <c r="B28" s="681"/>
      <c r="C28" s="681"/>
      <c r="D28" s="682"/>
      <c r="E28" s="675"/>
      <c r="F28" s="675"/>
      <c r="G28" s="675"/>
      <c r="H28" s="676"/>
    </row>
    <row r="29" spans="1:8" x14ac:dyDescent="0.2">
      <c r="A29" s="680"/>
      <c r="B29" s="681"/>
      <c r="C29" s="681"/>
      <c r="D29" s="682"/>
      <c r="E29" s="675"/>
      <c r="F29" s="675"/>
      <c r="G29" s="675"/>
      <c r="H29" s="676"/>
    </row>
    <row r="30" spans="1:8" x14ac:dyDescent="0.2">
      <c r="A30" s="683"/>
      <c r="B30" s="684"/>
      <c r="C30" s="673"/>
      <c r="D30" s="673"/>
      <c r="E30" s="675"/>
      <c r="F30" s="675"/>
      <c r="G30" s="675"/>
      <c r="H30" s="676"/>
    </row>
    <row r="31" spans="1:8" x14ac:dyDescent="0.2">
      <c r="A31" s="683"/>
      <c r="B31" s="685"/>
      <c r="C31" s="675"/>
      <c r="D31" s="675"/>
      <c r="E31" s="675"/>
      <c r="F31" s="675"/>
      <c r="G31" s="675"/>
      <c r="H31" s="676"/>
    </row>
    <row r="32" spans="1:8" x14ac:dyDescent="0.2">
      <c r="A32" s="683"/>
      <c r="B32" s="685"/>
      <c r="C32" s="675"/>
      <c r="D32" s="675"/>
      <c r="E32" s="675"/>
      <c r="F32" s="675"/>
      <c r="G32" s="675"/>
      <c r="H32" s="676"/>
    </row>
    <row r="33" spans="1:8" x14ac:dyDescent="0.2">
      <c r="A33" s="683"/>
      <c r="B33" s="685"/>
      <c r="C33" s="675"/>
      <c r="D33" s="675"/>
      <c r="E33" s="675"/>
      <c r="F33" s="675"/>
      <c r="G33" s="675"/>
      <c r="H33" s="676"/>
    </row>
    <row r="34" spans="1:8" x14ac:dyDescent="0.2">
      <c r="A34" s="686"/>
      <c r="B34" s="686"/>
      <c r="C34" s="686"/>
      <c r="D34" s="686"/>
      <c r="E34" s="686"/>
      <c r="F34" s="686"/>
      <c r="G34" s="686"/>
      <c r="H34" s="686"/>
    </row>
    <row r="35" spans="1:8" x14ac:dyDescent="0.2">
      <c r="A35" s="687" t="s">
        <v>572</v>
      </c>
      <c r="C35" s="688"/>
      <c r="D35" s="688"/>
      <c r="E35" s="688"/>
      <c r="F35" s="688"/>
      <c r="G35" s="688"/>
      <c r="H35" s="688"/>
    </row>
    <row r="36" spans="1:8" x14ac:dyDescent="0.2">
      <c r="A36" s="688"/>
      <c r="B36" s="688"/>
      <c r="C36" s="688"/>
      <c r="D36" s="688"/>
      <c r="E36" s="688"/>
      <c r="F36" s="688"/>
      <c r="G36" s="688"/>
      <c r="H36" s="688"/>
    </row>
    <row r="37" spans="1:8" ht="23.25" x14ac:dyDescent="0.2">
      <c r="A37" s="1015" t="str">
        <f>'[6]LDC Info'!E14</f>
        <v>Haldimand County Hydro Inc.</v>
      </c>
      <c r="B37" s="1015"/>
      <c r="C37" s="1015"/>
      <c r="D37" s="1015"/>
      <c r="E37" s="689"/>
      <c r="F37" s="689"/>
      <c r="G37" s="689"/>
      <c r="H37" s="689"/>
    </row>
    <row r="38" spans="1:8" ht="18" x14ac:dyDescent="0.2">
      <c r="A38" s="1016" t="s">
        <v>573</v>
      </c>
      <c r="B38" s="1016"/>
      <c r="C38" s="1016"/>
      <c r="D38" s="1016"/>
      <c r="E38" s="690"/>
      <c r="F38" s="690"/>
      <c r="G38" s="690"/>
      <c r="H38" s="690"/>
    </row>
    <row r="39" spans="1:8" ht="15.75" x14ac:dyDescent="0.2">
      <c r="A39" s="1017" t="str">
        <f>"Effective and Implementation Date May 1, 2014"</f>
        <v>Effective and Implementation Date May 1, 2014</v>
      </c>
      <c r="B39" s="1017"/>
      <c r="C39" s="1017"/>
      <c r="D39" s="1017"/>
      <c r="E39" s="691"/>
      <c r="F39" s="691"/>
      <c r="G39" s="691"/>
      <c r="H39" s="691"/>
    </row>
    <row r="40" spans="1:8" x14ac:dyDescent="0.2">
      <c r="A40" s="692"/>
      <c r="B40" s="692"/>
      <c r="C40" s="692"/>
      <c r="D40" s="692"/>
      <c r="E40" s="692"/>
      <c r="F40" s="692"/>
      <c r="G40" s="692"/>
      <c r="H40" s="692"/>
    </row>
    <row r="41" spans="1:8" x14ac:dyDescent="0.2">
      <c r="A41" s="1010" t="s">
        <v>574</v>
      </c>
      <c r="B41" s="1010"/>
      <c r="C41" s="1010"/>
      <c r="D41" s="1010"/>
      <c r="E41" s="693"/>
      <c r="F41" s="693"/>
      <c r="G41" s="693"/>
      <c r="H41" s="693"/>
    </row>
    <row r="42" spans="1:8" x14ac:dyDescent="0.2">
      <c r="A42" s="1010" t="s">
        <v>575</v>
      </c>
      <c r="B42" s="1010"/>
      <c r="C42" s="1010"/>
      <c r="D42" s="1010"/>
      <c r="E42" s="693"/>
      <c r="F42" s="693"/>
      <c r="G42" s="693"/>
      <c r="H42" s="693"/>
    </row>
    <row r="43" spans="1:8" x14ac:dyDescent="0.2">
      <c r="A43" s="1011" t="str">
        <f>EBNUMBER</f>
        <v>EB-2013-0134</v>
      </c>
      <c r="B43" s="1011"/>
      <c r="C43" s="1011"/>
      <c r="D43" s="1011"/>
      <c r="E43" s="694"/>
      <c r="F43" s="694"/>
      <c r="G43" s="694"/>
      <c r="H43" s="694"/>
    </row>
    <row r="45" spans="1:8" ht="18" x14ac:dyDescent="0.2">
      <c r="A45" s="1003" t="s">
        <v>576</v>
      </c>
      <c r="B45" s="1003"/>
      <c r="C45" s="1003"/>
      <c r="D45" s="1003"/>
      <c r="E45" s="695"/>
      <c r="F45" s="695"/>
      <c r="G45" s="695"/>
      <c r="H45" s="695"/>
    </row>
    <row r="46" spans="1:8" x14ac:dyDescent="0.2">
      <c r="A46" s="696"/>
      <c r="B46" s="696"/>
      <c r="C46" s="696"/>
      <c r="D46" s="696"/>
      <c r="E46" s="696"/>
      <c r="F46" s="696"/>
      <c r="G46" s="696"/>
      <c r="H46" s="696"/>
    </row>
    <row r="47" spans="1:8" ht="91.5" customHeight="1" x14ac:dyDescent="0.2">
      <c r="A47" s="1002" t="s">
        <v>577</v>
      </c>
      <c r="B47" s="1000"/>
      <c r="C47" s="1000"/>
      <c r="D47" s="1005"/>
      <c r="E47" s="697"/>
      <c r="F47" s="697"/>
      <c r="G47" s="697"/>
      <c r="H47" s="697"/>
    </row>
    <row r="48" spans="1:8" x14ac:dyDescent="0.2">
      <c r="A48" s="698" t="s">
        <v>578</v>
      </c>
      <c r="B48" s="699"/>
      <c r="C48" s="699"/>
      <c r="D48" s="699"/>
      <c r="E48" s="699"/>
      <c r="F48" s="699"/>
      <c r="G48" s="699"/>
      <c r="H48" s="699"/>
    </row>
    <row r="49" spans="1:8" x14ac:dyDescent="0.2">
      <c r="A49" s="699"/>
      <c r="B49" s="699"/>
      <c r="C49" s="699"/>
      <c r="D49" s="699"/>
      <c r="E49" s="699"/>
      <c r="F49" s="699"/>
      <c r="G49" s="699"/>
      <c r="H49" s="699"/>
    </row>
    <row r="50" spans="1:8" ht="42" customHeight="1" x14ac:dyDescent="0.2">
      <c r="A50" s="1002" t="s">
        <v>579</v>
      </c>
      <c r="B50" s="1000"/>
      <c r="C50" s="1000"/>
      <c r="D50" s="1005"/>
      <c r="E50" s="697"/>
      <c r="F50" s="697"/>
      <c r="G50" s="697"/>
      <c r="H50" s="697"/>
    </row>
    <row r="51" spans="1:8" ht="54.75" customHeight="1" x14ac:dyDescent="0.2">
      <c r="A51" s="1000" t="s">
        <v>580</v>
      </c>
      <c r="B51" s="1000"/>
      <c r="C51" s="1000"/>
      <c r="D51" s="1005"/>
      <c r="E51" s="697"/>
      <c r="F51" s="697"/>
      <c r="G51" s="697"/>
      <c r="H51" s="697"/>
    </row>
    <row r="52" spans="1:8" ht="57" customHeight="1" x14ac:dyDescent="0.2">
      <c r="A52" s="1000" t="s">
        <v>581</v>
      </c>
      <c r="B52" s="1000"/>
      <c r="C52" s="1000"/>
      <c r="D52" s="1005"/>
      <c r="E52" s="697"/>
      <c r="F52" s="697"/>
      <c r="G52" s="697"/>
      <c r="H52" s="699"/>
    </row>
    <row r="53" spans="1:8" ht="45.75" customHeight="1" x14ac:dyDescent="0.2">
      <c r="A53" s="1002" t="s">
        <v>582</v>
      </c>
      <c r="B53" s="1000"/>
      <c r="C53" s="1000"/>
      <c r="D53" s="1005"/>
      <c r="E53" s="697"/>
      <c r="F53" s="697"/>
      <c r="G53" s="697"/>
      <c r="H53" s="699"/>
    </row>
    <row r="54" spans="1:8" x14ac:dyDescent="0.2">
      <c r="A54" s="700"/>
      <c r="B54" s="697"/>
      <c r="C54" s="697"/>
      <c r="D54" s="697"/>
      <c r="E54" s="697"/>
      <c r="F54" s="697"/>
      <c r="G54" s="701"/>
      <c r="H54" s="699"/>
    </row>
    <row r="55" spans="1:8" x14ac:dyDescent="0.2">
      <c r="A55" s="698" t="s">
        <v>583</v>
      </c>
      <c r="B55" s="699"/>
      <c r="C55" s="699"/>
      <c r="D55" s="699"/>
      <c r="E55" s="697"/>
      <c r="F55" s="697"/>
      <c r="G55" s="699"/>
      <c r="H55" s="699"/>
    </row>
    <row r="56" spans="1:8" x14ac:dyDescent="0.2">
      <c r="A56" s="698"/>
      <c r="B56" s="699"/>
      <c r="C56" s="699"/>
      <c r="D56" s="699"/>
      <c r="E56" s="697"/>
      <c r="F56" s="697"/>
      <c r="G56" s="699"/>
      <c r="H56" s="699"/>
    </row>
    <row r="57" spans="1:8" ht="15.75" thickBot="1" x14ac:dyDescent="0.25">
      <c r="A57" s="999" t="s">
        <v>584</v>
      </c>
      <c r="B57" s="999"/>
      <c r="C57" s="702" t="s">
        <v>11</v>
      </c>
      <c r="D57" s="703">
        <v>18.5</v>
      </c>
      <c r="E57" s="704"/>
      <c r="F57" s="704"/>
      <c r="G57" s="705"/>
      <c r="H57" s="706"/>
    </row>
    <row r="58" spans="1:8" ht="16.5" thickTop="1" thickBot="1" x14ac:dyDescent="0.25">
      <c r="A58" s="999" t="s">
        <v>585</v>
      </c>
      <c r="B58" s="999"/>
      <c r="C58" s="702" t="s">
        <v>11</v>
      </c>
      <c r="D58" s="707">
        <v>0.79</v>
      </c>
      <c r="E58" s="704"/>
      <c r="F58" s="704"/>
      <c r="G58" s="708"/>
      <c r="H58" s="706"/>
    </row>
    <row r="59" spans="1:8" ht="16.5" thickTop="1" thickBot="1" x14ac:dyDescent="0.25">
      <c r="A59" s="999" t="s">
        <v>499</v>
      </c>
      <c r="B59" s="999"/>
      <c r="C59" s="702" t="s">
        <v>586</v>
      </c>
      <c r="D59" s="707">
        <v>2.7E-2</v>
      </c>
      <c r="E59" s="704"/>
      <c r="F59" s="704"/>
      <c r="G59" s="708"/>
      <c r="H59" s="706"/>
    </row>
    <row r="60" spans="1:8" ht="16.5" thickTop="1" thickBot="1" x14ac:dyDescent="0.25">
      <c r="A60" s="999" t="s">
        <v>587</v>
      </c>
      <c r="B60" s="999"/>
      <c r="C60" s="702" t="s">
        <v>586</v>
      </c>
      <c r="D60" s="707">
        <v>4.0000000000000002E-4</v>
      </c>
      <c r="E60" s="704"/>
      <c r="F60" s="704"/>
      <c r="G60" s="708"/>
      <c r="H60" s="706"/>
    </row>
    <row r="61" spans="1:8" ht="16.5" thickTop="1" thickBot="1" x14ac:dyDescent="0.25">
      <c r="A61" s="999" t="s">
        <v>588</v>
      </c>
      <c r="B61" s="999"/>
      <c r="C61" s="702" t="s">
        <v>586</v>
      </c>
      <c r="D61" s="707">
        <v>6.7999999999999996E-3</v>
      </c>
      <c r="E61" s="704"/>
      <c r="F61" s="704"/>
      <c r="G61" s="708"/>
      <c r="H61" s="706"/>
    </row>
    <row r="62" spans="1:8" ht="16.5" thickTop="1" thickBot="1" x14ac:dyDescent="0.25">
      <c r="A62" s="999" t="s">
        <v>589</v>
      </c>
      <c r="B62" s="999"/>
      <c r="C62" s="702" t="s">
        <v>586</v>
      </c>
      <c r="D62" s="707">
        <v>5.1999999999999998E-3</v>
      </c>
      <c r="E62" s="704"/>
      <c r="F62" s="704"/>
      <c r="G62" s="708"/>
      <c r="H62" s="706"/>
    </row>
    <row r="63" spans="1:8" ht="16.5" thickTop="1" thickBot="1" x14ac:dyDescent="0.25">
      <c r="A63" s="999"/>
      <c r="B63" s="999"/>
      <c r="C63" s="702"/>
      <c r="D63" s="707"/>
      <c r="E63" s="704"/>
      <c r="F63" s="704"/>
      <c r="G63" s="708"/>
      <c r="H63" s="706"/>
    </row>
    <row r="64" spans="1:8" ht="16.5" thickTop="1" thickBot="1" x14ac:dyDescent="0.25">
      <c r="A64" s="999"/>
      <c r="B64" s="999"/>
      <c r="C64" s="702"/>
      <c r="D64" s="707"/>
      <c r="E64" s="704"/>
      <c r="F64" s="704"/>
      <c r="G64" s="708"/>
      <c r="H64" s="706"/>
    </row>
    <row r="65" spans="1:8" ht="16.5" thickTop="1" thickBot="1" x14ac:dyDescent="0.25">
      <c r="A65" s="999"/>
      <c r="B65" s="999"/>
      <c r="C65" s="702"/>
      <c r="D65" s="707"/>
      <c r="E65" s="704"/>
      <c r="F65" s="704"/>
      <c r="G65" s="708"/>
      <c r="H65" s="706"/>
    </row>
    <row r="66" spans="1:8" ht="16.5" thickTop="1" thickBot="1" x14ac:dyDescent="0.25">
      <c r="A66" s="999"/>
      <c r="B66" s="999"/>
      <c r="C66" s="702"/>
      <c r="D66" s="707"/>
      <c r="E66" s="704"/>
      <c r="F66" s="704"/>
      <c r="G66" s="708"/>
      <c r="H66" s="706"/>
    </row>
    <row r="67" spans="1:8" ht="16.5" thickTop="1" thickBot="1" x14ac:dyDescent="0.25">
      <c r="A67" s="999"/>
      <c r="B67" s="999"/>
      <c r="C67" s="702"/>
      <c r="D67" s="707"/>
      <c r="E67" s="704"/>
      <c r="F67" s="704"/>
      <c r="G67" s="708"/>
      <c r="H67" s="706"/>
    </row>
    <row r="68" spans="1:8" ht="16.5" thickTop="1" thickBot="1" x14ac:dyDescent="0.25">
      <c r="A68" s="999"/>
      <c r="B68" s="999"/>
      <c r="C68" s="702"/>
      <c r="D68" s="707"/>
      <c r="E68" s="704"/>
      <c r="F68" s="704"/>
      <c r="G68" s="708"/>
      <c r="H68" s="706"/>
    </row>
    <row r="69" spans="1:8" ht="16.5" thickTop="1" thickBot="1" x14ac:dyDescent="0.25">
      <c r="A69" s="999"/>
      <c r="B69" s="999"/>
      <c r="C69" s="702"/>
      <c r="D69" s="707"/>
      <c r="E69" s="704"/>
      <c r="F69" s="704"/>
      <c r="G69" s="708"/>
      <c r="H69" s="706"/>
    </row>
    <row r="70" spans="1:8" ht="16.5" thickTop="1" thickBot="1" x14ac:dyDescent="0.25">
      <c r="A70" s="999"/>
      <c r="B70" s="999"/>
      <c r="C70" s="702"/>
      <c r="D70" s="707"/>
      <c r="E70" s="704"/>
      <c r="F70" s="704"/>
      <c r="G70" s="708"/>
      <c r="H70" s="706"/>
    </row>
    <row r="71" spans="1:8" ht="16.5" thickTop="1" thickBot="1" x14ac:dyDescent="0.25">
      <c r="A71" s="999"/>
      <c r="B71" s="999"/>
      <c r="C71" s="702"/>
      <c r="D71" s="707"/>
      <c r="E71" s="704"/>
      <c r="F71" s="704"/>
      <c r="G71" s="708"/>
      <c r="H71" s="706"/>
    </row>
    <row r="72" spans="1:8" ht="16.5" thickTop="1" thickBot="1" x14ac:dyDescent="0.25">
      <c r="A72" s="999"/>
      <c r="B72" s="999"/>
      <c r="C72" s="702"/>
      <c r="D72" s="707"/>
      <c r="E72" s="704"/>
      <c r="F72" s="704"/>
      <c r="G72" s="708"/>
      <c r="H72" s="706"/>
    </row>
    <row r="73" spans="1:8" ht="16.5" thickTop="1" thickBot="1" x14ac:dyDescent="0.25">
      <c r="A73" s="999"/>
      <c r="B73" s="999"/>
      <c r="C73" s="702"/>
      <c r="D73" s="707"/>
      <c r="E73" s="704"/>
      <c r="F73" s="704"/>
      <c r="G73" s="708"/>
      <c r="H73" s="706"/>
    </row>
    <row r="74" spans="1:8" ht="16.5" thickTop="1" thickBot="1" x14ac:dyDescent="0.25">
      <c r="A74" s="999"/>
      <c r="B74" s="999"/>
      <c r="C74" s="702"/>
      <c r="D74" s="707"/>
      <c r="E74" s="704"/>
      <c r="F74" s="704"/>
      <c r="G74" s="708"/>
      <c r="H74" s="706"/>
    </row>
    <row r="75" spans="1:8" ht="16.5" thickTop="1" thickBot="1" x14ac:dyDescent="0.25">
      <c r="A75" s="999"/>
      <c r="B75" s="999"/>
      <c r="C75" s="702"/>
      <c r="D75" s="707"/>
      <c r="E75" s="704"/>
      <c r="F75" s="704"/>
      <c r="G75" s="708"/>
      <c r="H75" s="706"/>
    </row>
    <row r="76" spans="1:8" ht="16.5" thickTop="1" thickBot="1" x14ac:dyDescent="0.25">
      <c r="A76" s="999"/>
      <c r="B76" s="999"/>
      <c r="C76" s="702"/>
      <c r="D76" s="707"/>
      <c r="E76" s="704"/>
      <c r="F76" s="704"/>
      <c r="G76" s="708"/>
      <c r="H76" s="706"/>
    </row>
    <row r="77" spans="1:8" ht="16.5" thickTop="1" thickBot="1" x14ac:dyDescent="0.25">
      <c r="A77" s="999"/>
      <c r="B77" s="999"/>
      <c r="C77" s="702"/>
      <c r="D77" s="707"/>
      <c r="E77" s="704"/>
      <c r="F77" s="704"/>
      <c r="G77" s="708"/>
      <c r="H77" s="706"/>
    </row>
    <row r="78" spans="1:8" ht="16.5" thickTop="1" thickBot="1" x14ac:dyDescent="0.25">
      <c r="A78" s="999"/>
      <c r="B78" s="999"/>
      <c r="C78" s="702"/>
      <c r="D78" s="707"/>
      <c r="E78" s="704"/>
      <c r="F78" s="704"/>
      <c r="G78" s="708"/>
      <c r="H78" s="706"/>
    </row>
    <row r="79" spans="1:8" ht="16.5" thickTop="1" thickBot="1" x14ac:dyDescent="0.25">
      <c r="A79" s="999"/>
      <c r="B79" s="999"/>
      <c r="C79" s="702"/>
      <c r="D79" s="707"/>
      <c r="E79" s="704"/>
      <c r="F79" s="704"/>
      <c r="G79" s="708"/>
      <c r="H79" s="706"/>
    </row>
    <row r="80" spans="1:8" ht="16.5" thickTop="1" thickBot="1" x14ac:dyDescent="0.25">
      <c r="A80" s="999"/>
      <c r="B80" s="999"/>
      <c r="C80" s="702"/>
      <c r="D80" s="707"/>
      <c r="E80" s="704"/>
      <c r="F80" s="704"/>
      <c r="G80" s="708"/>
      <c r="H80" s="706"/>
    </row>
    <row r="81" spans="1:8" ht="16.5" thickTop="1" thickBot="1" x14ac:dyDescent="0.25">
      <c r="A81" s="998" t="s">
        <v>590</v>
      </c>
      <c r="B81" s="1006"/>
      <c r="C81" s="702" t="s">
        <v>586</v>
      </c>
      <c r="D81" s="707">
        <v>-1.4E-3</v>
      </c>
      <c r="E81" s="704"/>
      <c r="F81" s="704"/>
      <c r="G81" s="708"/>
      <c r="H81" s="706"/>
    </row>
    <row r="82" spans="1:8" ht="27" customHeight="1" thickTop="1" thickBot="1" x14ac:dyDescent="0.25">
      <c r="A82" s="998" t="s">
        <v>591</v>
      </c>
      <c r="B82" s="998"/>
      <c r="C82" s="702" t="s">
        <v>586</v>
      </c>
      <c r="D82" s="707">
        <v>4.3E-3</v>
      </c>
      <c r="E82" s="704"/>
      <c r="F82" s="704"/>
      <c r="G82" s="708"/>
      <c r="H82" s="706"/>
    </row>
    <row r="83" spans="1:8" ht="16.5" thickTop="1" thickBot="1" x14ac:dyDescent="0.25">
      <c r="A83" s="998" t="s">
        <v>592</v>
      </c>
      <c r="B83" s="998"/>
      <c r="C83" s="702" t="s">
        <v>586</v>
      </c>
      <c r="D83" s="707">
        <v>2.0999999999999999E-3</v>
      </c>
      <c r="E83" s="704"/>
      <c r="F83" s="704"/>
      <c r="G83" s="708"/>
      <c r="H83" s="706"/>
    </row>
    <row r="84" spans="1:8" ht="25.5" customHeight="1" thickTop="1" thickBot="1" x14ac:dyDescent="0.25">
      <c r="A84" s="998" t="s">
        <v>593</v>
      </c>
      <c r="B84" s="998"/>
      <c r="C84" s="702" t="s">
        <v>586</v>
      </c>
      <c r="D84" s="707">
        <v>-1.6000000000000001E-3</v>
      </c>
      <c r="E84" s="704"/>
      <c r="F84" s="704"/>
      <c r="G84" s="708"/>
      <c r="H84" s="706"/>
    </row>
    <row r="85" spans="1:8" ht="16.5" thickTop="1" thickBot="1" x14ac:dyDescent="0.25">
      <c r="A85" s="998" t="s">
        <v>594</v>
      </c>
      <c r="B85" s="998"/>
      <c r="C85" s="702" t="s">
        <v>586</v>
      </c>
      <c r="D85" s="707">
        <v>2.0000000000000001E-4</v>
      </c>
      <c r="E85" s="704"/>
      <c r="F85" s="704"/>
      <c r="G85" s="708"/>
      <c r="H85" s="706"/>
    </row>
    <row r="86" spans="1:8" ht="16.5" thickTop="1" thickBot="1" x14ac:dyDescent="0.25">
      <c r="A86" s="998"/>
      <c r="B86" s="998"/>
      <c r="C86" s="702"/>
      <c r="D86" s="707"/>
      <c r="E86" s="704"/>
      <c r="F86" s="704"/>
      <c r="G86" s="709"/>
      <c r="H86" s="706"/>
    </row>
    <row r="87" spans="1:8" ht="15.75" thickTop="1" x14ac:dyDescent="0.2">
      <c r="A87" s="699"/>
      <c r="B87" s="699"/>
      <c r="C87" s="699"/>
      <c r="D87" s="706"/>
      <c r="E87" s="704"/>
      <c r="F87" s="704"/>
      <c r="G87" s="710"/>
      <c r="H87" s="706"/>
    </row>
    <row r="88" spans="1:8" x14ac:dyDescent="0.2">
      <c r="A88" s="698" t="s">
        <v>595</v>
      </c>
      <c r="B88" s="699"/>
      <c r="C88" s="699"/>
      <c r="D88" s="706"/>
      <c r="E88" s="704"/>
      <c r="F88" s="704"/>
      <c r="G88" s="710"/>
      <c r="H88" s="706"/>
    </row>
    <row r="89" spans="1:8" x14ac:dyDescent="0.2">
      <c r="A89" s="699"/>
      <c r="B89" s="699"/>
      <c r="C89" s="699"/>
      <c r="D89" s="706"/>
      <c r="E89" s="704"/>
      <c r="F89" s="704"/>
      <c r="G89" s="710"/>
      <c r="H89" s="706"/>
    </row>
    <row r="90" spans="1:8" ht="15.75" thickBot="1" x14ac:dyDescent="0.25">
      <c r="A90" s="980" t="s">
        <v>596</v>
      </c>
      <c r="B90" s="981"/>
      <c r="C90" s="711" t="s">
        <v>586</v>
      </c>
      <c r="D90" s="712">
        <v>4.4000000000000003E-3</v>
      </c>
      <c r="E90" s="704"/>
      <c r="F90" s="704"/>
      <c r="G90" s="713"/>
      <c r="H90" s="704"/>
    </row>
    <row r="91" spans="1:8" ht="16.5" thickTop="1" thickBot="1" x14ac:dyDescent="0.25">
      <c r="A91" s="980" t="s">
        <v>597</v>
      </c>
      <c r="B91" s="981"/>
      <c r="C91" s="714" t="s">
        <v>586</v>
      </c>
      <c r="D91" s="715">
        <v>1.2999999999999999E-3</v>
      </c>
      <c r="E91" s="704"/>
      <c r="F91" s="704"/>
      <c r="G91" s="713"/>
      <c r="H91" s="704"/>
    </row>
    <row r="92" spans="1:8" ht="16.5" thickTop="1" thickBot="1" x14ac:dyDescent="0.25">
      <c r="A92" s="980" t="s">
        <v>598</v>
      </c>
      <c r="B92" s="981"/>
      <c r="C92" s="716" t="s">
        <v>11</v>
      </c>
      <c r="D92" s="717">
        <v>0.25</v>
      </c>
      <c r="E92" s="704"/>
      <c r="F92" s="704"/>
      <c r="G92" s="713"/>
      <c r="H92" s="704"/>
    </row>
    <row r="93" spans="1:8" ht="18.75" thickTop="1" x14ac:dyDescent="0.2">
      <c r="A93" s="1003" t="s">
        <v>599</v>
      </c>
      <c r="B93" s="1003"/>
      <c r="C93" s="1003"/>
      <c r="D93" s="1004"/>
      <c r="E93" s="718"/>
      <c r="F93" s="718"/>
      <c r="G93" s="718"/>
      <c r="H93" s="718"/>
    </row>
    <row r="94" spans="1:8" x14ac:dyDescent="0.2">
      <c r="A94" s="696"/>
      <c r="B94" s="696"/>
      <c r="C94" s="696"/>
      <c r="D94" s="719"/>
      <c r="E94" s="719"/>
      <c r="F94" s="719"/>
      <c r="G94" s="719"/>
      <c r="H94" s="719"/>
    </row>
    <row r="95" spans="1:8" ht="71.25" customHeight="1" x14ac:dyDescent="0.2">
      <c r="A95" s="1002" t="s">
        <v>600</v>
      </c>
      <c r="B95" s="1000"/>
      <c r="C95" s="1000"/>
      <c r="D95" s="1005"/>
      <c r="E95" s="704"/>
      <c r="F95" s="704"/>
      <c r="G95" s="704"/>
      <c r="H95" s="704"/>
    </row>
    <row r="96" spans="1:8" x14ac:dyDescent="0.2">
      <c r="A96" s="698" t="s">
        <v>578</v>
      </c>
      <c r="B96" s="699"/>
      <c r="C96" s="699"/>
      <c r="D96" s="706"/>
      <c r="E96" s="706"/>
      <c r="F96" s="706"/>
      <c r="G96" s="706"/>
      <c r="H96" s="706"/>
    </row>
    <row r="97" spans="1:8" x14ac:dyDescent="0.2">
      <c r="A97" s="699"/>
      <c r="B97" s="699"/>
      <c r="C97" s="699"/>
      <c r="D97" s="706"/>
      <c r="E97" s="706"/>
      <c r="F97" s="706"/>
      <c r="G97" s="706"/>
      <c r="H97" s="706"/>
    </row>
    <row r="98" spans="1:8" ht="43.5" customHeight="1" x14ac:dyDescent="0.2">
      <c r="A98" s="1002" t="s">
        <v>579</v>
      </c>
      <c r="B98" s="1000"/>
      <c r="C98" s="1000"/>
      <c r="D98" s="1001"/>
      <c r="E98" s="704"/>
      <c r="F98" s="704"/>
      <c r="G98" s="704"/>
      <c r="H98" s="704"/>
    </row>
    <row r="99" spans="1:8" ht="59.25" customHeight="1" x14ac:dyDescent="0.2">
      <c r="A99" s="1000" t="s">
        <v>580</v>
      </c>
      <c r="B99" s="1000"/>
      <c r="C99" s="1000"/>
      <c r="D99" s="1001"/>
      <c r="E99" s="704"/>
      <c r="F99" s="704"/>
      <c r="G99" s="704"/>
      <c r="H99" s="704"/>
    </row>
    <row r="100" spans="1:8" ht="54.75" customHeight="1" x14ac:dyDescent="0.2">
      <c r="A100" s="1000" t="s">
        <v>581</v>
      </c>
      <c r="B100" s="1000"/>
      <c r="C100" s="1000"/>
      <c r="D100" s="1001"/>
      <c r="E100" s="704"/>
      <c r="F100" s="704"/>
      <c r="G100" s="704"/>
      <c r="H100" s="706"/>
    </row>
    <row r="101" spans="1:8" ht="54.75" customHeight="1" x14ac:dyDescent="0.2">
      <c r="A101" s="1002" t="s">
        <v>582</v>
      </c>
      <c r="B101" s="1000"/>
      <c r="C101" s="1000"/>
      <c r="D101" s="1001"/>
      <c r="E101" s="704"/>
      <c r="F101" s="704"/>
      <c r="G101" s="704"/>
      <c r="H101" s="706"/>
    </row>
    <row r="102" spans="1:8" x14ac:dyDescent="0.2">
      <c r="A102" s="697"/>
      <c r="B102" s="697"/>
      <c r="C102" s="697"/>
      <c r="D102" s="704"/>
      <c r="E102" s="704"/>
      <c r="F102" s="704"/>
      <c r="G102" s="720"/>
      <c r="H102" s="706"/>
    </row>
    <row r="103" spans="1:8" x14ac:dyDescent="0.2">
      <c r="A103" s="698" t="s">
        <v>583</v>
      </c>
      <c r="B103" s="699"/>
      <c r="C103" s="699"/>
      <c r="D103" s="706"/>
      <c r="E103" s="704"/>
      <c r="F103" s="704"/>
      <c r="G103" s="706"/>
      <c r="H103" s="706"/>
    </row>
    <row r="104" spans="1:8" x14ac:dyDescent="0.2">
      <c r="A104" s="698"/>
      <c r="B104" s="699"/>
      <c r="C104" s="699"/>
      <c r="D104" s="706"/>
      <c r="E104" s="704"/>
      <c r="F104" s="704"/>
      <c r="G104" s="706"/>
      <c r="H104" s="706"/>
    </row>
    <row r="105" spans="1:8" ht="15.75" thickBot="1" x14ac:dyDescent="0.25">
      <c r="A105" s="999" t="s">
        <v>584</v>
      </c>
      <c r="B105" s="999"/>
      <c r="C105" s="702" t="s">
        <v>11</v>
      </c>
      <c r="D105" s="703">
        <v>25.27</v>
      </c>
      <c r="E105" s="704"/>
      <c r="F105" s="704"/>
      <c r="G105" s="705"/>
      <c r="H105" s="706"/>
    </row>
    <row r="106" spans="1:8" ht="16.5" thickTop="1" thickBot="1" x14ac:dyDescent="0.25">
      <c r="A106" s="999" t="s">
        <v>585</v>
      </c>
      <c r="B106" s="999"/>
      <c r="C106" s="702" t="s">
        <v>11</v>
      </c>
      <c r="D106" s="703">
        <v>0.79</v>
      </c>
      <c r="E106" s="704"/>
      <c r="F106" s="704"/>
      <c r="G106" s="708"/>
      <c r="H106" s="706"/>
    </row>
    <row r="107" spans="1:8" ht="16.5" thickTop="1" thickBot="1" x14ac:dyDescent="0.25">
      <c r="A107" s="999" t="s">
        <v>499</v>
      </c>
      <c r="B107" s="999"/>
      <c r="C107" s="702" t="s">
        <v>586</v>
      </c>
      <c r="D107" s="707">
        <v>1.78E-2</v>
      </c>
      <c r="E107" s="704"/>
      <c r="F107" s="704"/>
      <c r="G107" s="708"/>
      <c r="H107" s="706"/>
    </row>
    <row r="108" spans="1:8" ht="16.5" thickTop="1" thickBot="1" x14ac:dyDescent="0.25">
      <c r="A108" s="999" t="s">
        <v>587</v>
      </c>
      <c r="B108" s="999"/>
      <c r="C108" s="702" t="s">
        <v>586</v>
      </c>
      <c r="D108" s="707">
        <v>4.0000000000000002E-4</v>
      </c>
      <c r="E108" s="704"/>
      <c r="F108" s="704"/>
      <c r="G108" s="708"/>
      <c r="H108" s="706"/>
    </row>
    <row r="109" spans="1:8" ht="16.5" thickTop="1" thickBot="1" x14ac:dyDescent="0.25">
      <c r="A109" s="999" t="s">
        <v>588</v>
      </c>
      <c r="B109" s="999"/>
      <c r="C109" s="702" t="s">
        <v>586</v>
      </c>
      <c r="D109" s="707">
        <v>6.1000000000000004E-3</v>
      </c>
      <c r="E109" s="704"/>
      <c r="F109" s="704"/>
      <c r="G109" s="708"/>
      <c r="H109" s="706"/>
    </row>
    <row r="110" spans="1:8" ht="16.5" thickTop="1" thickBot="1" x14ac:dyDescent="0.25">
      <c r="A110" s="999" t="s">
        <v>589</v>
      </c>
      <c r="B110" s="999"/>
      <c r="C110" s="702" t="s">
        <v>586</v>
      </c>
      <c r="D110" s="707">
        <v>4.7999999999999996E-3</v>
      </c>
      <c r="E110" s="704"/>
      <c r="F110" s="704"/>
      <c r="G110" s="708"/>
      <c r="H110" s="706"/>
    </row>
    <row r="111" spans="1:8" ht="16.5" thickTop="1" thickBot="1" x14ac:dyDescent="0.25">
      <c r="A111" s="999"/>
      <c r="B111" s="999"/>
      <c r="C111" s="702"/>
      <c r="D111" s="707"/>
      <c r="E111" s="704"/>
      <c r="F111" s="704"/>
      <c r="G111" s="708"/>
      <c r="H111" s="706"/>
    </row>
    <row r="112" spans="1:8" ht="16.5" thickTop="1" thickBot="1" x14ac:dyDescent="0.25">
      <c r="A112" s="999"/>
      <c r="B112" s="999"/>
      <c r="C112" s="702"/>
      <c r="D112" s="707"/>
      <c r="E112" s="704"/>
      <c r="F112" s="704"/>
      <c r="G112" s="708"/>
      <c r="H112" s="706"/>
    </row>
    <row r="113" spans="1:8" ht="16.5" thickTop="1" thickBot="1" x14ac:dyDescent="0.25">
      <c r="A113" s="999"/>
      <c r="B113" s="999"/>
      <c r="C113" s="702"/>
      <c r="D113" s="707"/>
      <c r="E113" s="704"/>
      <c r="F113" s="704"/>
      <c r="G113" s="708"/>
      <c r="H113" s="706"/>
    </row>
    <row r="114" spans="1:8" ht="16.5" thickTop="1" thickBot="1" x14ac:dyDescent="0.25">
      <c r="A114" s="999"/>
      <c r="B114" s="999"/>
      <c r="C114" s="702"/>
      <c r="D114" s="707"/>
      <c r="E114" s="704"/>
      <c r="F114" s="704"/>
      <c r="G114" s="708"/>
      <c r="H114" s="706"/>
    </row>
    <row r="115" spans="1:8" ht="16.5" thickTop="1" thickBot="1" x14ac:dyDescent="0.25">
      <c r="A115" s="999"/>
      <c r="B115" s="999"/>
      <c r="C115" s="702"/>
      <c r="D115" s="707"/>
      <c r="E115" s="704"/>
      <c r="F115" s="704"/>
      <c r="G115" s="708"/>
      <c r="H115" s="706"/>
    </row>
    <row r="116" spans="1:8" ht="16.5" thickTop="1" thickBot="1" x14ac:dyDescent="0.25">
      <c r="A116" s="999"/>
      <c r="B116" s="999"/>
      <c r="C116" s="702"/>
      <c r="D116" s="707"/>
      <c r="E116" s="704"/>
      <c r="F116" s="704"/>
      <c r="G116" s="708"/>
      <c r="H116" s="706"/>
    </row>
    <row r="117" spans="1:8" ht="16.5" thickTop="1" thickBot="1" x14ac:dyDescent="0.25">
      <c r="A117" s="999"/>
      <c r="B117" s="999"/>
      <c r="C117" s="702"/>
      <c r="D117" s="707"/>
      <c r="E117" s="704"/>
      <c r="F117" s="704"/>
      <c r="G117" s="708"/>
      <c r="H117" s="706"/>
    </row>
    <row r="118" spans="1:8" ht="16.5" thickTop="1" thickBot="1" x14ac:dyDescent="0.25">
      <c r="A118" s="999"/>
      <c r="B118" s="999"/>
      <c r="C118" s="702"/>
      <c r="D118" s="707"/>
      <c r="E118" s="704"/>
      <c r="F118" s="704"/>
      <c r="G118" s="708"/>
      <c r="H118" s="706"/>
    </row>
    <row r="119" spans="1:8" ht="16.5" thickTop="1" thickBot="1" x14ac:dyDescent="0.25">
      <c r="A119" s="999"/>
      <c r="B119" s="999"/>
      <c r="C119" s="702"/>
      <c r="D119" s="707"/>
      <c r="E119" s="704"/>
      <c r="F119" s="704"/>
      <c r="G119" s="708"/>
      <c r="H119" s="706"/>
    </row>
    <row r="120" spans="1:8" ht="16.5" thickTop="1" thickBot="1" x14ac:dyDescent="0.25">
      <c r="A120" s="999"/>
      <c r="B120" s="999"/>
      <c r="C120" s="702"/>
      <c r="D120" s="707"/>
      <c r="E120" s="704"/>
      <c r="F120" s="704"/>
      <c r="G120" s="708"/>
      <c r="H120" s="706"/>
    </row>
    <row r="121" spans="1:8" ht="16.5" thickTop="1" thickBot="1" x14ac:dyDescent="0.25">
      <c r="A121" s="999"/>
      <c r="B121" s="999"/>
      <c r="C121" s="702"/>
      <c r="D121" s="707"/>
      <c r="E121" s="704"/>
      <c r="F121" s="704"/>
      <c r="G121" s="708"/>
      <c r="H121" s="706"/>
    </row>
    <row r="122" spans="1:8" ht="16.5" thickTop="1" thickBot="1" x14ac:dyDescent="0.25">
      <c r="A122" s="999"/>
      <c r="B122" s="999"/>
      <c r="C122" s="702"/>
      <c r="D122" s="707"/>
      <c r="E122" s="704"/>
      <c r="F122" s="704"/>
      <c r="G122" s="708"/>
      <c r="H122" s="706"/>
    </row>
    <row r="123" spans="1:8" ht="16.5" thickTop="1" thickBot="1" x14ac:dyDescent="0.25">
      <c r="A123" s="999"/>
      <c r="B123" s="999"/>
      <c r="C123" s="702"/>
      <c r="D123" s="707"/>
      <c r="E123" s="704"/>
      <c r="F123" s="704"/>
      <c r="G123" s="708"/>
      <c r="H123" s="706"/>
    </row>
    <row r="124" spans="1:8" ht="16.5" thickTop="1" thickBot="1" x14ac:dyDescent="0.25">
      <c r="A124" s="999"/>
      <c r="B124" s="999"/>
      <c r="C124" s="702"/>
      <c r="D124" s="707"/>
      <c r="E124" s="704"/>
      <c r="F124" s="704"/>
      <c r="G124" s="708"/>
      <c r="H124" s="706"/>
    </row>
    <row r="125" spans="1:8" ht="16.5" thickTop="1" thickBot="1" x14ac:dyDescent="0.25">
      <c r="A125" s="999"/>
      <c r="B125" s="999"/>
      <c r="C125" s="702"/>
      <c r="D125" s="707"/>
      <c r="E125" s="704"/>
      <c r="F125" s="704"/>
      <c r="G125" s="708"/>
      <c r="H125" s="706"/>
    </row>
    <row r="126" spans="1:8" ht="16.5" thickTop="1" thickBot="1" x14ac:dyDescent="0.25">
      <c r="A126" s="999"/>
      <c r="B126" s="999"/>
      <c r="C126" s="702"/>
      <c r="D126" s="707"/>
      <c r="E126" s="704"/>
      <c r="F126" s="704"/>
      <c r="G126" s="708"/>
      <c r="H126" s="706"/>
    </row>
    <row r="127" spans="1:8" ht="16.5" thickTop="1" thickBot="1" x14ac:dyDescent="0.25">
      <c r="A127" s="999"/>
      <c r="B127" s="999"/>
      <c r="C127" s="702"/>
      <c r="D127" s="707"/>
      <c r="E127" s="704"/>
      <c r="F127" s="704"/>
      <c r="G127" s="708"/>
      <c r="H127" s="706"/>
    </row>
    <row r="128" spans="1:8" ht="16.5" thickTop="1" thickBot="1" x14ac:dyDescent="0.25">
      <c r="A128" s="999"/>
      <c r="B128" s="999"/>
      <c r="C128" s="702"/>
      <c r="D128" s="707"/>
      <c r="E128" s="704"/>
      <c r="F128" s="704"/>
      <c r="G128" s="708"/>
      <c r="H128" s="706"/>
    </row>
    <row r="129" spans="1:8" ht="16.5" thickTop="1" thickBot="1" x14ac:dyDescent="0.25">
      <c r="A129" s="998" t="s">
        <v>590</v>
      </c>
      <c r="B129" s="1006"/>
      <c r="C129" s="702" t="s">
        <v>586</v>
      </c>
      <c r="D129" s="707">
        <v>-2E-3</v>
      </c>
      <c r="E129" s="704"/>
      <c r="F129" s="704"/>
      <c r="G129" s="708"/>
      <c r="H129" s="706"/>
    </row>
    <row r="130" spans="1:8" ht="27" customHeight="1" thickTop="1" thickBot="1" x14ac:dyDescent="0.25">
      <c r="A130" s="998" t="s">
        <v>591</v>
      </c>
      <c r="B130" s="998"/>
      <c r="C130" s="702" t="s">
        <v>586</v>
      </c>
      <c r="D130" s="707">
        <v>4.3E-3</v>
      </c>
      <c r="E130" s="704"/>
      <c r="F130" s="704"/>
      <c r="G130" s="708"/>
      <c r="H130" s="706"/>
    </row>
    <row r="131" spans="1:8" ht="16.5" thickTop="1" thickBot="1" x14ac:dyDescent="0.25">
      <c r="A131" s="998" t="s">
        <v>592</v>
      </c>
      <c r="B131" s="998"/>
      <c r="C131" s="702" t="s">
        <v>586</v>
      </c>
      <c r="D131" s="707">
        <v>1.9E-3</v>
      </c>
      <c r="E131" s="704"/>
      <c r="F131" s="704"/>
      <c r="G131" s="708"/>
      <c r="H131" s="706"/>
    </row>
    <row r="132" spans="1:8" ht="27.75" customHeight="1" thickTop="1" thickBot="1" x14ac:dyDescent="0.25">
      <c r="A132" s="998" t="s">
        <v>593</v>
      </c>
      <c r="B132" s="998"/>
      <c r="C132" s="702" t="s">
        <v>586</v>
      </c>
      <c r="D132" s="707">
        <v>-8.9999999999999998E-4</v>
      </c>
      <c r="E132" s="704"/>
      <c r="F132" s="704"/>
      <c r="G132" s="708"/>
      <c r="H132" s="706"/>
    </row>
    <row r="133" spans="1:8" ht="16.5" thickTop="1" thickBot="1" x14ac:dyDescent="0.25">
      <c r="A133" s="998" t="s">
        <v>594</v>
      </c>
      <c r="B133" s="998"/>
      <c r="C133" s="702" t="s">
        <v>586</v>
      </c>
      <c r="D133" s="707">
        <v>1E-4</v>
      </c>
      <c r="E133" s="704"/>
      <c r="F133" s="704"/>
      <c r="G133" s="708"/>
      <c r="H133" s="706"/>
    </row>
    <row r="134" spans="1:8" ht="16.5" thickTop="1" thickBot="1" x14ac:dyDescent="0.25">
      <c r="A134" s="998"/>
      <c r="B134" s="998"/>
      <c r="C134" s="702"/>
      <c r="D134" s="707"/>
      <c r="E134" s="704"/>
      <c r="F134" s="704"/>
      <c r="G134" s="709"/>
      <c r="H134" s="706"/>
    </row>
    <row r="135" spans="1:8" ht="15.75" thickTop="1" x14ac:dyDescent="0.2">
      <c r="A135" s="699"/>
      <c r="B135" s="699"/>
      <c r="C135" s="699"/>
      <c r="D135" s="706"/>
      <c r="E135" s="704"/>
      <c r="F135" s="704"/>
      <c r="G135" s="710"/>
      <c r="H135" s="706"/>
    </row>
    <row r="136" spans="1:8" x14ac:dyDescent="0.2">
      <c r="A136" s="698" t="s">
        <v>595</v>
      </c>
      <c r="B136" s="699"/>
      <c r="C136" s="699"/>
      <c r="D136" s="706"/>
      <c r="E136" s="704"/>
      <c r="F136" s="704"/>
      <c r="G136" s="710"/>
      <c r="H136" s="706"/>
    </row>
    <row r="137" spans="1:8" x14ac:dyDescent="0.2">
      <c r="A137" s="699"/>
      <c r="B137" s="699"/>
      <c r="C137" s="699"/>
      <c r="D137" s="706"/>
      <c r="E137" s="704"/>
      <c r="F137" s="704"/>
      <c r="G137" s="710"/>
      <c r="H137" s="706"/>
    </row>
    <row r="138" spans="1:8" ht="15.75" thickBot="1" x14ac:dyDescent="0.25">
      <c r="A138" s="980" t="s">
        <v>596</v>
      </c>
      <c r="B138" s="981"/>
      <c r="C138" s="711" t="s">
        <v>586</v>
      </c>
      <c r="D138" s="712">
        <v>4.4000000000000003E-3</v>
      </c>
      <c r="E138" s="704"/>
      <c r="F138" s="704"/>
      <c r="G138" s="713"/>
      <c r="H138" s="704"/>
    </row>
    <row r="139" spans="1:8" ht="16.5" thickTop="1" thickBot="1" x14ac:dyDescent="0.25">
      <c r="A139" s="980" t="s">
        <v>597</v>
      </c>
      <c r="B139" s="981"/>
      <c r="C139" s="714" t="s">
        <v>586</v>
      </c>
      <c r="D139" s="715">
        <v>1.2999999999999999E-3</v>
      </c>
      <c r="E139" s="704"/>
      <c r="F139" s="704"/>
      <c r="G139" s="713"/>
      <c r="H139" s="704"/>
    </row>
    <row r="140" spans="1:8" ht="16.5" thickTop="1" thickBot="1" x14ac:dyDescent="0.25">
      <c r="A140" s="980" t="s">
        <v>598</v>
      </c>
      <c r="B140" s="981"/>
      <c r="C140" s="716" t="s">
        <v>11</v>
      </c>
      <c r="D140" s="717">
        <v>0.25</v>
      </c>
      <c r="E140" s="704"/>
      <c r="F140" s="704"/>
      <c r="G140" s="713"/>
      <c r="H140" s="704"/>
    </row>
    <row r="141" spans="1:8" ht="18.75" thickTop="1" x14ac:dyDescent="0.2">
      <c r="A141" s="1003" t="s">
        <v>601</v>
      </c>
      <c r="B141" s="1003"/>
      <c r="C141" s="1003"/>
      <c r="D141" s="1004"/>
      <c r="E141" s="718"/>
      <c r="F141" s="718"/>
      <c r="G141" s="718"/>
      <c r="H141" s="718"/>
    </row>
    <row r="142" spans="1:8" x14ac:dyDescent="0.2">
      <c r="A142" s="696"/>
      <c r="B142" s="696"/>
      <c r="C142" s="696"/>
      <c r="D142" s="719"/>
      <c r="E142" s="719"/>
      <c r="F142" s="719"/>
      <c r="G142" s="719"/>
      <c r="H142" s="719"/>
    </row>
    <row r="143" spans="1:8" ht="81" customHeight="1" x14ac:dyDescent="0.2">
      <c r="A143" s="1007" t="s">
        <v>602</v>
      </c>
      <c r="B143" s="1008"/>
      <c r="C143" s="1008"/>
      <c r="D143" s="1009"/>
      <c r="E143" s="704"/>
      <c r="F143" s="704"/>
      <c r="G143" s="704"/>
      <c r="H143" s="704"/>
    </row>
    <row r="144" spans="1:8" x14ac:dyDescent="0.2">
      <c r="A144" s="721"/>
      <c r="B144" s="721"/>
      <c r="C144" s="721"/>
      <c r="D144" s="722"/>
      <c r="E144" s="704"/>
      <c r="F144" s="704"/>
      <c r="G144" s="704"/>
      <c r="H144" s="704"/>
    </row>
    <row r="145" spans="1:8" x14ac:dyDescent="0.2">
      <c r="A145" s="698" t="s">
        <v>578</v>
      </c>
      <c r="B145" s="699"/>
      <c r="C145" s="699"/>
      <c r="D145" s="706"/>
      <c r="E145" s="706"/>
      <c r="F145" s="706"/>
      <c r="G145" s="706"/>
      <c r="H145" s="706"/>
    </row>
    <row r="146" spans="1:8" x14ac:dyDescent="0.2">
      <c r="A146" s="699"/>
      <c r="B146" s="699"/>
      <c r="C146" s="699"/>
      <c r="D146" s="706"/>
      <c r="E146" s="706"/>
      <c r="F146" s="706"/>
      <c r="G146" s="706"/>
      <c r="H146" s="706"/>
    </row>
    <row r="147" spans="1:8" ht="45.75" customHeight="1" x14ac:dyDescent="0.2">
      <c r="A147" s="1002" t="s">
        <v>579</v>
      </c>
      <c r="B147" s="1000"/>
      <c r="C147" s="1000"/>
      <c r="D147" s="1001"/>
      <c r="E147" s="704"/>
      <c r="F147" s="704"/>
      <c r="G147" s="704"/>
      <c r="H147" s="704"/>
    </row>
    <row r="148" spans="1:8" ht="60" customHeight="1" x14ac:dyDescent="0.2">
      <c r="A148" s="1000" t="s">
        <v>580</v>
      </c>
      <c r="B148" s="1000"/>
      <c r="C148" s="1000"/>
      <c r="D148" s="1001"/>
      <c r="E148" s="704"/>
      <c r="F148" s="704"/>
      <c r="G148" s="704"/>
      <c r="H148" s="704"/>
    </row>
    <row r="149" spans="1:8" ht="58.5" customHeight="1" x14ac:dyDescent="0.2">
      <c r="A149" s="1000" t="s">
        <v>581</v>
      </c>
      <c r="B149" s="1000"/>
      <c r="C149" s="1000"/>
      <c r="D149" s="1001"/>
      <c r="E149" s="704"/>
      <c r="F149" s="704"/>
      <c r="G149" s="704"/>
      <c r="H149" s="706"/>
    </row>
    <row r="150" spans="1:8" ht="48.75" customHeight="1" x14ac:dyDescent="0.2">
      <c r="A150" s="1002" t="s">
        <v>582</v>
      </c>
      <c r="B150" s="1000"/>
      <c r="C150" s="1000"/>
      <c r="D150" s="1001"/>
      <c r="E150" s="704"/>
      <c r="F150" s="704"/>
      <c r="G150" s="704"/>
      <c r="H150" s="706"/>
    </row>
    <row r="151" spans="1:8" x14ac:dyDescent="0.2">
      <c r="A151" s="697"/>
      <c r="B151" s="697"/>
      <c r="C151" s="697"/>
      <c r="D151" s="704"/>
      <c r="E151" s="704"/>
      <c r="F151" s="704"/>
      <c r="G151" s="720"/>
      <c r="H151" s="706"/>
    </row>
    <row r="152" spans="1:8" x14ac:dyDescent="0.2">
      <c r="A152" s="698" t="s">
        <v>583</v>
      </c>
      <c r="B152" s="699"/>
      <c r="C152" s="699"/>
      <c r="D152" s="706"/>
      <c r="E152" s="704"/>
      <c r="F152" s="704"/>
      <c r="G152" s="706"/>
      <c r="H152" s="706"/>
    </row>
    <row r="153" spans="1:8" x14ac:dyDescent="0.2">
      <c r="A153" s="698"/>
      <c r="B153" s="699"/>
      <c r="C153" s="699"/>
      <c r="D153" s="706"/>
      <c r="E153" s="704"/>
      <c r="F153" s="704"/>
      <c r="G153" s="706"/>
      <c r="H153" s="706"/>
    </row>
    <row r="154" spans="1:8" ht="15.75" thickBot="1" x14ac:dyDescent="0.25">
      <c r="A154" s="999" t="s">
        <v>584</v>
      </c>
      <c r="B154" s="999"/>
      <c r="C154" s="702" t="s">
        <v>11</v>
      </c>
      <c r="D154" s="703">
        <v>85.37</v>
      </c>
      <c r="E154" s="704"/>
      <c r="F154" s="704"/>
      <c r="G154" s="705"/>
      <c r="H154" s="706"/>
    </row>
    <row r="155" spans="1:8" ht="16.5" thickTop="1" thickBot="1" x14ac:dyDescent="0.25">
      <c r="A155" s="723" t="s">
        <v>499</v>
      </c>
      <c r="B155" s="723"/>
      <c r="C155" s="702" t="s">
        <v>603</v>
      </c>
      <c r="D155" s="707">
        <v>4.0107999999999997</v>
      </c>
      <c r="E155" s="704"/>
      <c r="F155" s="704"/>
      <c r="G155" s="708"/>
      <c r="H155" s="706"/>
    </row>
    <row r="156" spans="1:8" ht="16.5" thickTop="1" thickBot="1" x14ac:dyDescent="0.25">
      <c r="A156" s="723" t="s">
        <v>587</v>
      </c>
      <c r="B156" s="723"/>
      <c r="C156" s="702" t="s">
        <v>603</v>
      </c>
      <c r="D156" s="707">
        <v>0.1484</v>
      </c>
      <c r="E156" s="704"/>
      <c r="F156" s="704"/>
      <c r="G156" s="708"/>
      <c r="H156" s="706"/>
    </row>
    <row r="157" spans="1:8" ht="16.5" thickTop="1" thickBot="1" x14ac:dyDescent="0.25">
      <c r="A157" s="723" t="s">
        <v>588</v>
      </c>
      <c r="B157" s="723"/>
      <c r="C157" s="702" t="s">
        <v>603</v>
      </c>
      <c r="D157" s="707">
        <v>2.6015999999999999</v>
      </c>
      <c r="E157" s="704"/>
      <c r="F157" s="704"/>
      <c r="G157" s="708"/>
      <c r="H157" s="706"/>
    </row>
    <row r="158" spans="1:8" ht="16.5" thickTop="1" thickBot="1" x14ac:dyDescent="0.25">
      <c r="A158" s="999" t="s">
        <v>589</v>
      </c>
      <c r="B158" s="999"/>
      <c r="C158" s="702" t="s">
        <v>603</v>
      </c>
      <c r="D158" s="707">
        <v>2.0329000000000002</v>
      </c>
      <c r="E158" s="704"/>
      <c r="F158" s="704"/>
      <c r="G158" s="708"/>
      <c r="H158" s="706"/>
    </row>
    <row r="159" spans="1:8" ht="16.5" thickTop="1" thickBot="1" x14ac:dyDescent="0.25">
      <c r="A159" s="999"/>
      <c r="B159" s="999"/>
      <c r="C159" s="702"/>
      <c r="D159" s="707"/>
      <c r="E159" s="704"/>
      <c r="F159" s="704"/>
      <c r="G159" s="708"/>
      <c r="H159" s="706"/>
    </row>
    <row r="160" spans="1:8" ht="16.5" thickTop="1" thickBot="1" x14ac:dyDescent="0.25">
      <c r="A160" s="999"/>
      <c r="B160" s="999"/>
      <c r="C160" s="702"/>
      <c r="D160" s="707"/>
      <c r="E160" s="704"/>
      <c r="F160" s="704"/>
      <c r="G160" s="708"/>
      <c r="H160" s="706"/>
    </row>
    <row r="161" spans="1:8" ht="16.5" thickTop="1" thickBot="1" x14ac:dyDescent="0.25">
      <c r="A161" s="999"/>
      <c r="B161" s="999"/>
      <c r="C161" s="702"/>
      <c r="D161" s="707"/>
      <c r="E161" s="704"/>
      <c r="F161" s="704"/>
      <c r="G161" s="708"/>
      <c r="H161" s="706"/>
    </row>
    <row r="162" spans="1:8" ht="16.5" thickTop="1" thickBot="1" x14ac:dyDescent="0.25">
      <c r="A162" s="999"/>
      <c r="B162" s="999"/>
      <c r="C162" s="702"/>
      <c r="D162" s="707"/>
      <c r="E162" s="704"/>
      <c r="F162" s="704"/>
      <c r="G162" s="708"/>
      <c r="H162" s="706"/>
    </row>
    <row r="163" spans="1:8" ht="16.5" thickTop="1" thickBot="1" x14ac:dyDescent="0.25">
      <c r="A163" s="999"/>
      <c r="B163" s="999"/>
      <c r="C163" s="702"/>
      <c r="D163" s="707"/>
      <c r="E163" s="704"/>
      <c r="F163" s="704"/>
      <c r="G163" s="708"/>
      <c r="H163" s="706"/>
    </row>
    <row r="164" spans="1:8" ht="16.5" thickTop="1" thickBot="1" x14ac:dyDescent="0.25">
      <c r="A164" s="999"/>
      <c r="B164" s="999"/>
      <c r="C164" s="702"/>
      <c r="D164" s="707"/>
      <c r="E164" s="704"/>
      <c r="F164" s="704"/>
      <c r="G164" s="708"/>
      <c r="H164" s="706"/>
    </row>
    <row r="165" spans="1:8" ht="16.5" thickTop="1" thickBot="1" x14ac:dyDescent="0.25">
      <c r="A165" s="999"/>
      <c r="B165" s="999"/>
      <c r="C165" s="702"/>
      <c r="D165" s="707"/>
      <c r="E165" s="704"/>
      <c r="F165" s="704"/>
      <c r="G165" s="708"/>
      <c r="H165" s="706"/>
    </row>
    <row r="166" spans="1:8" ht="16.5" thickTop="1" thickBot="1" x14ac:dyDescent="0.25">
      <c r="A166" s="999"/>
      <c r="B166" s="999"/>
      <c r="C166" s="702"/>
      <c r="D166" s="707"/>
      <c r="E166" s="704"/>
      <c r="F166" s="704"/>
      <c r="G166" s="708"/>
      <c r="H166" s="706"/>
    </row>
    <row r="167" spans="1:8" ht="16.5" thickTop="1" thickBot="1" x14ac:dyDescent="0.25">
      <c r="A167" s="999"/>
      <c r="B167" s="999"/>
      <c r="C167" s="702"/>
      <c r="D167" s="707"/>
      <c r="E167" s="704"/>
      <c r="F167" s="704"/>
      <c r="G167" s="708"/>
      <c r="H167" s="706"/>
    </row>
    <row r="168" spans="1:8" ht="16.5" thickTop="1" thickBot="1" x14ac:dyDescent="0.25">
      <c r="A168" s="999"/>
      <c r="B168" s="999"/>
      <c r="C168" s="702"/>
      <c r="D168" s="707"/>
      <c r="E168" s="704"/>
      <c r="F168" s="704"/>
      <c r="G168" s="708"/>
      <c r="H168" s="706"/>
    </row>
    <row r="169" spans="1:8" ht="16.5" thickTop="1" thickBot="1" x14ac:dyDescent="0.25">
      <c r="A169" s="999"/>
      <c r="B169" s="999"/>
      <c r="C169" s="702"/>
      <c r="D169" s="707"/>
      <c r="E169" s="704"/>
      <c r="F169" s="704"/>
      <c r="G169" s="708"/>
      <c r="H169" s="706"/>
    </row>
    <row r="170" spans="1:8" ht="16.5" thickTop="1" thickBot="1" x14ac:dyDescent="0.25">
      <c r="A170" s="999"/>
      <c r="B170" s="999"/>
      <c r="C170" s="702"/>
      <c r="D170" s="707"/>
      <c r="E170" s="704"/>
      <c r="F170" s="704"/>
      <c r="G170" s="708"/>
      <c r="H170" s="706"/>
    </row>
    <row r="171" spans="1:8" ht="16.5" thickTop="1" thickBot="1" x14ac:dyDescent="0.25">
      <c r="A171" s="999"/>
      <c r="B171" s="999"/>
      <c r="C171" s="702"/>
      <c r="D171" s="707"/>
      <c r="E171" s="704"/>
      <c r="F171" s="704"/>
      <c r="G171" s="708"/>
      <c r="H171" s="706"/>
    </row>
    <row r="172" spans="1:8" ht="16.5" thickTop="1" thickBot="1" x14ac:dyDescent="0.25">
      <c r="A172" s="999"/>
      <c r="B172" s="999"/>
      <c r="C172" s="702"/>
      <c r="D172" s="707"/>
      <c r="E172" s="704"/>
      <c r="F172" s="704"/>
      <c r="G172" s="708"/>
      <c r="H172" s="706"/>
    </row>
    <row r="173" spans="1:8" ht="16.5" thickTop="1" thickBot="1" x14ac:dyDescent="0.25">
      <c r="A173" s="999"/>
      <c r="B173" s="999"/>
      <c r="C173" s="702"/>
      <c r="D173" s="707"/>
      <c r="E173" s="704"/>
      <c r="F173" s="704"/>
      <c r="G173" s="708"/>
      <c r="H173" s="706"/>
    </row>
    <row r="174" spans="1:8" ht="16.5" thickTop="1" thickBot="1" x14ac:dyDescent="0.25">
      <c r="A174" s="999"/>
      <c r="B174" s="999"/>
      <c r="C174" s="702"/>
      <c r="D174" s="707"/>
      <c r="E174" s="704"/>
      <c r="F174" s="704"/>
      <c r="G174" s="708"/>
      <c r="H174" s="706"/>
    </row>
    <row r="175" spans="1:8" ht="16.5" thickTop="1" thickBot="1" x14ac:dyDescent="0.25">
      <c r="A175" s="999"/>
      <c r="B175" s="999"/>
      <c r="C175" s="702"/>
      <c r="D175" s="707"/>
      <c r="E175" s="704"/>
      <c r="F175" s="704"/>
      <c r="G175" s="708"/>
      <c r="H175" s="706"/>
    </row>
    <row r="176" spans="1:8" ht="16.5" thickTop="1" thickBot="1" x14ac:dyDescent="0.25">
      <c r="A176" s="999"/>
      <c r="B176" s="999"/>
      <c r="C176" s="702"/>
      <c r="D176" s="707"/>
      <c r="E176" s="704"/>
      <c r="F176" s="704"/>
      <c r="G176" s="708"/>
      <c r="H176" s="706"/>
    </row>
    <row r="177" spans="1:8" ht="16.5" thickTop="1" thickBot="1" x14ac:dyDescent="0.25">
      <c r="A177" s="999"/>
      <c r="B177" s="999"/>
      <c r="C177" s="702"/>
      <c r="D177" s="707"/>
      <c r="E177" s="704"/>
      <c r="F177" s="704"/>
      <c r="G177" s="708"/>
      <c r="H177" s="706"/>
    </row>
    <row r="178" spans="1:8" ht="16.5" thickTop="1" thickBot="1" x14ac:dyDescent="0.25">
      <c r="A178" s="998" t="s">
        <v>590</v>
      </c>
      <c r="B178" s="1006"/>
      <c r="C178" s="702" t="s">
        <v>603</v>
      </c>
      <c r="D178" s="707">
        <v>-0.97430000000000005</v>
      </c>
      <c r="E178" s="704"/>
      <c r="F178" s="704"/>
      <c r="G178" s="708"/>
      <c r="H178" s="706"/>
    </row>
    <row r="179" spans="1:8" ht="24.75" customHeight="1" thickTop="1" thickBot="1" x14ac:dyDescent="0.25">
      <c r="A179" s="998" t="s">
        <v>591</v>
      </c>
      <c r="B179" s="998"/>
      <c r="C179" s="702" t="s">
        <v>603</v>
      </c>
      <c r="D179" s="707">
        <v>1.5444</v>
      </c>
      <c r="E179" s="704"/>
      <c r="F179" s="704"/>
      <c r="G179" s="708"/>
      <c r="H179" s="706"/>
    </row>
    <row r="180" spans="1:8" ht="16.5" thickTop="1" thickBot="1" x14ac:dyDescent="0.25">
      <c r="A180" s="998" t="s">
        <v>592</v>
      </c>
      <c r="B180" s="998"/>
      <c r="C180" s="702" t="s">
        <v>603</v>
      </c>
      <c r="D180" s="707">
        <v>5.8500000000000003E-2</v>
      </c>
      <c r="E180" s="704"/>
      <c r="F180" s="704"/>
      <c r="G180" s="708"/>
      <c r="H180" s="706"/>
    </row>
    <row r="181" spans="1:8" ht="24" customHeight="1" thickTop="1" thickBot="1" x14ac:dyDescent="0.25">
      <c r="A181" s="998" t="s">
        <v>593</v>
      </c>
      <c r="B181" s="998"/>
      <c r="C181" s="702" t="s">
        <v>603</v>
      </c>
      <c r="D181" s="707">
        <v>-0.128</v>
      </c>
      <c r="E181" s="704"/>
      <c r="F181" s="704"/>
      <c r="G181" s="708"/>
      <c r="H181" s="706"/>
    </row>
    <row r="182" spans="1:8" ht="16.5" thickTop="1" thickBot="1" x14ac:dyDescent="0.25">
      <c r="A182" s="998" t="s">
        <v>594</v>
      </c>
      <c r="B182" s="998"/>
      <c r="C182" s="702" t="s">
        <v>603</v>
      </c>
      <c r="D182" s="707">
        <v>1.9300000000000001E-2</v>
      </c>
      <c r="E182" s="704"/>
      <c r="F182" s="704"/>
      <c r="G182" s="708"/>
      <c r="H182" s="706"/>
    </row>
    <row r="183" spans="1:8" ht="16.5" thickTop="1" thickBot="1" x14ac:dyDescent="0.25">
      <c r="A183" s="998"/>
      <c r="B183" s="998"/>
      <c r="C183" s="702"/>
      <c r="D183" s="707"/>
      <c r="E183" s="704"/>
      <c r="F183" s="704"/>
      <c r="G183" s="709"/>
      <c r="H183" s="706"/>
    </row>
    <row r="184" spans="1:8" ht="15.75" thickTop="1" x14ac:dyDescent="0.2">
      <c r="A184" s="699"/>
      <c r="B184" s="699"/>
      <c r="C184" s="699"/>
      <c r="D184" s="706"/>
      <c r="E184" s="704"/>
      <c r="F184" s="704"/>
      <c r="G184" s="710"/>
      <c r="H184" s="706"/>
    </row>
    <row r="185" spans="1:8" x14ac:dyDescent="0.2">
      <c r="A185" s="698" t="s">
        <v>595</v>
      </c>
      <c r="B185" s="699"/>
      <c r="C185" s="699"/>
      <c r="D185" s="706"/>
      <c r="E185" s="704"/>
      <c r="F185" s="704"/>
      <c r="G185" s="710"/>
      <c r="H185" s="706"/>
    </row>
    <row r="186" spans="1:8" x14ac:dyDescent="0.2">
      <c r="A186" s="699"/>
      <c r="B186" s="699"/>
      <c r="C186" s="699"/>
      <c r="D186" s="706"/>
      <c r="E186" s="704"/>
      <c r="F186" s="704"/>
      <c r="G186" s="710"/>
      <c r="H186" s="706"/>
    </row>
    <row r="187" spans="1:8" ht="15.75" thickBot="1" x14ac:dyDescent="0.25">
      <c r="A187" s="980" t="s">
        <v>596</v>
      </c>
      <c r="B187" s="981"/>
      <c r="C187" s="711" t="s">
        <v>586</v>
      </c>
      <c r="D187" s="712">
        <v>4.4000000000000003E-3</v>
      </c>
      <c r="E187" s="704"/>
      <c r="F187" s="704"/>
      <c r="G187" s="713"/>
      <c r="H187" s="704"/>
    </row>
    <row r="188" spans="1:8" ht="16.5" thickTop="1" thickBot="1" x14ac:dyDescent="0.25">
      <c r="A188" s="980" t="s">
        <v>597</v>
      </c>
      <c r="B188" s="981"/>
      <c r="C188" s="714" t="s">
        <v>586</v>
      </c>
      <c r="D188" s="715">
        <v>1.2999999999999999E-3</v>
      </c>
      <c r="E188" s="704"/>
      <c r="F188" s="704"/>
      <c r="G188" s="713"/>
      <c r="H188" s="704"/>
    </row>
    <row r="189" spans="1:8" ht="16.5" thickTop="1" thickBot="1" x14ac:dyDescent="0.25">
      <c r="A189" s="980" t="s">
        <v>598</v>
      </c>
      <c r="B189" s="981"/>
      <c r="C189" s="716" t="s">
        <v>11</v>
      </c>
      <c r="D189" s="717">
        <v>0.25</v>
      </c>
      <c r="E189" s="704"/>
      <c r="F189" s="704"/>
      <c r="G189" s="713"/>
      <c r="H189" s="704"/>
    </row>
    <row r="190" spans="1:8" ht="18.75" thickTop="1" x14ac:dyDescent="0.2">
      <c r="A190" s="1003" t="s">
        <v>604</v>
      </c>
      <c r="B190" s="1003"/>
      <c r="C190" s="1003"/>
      <c r="D190" s="1004"/>
      <c r="E190" s="718"/>
      <c r="F190" s="718"/>
      <c r="G190" s="718"/>
      <c r="H190" s="718"/>
    </row>
    <row r="191" spans="1:8" x14ac:dyDescent="0.2">
      <c r="A191" s="696"/>
      <c r="B191" s="696"/>
      <c r="C191" s="696"/>
      <c r="D191" s="719"/>
      <c r="E191" s="719"/>
      <c r="F191" s="719"/>
      <c r="G191" s="719"/>
      <c r="H191" s="719"/>
    </row>
    <row r="192" spans="1:8" ht="63" customHeight="1" x14ac:dyDescent="0.2">
      <c r="A192" s="1002" t="s">
        <v>605</v>
      </c>
      <c r="B192" s="1000"/>
      <c r="C192" s="1000"/>
      <c r="D192" s="1005"/>
      <c r="E192" s="704"/>
      <c r="F192" s="704"/>
      <c r="G192" s="704"/>
      <c r="H192" s="704"/>
    </row>
    <row r="193" spans="1:8" x14ac:dyDescent="0.2">
      <c r="A193" s="698" t="s">
        <v>578</v>
      </c>
      <c r="B193" s="699"/>
      <c r="C193" s="699"/>
      <c r="D193" s="706"/>
      <c r="E193" s="706"/>
      <c r="F193" s="706"/>
      <c r="G193" s="706"/>
      <c r="H193" s="706"/>
    </row>
    <row r="194" spans="1:8" x14ac:dyDescent="0.2">
      <c r="A194" s="699"/>
      <c r="B194" s="699"/>
      <c r="C194" s="699"/>
      <c r="D194" s="706"/>
      <c r="E194" s="706"/>
      <c r="F194" s="706"/>
      <c r="G194" s="706"/>
      <c r="H194" s="706"/>
    </row>
    <row r="195" spans="1:8" ht="43.5" customHeight="1" x14ac:dyDescent="0.2">
      <c r="A195" s="1002" t="s">
        <v>579</v>
      </c>
      <c r="B195" s="1000"/>
      <c r="C195" s="1000"/>
      <c r="D195" s="1001"/>
      <c r="E195" s="704"/>
      <c r="F195" s="704"/>
      <c r="G195" s="704"/>
      <c r="H195" s="704"/>
    </row>
    <row r="196" spans="1:8" ht="56.25" customHeight="1" x14ac:dyDescent="0.2">
      <c r="A196" s="1000" t="s">
        <v>580</v>
      </c>
      <c r="B196" s="1000"/>
      <c r="C196" s="1000"/>
      <c r="D196" s="1001"/>
      <c r="E196" s="704"/>
      <c r="F196" s="704"/>
      <c r="G196" s="704"/>
      <c r="H196" s="704"/>
    </row>
    <row r="197" spans="1:8" ht="54.75" customHeight="1" x14ac:dyDescent="0.2">
      <c r="A197" s="1000" t="s">
        <v>581</v>
      </c>
      <c r="B197" s="1000"/>
      <c r="C197" s="1000"/>
      <c r="D197" s="1001"/>
      <c r="E197" s="704"/>
      <c r="F197" s="704"/>
      <c r="G197" s="704"/>
      <c r="H197" s="706"/>
    </row>
    <row r="198" spans="1:8" ht="45" customHeight="1" x14ac:dyDescent="0.2">
      <c r="A198" s="1002" t="s">
        <v>582</v>
      </c>
      <c r="B198" s="1000"/>
      <c r="C198" s="1000"/>
      <c r="D198" s="1001"/>
      <c r="E198" s="704"/>
      <c r="F198" s="704"/>
      <c r="G198" s="704"/>
      <c r="H198" s="706"/>
    </row>
    <row r="199" spans="1:8" x14ac:dyDescent="0.2">
      <c r="A199" s="697"/>
      <c r="B199" s="697"/>
      <c r="C199" s="697"/>
      <c r="D199" s="704"/>
      <c r="E199" s="704"/>
      <c r="F199" s="704"/>
      <c r="G199" s="720"/>
      <c r="H199" s="706"/>
    </row>
    <row r="200" spans="1:8" x14ac:dyDescent="0.2">
      <c r="A200" s="698" t="s">
        <v>583</v>
      </c>
      <c r="B200" s="699"/>
      <c r="C200" s="699"/>
      <c r="D200" s="706"/>
      <c r="E200" s="704"/>
      <c r="F200" s="704"/>
      <c r="G200" s="706"/>
      <c r="H200" s="706"/>
    </row>
    <row r="201" spans="1:8" x14ac:dyDescent="0.2">
      <c r="A201" s="698"/>
      <c r="B201" s="699"/>
      <c r="C201" s="699"/>
      <c r="D201" s="706"/>
      <c r="E201" s="704"/>
      <c r="F201" s="704"/>
      <c r="G201" s="706"/>
      <c r="H201" s="706"/>
    </row>
    <row r="202" spans="1:8" ht="15.75" thickBot="1" x14ac:dyDescent="0.25">
      <c r="A202" s="999" t="s">
        <v>606</v>
      </c>
      <c r="B202" s="999"/>
      <c r="C202" s="702" t="s">
        <v>11</v>
      </c>
      <c r="D202" s="703">
        <v>13.88</v>
      </c>
      <c r="E202" s="704"/>
      <c r="F202" s="704"/>
      <c r="G202" s="705"/>
      <c r="H202" s="706"/>
    </row>
    <row r="203" spans="1:8" ht="16.5" thickTop="1" thickBot="1" x14ac:dyDescent="0.25">
      <c r="A203" s="723" t="s">
        <v>499</v>
      </c>
      <c r="B203" s="723"/>
      <c r="C203" s="702" t="s">
        <v>603</v>
      </c>
      <c r="D203" s="707">
        <v>35.8386</v>
      </c>
      <c r="E203" s="704"/>
      <c r="F203" s="704"/>
      <c r="G203" s="708"/>
      <c r="H203" s="706"/>
    </row>
    <row r="204" spans="1:8" ht="16.5" thickTop="1" thickBot="1" x14ac:dyDescent="0.25">
      <c r="A204" s="723" t="s">
        <v>587</v>
      </c>
      <c r="B204" s="723"/>
      <c r="C204" s="702" t="s">
        <v>603</v>
      </c>
      <c r="D204" s="707">
        <v>0.1099</v>
      </c>
      <c r="E204" s="704"/>
      <c r="F204" s="704"/>
      <c r="G204" s="708"/>
      <c r="H204" s="706"/>
    </row>
    <row r="205" spans="1:8" ht="16.5" thickTop="1" thickBot="1" x14ac:dyDescent="0.25">
      <c r="A205" s="723" t="s">
        <v>588</v>
      </c>
      <c r="B205" s="723"/>
      <c r="C205" s="702" t="s">
        <v>603</v>
      </c>
      <c r="D205" s="707">
        <v>1.8886000000000001</v>
      </c>
      <c r="E205" s="704"/>
      <c r="F205" s="704"/>
      <c r="G205" s="708"/>
      <c r="H205" s="706"/>
    </row>
    <row r="206" spans="1:8" ht="16.5" thickTop="1" thickBot="1" x14ac:dyDescent="0.25">
      <c r="A206" s="999" t="s">
        <v>589</v>
      </c>
      <c r="B206" s="999"/>
      <c r="C206" s="702" t="s">
        <v>603</v>
      </c>
      <c r="D206" s="707">
        <v>1.4910000000000001</v>
      </c>
      <c r="E206" s="704"/>
      <c r="F206" s="704"/>
      <c r="G206" s="708"/>
      <c r="H206" s="706"/>
    </row>
    <row r="207" spans="1:8" ht="16.5" thickTop="1" thickBot="1" x14ac:dyDescent="0.25">
      <c r="A207" s="999"/>
      <c r="B207" s="999"/>
      <c r="C207" s="702"/>
      <c r="D207" s="707"/>
      <c r="E207" s="704"/>
      <c r="F207" s="704"/>
      <c r="G207" s="708"/>
      <c r="H207" s="706"/>
    </row>
    <row r="208" spans="1:8" ht="16.5" thickTop="1" thickBot="1" x14ac:dyDescent="0.25">
      <c r="A208" s="999"/>
      <c r="B208" s="999"/>
      <c r="C208" s="702"/>
      <c r="D208" s="707"/>
      <c r="E208" s="704"/>
      <c r="F208" s="704"/>
      <c r="G208" s="708"/>
      <c r="H208" s="706"/>
    </row>
    <row r="209" spans="1:8" ht="16.5" thickTop="1" thickBot="1" x14ac:dyDescent="0.25">
      <c r="A209" s="999"/>
      <c r="B209" s="999"/>
      <c r="C209" s="702"/>
      <c r="D209" s="707"/>
      <c r="E209" s="704"/>
      <c r="F209" s="704"/>
      <c r="G209" s="708"/>
      <c r="H209" s="706"/>
    </row>
    <row r="210" spans="1:8" ht="16.5" thickTop="1" thickBot="1" x14ac:dyDescent="0.25">
      <c r="A210" s="999"/>
      <c r="B210" s="999"/>
      <c r="C210" s="702"/>
      <c r="D210" s="707"/>
      <c r="E210" s="704"/>
      <c r="F210" s="704"/>
      <c r="G210" s="708"/>
      <c r="H210" s="706"/>
    </row>
    <row r="211" spans="1:8" ht="16.5" thickTop="1" thickBot="1" x14ac:dyDescent="0.25">
      <c r="A211" s="999"/>
      <c r="B211" s="999"/>
      <c r="C211" s="702"/>
      <c r="D211" s="707"/>
      <c r="E211" s="704"/>
      <c r="F211" s="704"/>
      <c r="G211" s="708"/>
      <c r="H211" s="706"/>
    </row>
    <row r="212" spans="1:8" ht="16.5" thickTop="1" thickBot="1" x14ac:dyDescent="0.25">
      <c r="A212" s="999"/>
      <c r="B212" s="999"/>
      <c r="C212" s="702"/>
      <c r="D212" s="707"/>
      <c r="E212" s="704"/>
      <c r="F212" s="704"/>
      <c r="G212" s="708"/>
      <c r="H212" s="706"/>
    </row>
    <row r="213" spans="1:8" ht="16.5" thickTop="1" thickBot="1" x14ac:dyDescent="0.25">
      <c r="A213" s="999"/>
      <c r="B213" s="999"/>
      <c r="C213" s="702"/>
      <c r="D213" s="707"/>
      <c r="E213" s="704"/>
      <c r="F213" s="704"/>
      <c r="G213" s="708"/>
      <c r="H213" s="706"/>
    </row>
    <row r="214" spans="1:8" ht="16.5" thickTop="1" thickBot="1" x14ac:dyDescent="0.25">
      <c r="A214" s="999"/>
      <c r="B214" s="999"/>
      <c r="C214" s="702"/>
      <c r="D214" s="707"/>
      <c r="E214" s="704"/>
      <c r="F214" s="704"/>
      <c r="G214" s="708"/>
      <c r="H214" s="706"/>
    </row>
    <row r="215" spans="1:8" ht="16.5" thickTop="1" thickBot="1" x14ac:dyDescent="0.25">
      <c r="A215" s="999"/>
      <c r="B215" s="999"/>
      <c r="C215" s="702"/>
      <c r="D215" s="707"/>
      <c r="E215" s="704"/>
      <c r="F215" s="704"/>
      <c r="G215" s="708"/>
      <c r="H215" s="706"/>
    </row>
    <row r="216" spans="1:8" ht="16.5" thickTop="1" thickBot="1" x14ac:dyDescent="0.25">
      <c r="A216" s="999"/>
      <c r="B216" s="999"/>
      <c r="C216" s="702"/>
      <c r="D216" s="707"/>
      <c r="E216" s="704"/>
      <c r="F216" s="704"/>
      <c r="G216" s="708"/>
      <c r="H216" s="706"/>
    </row>
    <row r="217" spans="1:8" ht="16.5" thickTop="1" thickBot="1" x14ac:dyDescent="0.25">
      <c r="A217" s="999"/>
      <c r="B217" s="999"/>
      <c r="C217" s="702"/>
      <c r="D217" s="707"/>
      <c r="E217" s="704"/>
      <c r="F217" s="704"/>
      <c r="G217" s="708"/>
      <c r="H217" s="706"/>
    </row>
    <row r="218" spans="1:8" ht="16.5" thickTop="1" thickBot="1" x14ac:dyDescent="0.25">
      <c r="A218" s="999"/>
      <c r="B218" s="999"/>
      <c r="C218" s="702"/>
      <c r="D218" s="707"/>
      <c r="E218" s="704"/>
      <c r="F218" s="704"/>
      <c r="G218" s="708"/>
      <c r="H218" s="706"/>
    </row>
    <row r="219" spans="1:8" ht="16.5" thickTop="1" thickBot="1" x14ac:dyDescent="0.25">
      <c r="A219" s="999"/>
      <c r="B219" s="999"/>
      <c r="C219" s="702"/>
      <c r="D219" s="707"/>
      <c r="E219" s="704"/>
      <c r="F219" s="704"/>
      <c r="G219" s="708"/>
      <c r="H219" s="706"/>
    </row>
    <row r="220" spans="1:8" ht="16.5" thickTop="1" thickBot="1" x14ac:dyDescent="0.25">
      <c r="A220" s="999"/>
      <c r="B220" s="999"/>
      <c r="C220" s="702"/>
      <c r="D220" s="707"/>
      <c r="E220" s="704"/>
      <c r="F220" s="704"/>
      <c r="G220" s="708"/>
      <c r="H220" s="706"/>
    </row>
    <row r="221" spans="1:8" ht="16.5" thickTop="1" thickBot="1" x14ac:dyDescent="0.25">
      <c r="A221" s="999"/>
      <c r="B221" s="999"/>
      <c r="C221" s="702"/>
      <c r="D221" s="707"/>
      <c r="E221" s="704"/>
      <c r="F221" s="704"/>
      <c r="G221" s="708"/>
      <c r="H221" s="706"/>
    </row>
    <row r="222" spans="1:8" ht="16.5" thickTop="1" thickBot="1" x14ac:dyDescent="0.25">
      <c r="A222" s="999"/>
      <c r="B222" s="999"/>
      <c r="C222" s="702"/>
      <c r="D222" s="707"/>
      <c r="E222" s="704"/>
      <c r="F222" s="704"/>
      <c r="G222" s="708"/>
      <c r="H222" s="706"/>
    </row>
    <row r="223" spans="1:8" ht="16.5" thickTop="1" thickBot="1" x14ac:dyDescent="0.25">
      <c r="A223" s="999"/>
      <c r="B223" s="999"/>
      <c r="C223" s="702"/>
      <c r="D223" s="707"/>
      <c r="E223" s="704"/>
      <c r="F223" s="704"/>
      <c r="G223" s="708"/>
      <c r="H223" s="706"/>
    </row>
    <row r="224" spans="1:8" ht="16.5" thickTop="1" thickBot="1" x14ac:dyDescent="0.25">
      <c r="A224" s="999"/>
      <c r="B224" s="999"/>
      <c r="C224" s="702"/>
      <c r="D224" s="707"/>
      <c r="E224" s="704"/>
      <c r="F224" s="704"/>
      <c r="G224" s="708"/>
      <c r="H224" s="706"/>
    </row>
    <row r="225" spans="1:8" ht="16.5" thickTop="1" thickBot="1" x14ac:dyDescent="0.25">
      <c r="A225" s="999"/>
      <c r="B225" s="999"/>
      <c r="C225" s="702"/>
      <c r="D225" s="707"/>
      <c r="E225" s="704"/>
      <c r="F225" s="704"/>
      <c r="G225" s="708"/>
      <c r="H225" s="706"/>
    </row>
    <row r="226" spans="1:8" ht="16.5" thickTop="1" thickBot="1" x14ac:dyDescent="0.25">
      <c r="A226" s="998" t="s">
        <v>590</v>
      </c>
      <c r="B226" s="1006"/>
      <c r="C226" s="702" t="s">
        <v>603</v>
      </c>
      <c r="D226" s="707">
        <v>6.0194000000000001</v>
      </c>
      <c r="E226" s="704"/>
      <c r="F226" s="704"/>
      <c r="G226" s="708"/>
      <c r="H226" s="706"/>
    </row>
    <row r="227" spans="1:8" ht="26.25" customHeight="1" thickTop="1" thickBot="1" x14ac:dyDescent="0.25">
      <c r="A227" s="998" t="s">
        <v>591</v>
      </c>
      <c r="B227" s="998"/>
      <c r="C227" s="702" t="s">
        <v>603</v>
      </c>
      <c r="D227" s="707">
        <v>1.5606</v>
      </c>
      <c r="E227" s="704"/>
      <c r="F227" s="704"/>
      <c r="G227" s="708"/>
      <c r="H227" s="706"/>
    </row>
    <row r="228" spans="1:8" ht="25.5" customHeight="1" thickTop="1" thickBot="1" x14ac:dyDescent="0.25">
      <c r="A228" s="998" t="s">
        <v>593</v>
      </c>
      <c r="B228" s="1006"/>
      <c r="C228" s="702" t="s">
        <v>603</v>
      </c>
      <c r="D228" s="707">
        <v>-3.8993000000000002</v>
      </c>
      <c r="E228" s="704"/>
      <c r="F228" s="704"/>
      <c r="G228" s="708"/>
      <c r="H228" s="706"/>
    </row>
    <row r="229" spans="1:8" ht="16.5" thickTop="1" thickBot="1" x14ac:dyDescent="0.25">
      <c r="A229" s="998" t="s">
        <v>594</v>
      </c>
      <c r="B229" s="998"/>
      <c r="C229" s="702" t="s">
        <v>603</v>
      </c>
      <c r="D229" s="707">
        <v>0.59130000000000005</v>
      </c>
      <c r="E229" s="704"/>
      <c r="F229" s="704"/>
      <c r="G229" s="708"/>
      <c r="H229" s="706"/>
    </row>
    <row r="230" spans="1:8" ht="16.5" thickTop="1" thickBot="1" x14ac:dyDescent="0.25">
      <c r="A230" s="998"/>
      <c r="B230" s="998"/>
      <c r="C230" s="702"/>
      <c r="D230" s="707"/>
      <c r="E230" s="704"/>
      <c r="F230" s="704"/>
      <c r="G230" s="708"/>
      <c r="H230" s="706"/>
    </row>
    <row r="231" spans="1:8" ht="16.5" thickTop="1" thickBot="1" x14ac:dyDescent="0.25">
      <c r="A231" s="998"/>
      <c r="B231" s="998"/>
      <c r="C231" s="702"/>
      <c r="D231" s="707"/>
      <c r="E231" s="704"/>
      <c r="F231" s="704"/>
      <c r="G231" s="709"/>
      <c r="H231" s="706"/>
    </row>
    <row r="232" spans="1:8" ht="15.75" thickTop="1" x14ac:dyDescent="0.2">
      <c r="A232" s="699"/>
      <c r="B232" s="699"/>
      <c r="C232" s="699"/>
      <c r="D232" s="706"/>
      <c r="E232" s="704"/>
      <c r="F232" s="704"/>
      <c r="G232" s="710"/>
      <c r="H232" s="706"/>
    </row>
    <row r="233" spans="1:8" x14ac:dyDescent="0.2">
      <c r="A233" s="698" t="s">
        <v>595</v>
      </c>
      <c r="B233" s="699"/>
      <c r="C233" s="699"/>
      <c r="D233" s="706"/>
      <c r="E233" s="704"/>
      <c r="F233" s="704"/>
      <c r="G233" s="710"/>
      <c r="H233" s="706"/>
    </row>
    <row r="234" spans="1:8" x14ac:dyDescent="0.2">
      <c r="A234" s="699"/>
      <c r="B234" s="699"/>
      <c r="C234" s="699"/>
      <c r="D234" s="706"/>
      <c r="E234" s="704"/>
      <c r="F234" s="704"/>
      <c r="G234" s="710"/>
      <c r="H234" s="706"/>
    </row>
    <row r="235" spans="1:8" ht="15.75" thickBot="1" x14ac:dyDescent="0.25">
      <c r="A235" s="980" t="s">
        <v>596</v>
      </c>
      <c r="B235" s="981"/>
      <c r="C235" s="711" t="s">
        <v>586</v>
      </c>
      <c r="D235" s="712">
        <v>4.4000000000000003E-3</v>
      </c>
      <c r="E235" s="704"/>
      <c r="F235" s="704"/>
      <c r="G235" s="713"/>
      <c r="H235" s="704"/>
    </row>
    <row r="236" spans="1:8" ht="16.5" thickTop="1" thickBot="1" x14ac:dyDescent="0.25">
      <c r="A236" s="980" t="s">
        <v>597</v>
      </c>
      <c r="B236" s="981"/>
      <c r="C236" s="714" t="s">
        <v>586</v>
      </c>
      <c r="D236" s="715">
        <v>1.2999999999999999E-3</v>
      </c>
      <c r="E236" s="704"/>
      <c r="F236" s="704"/>
      <c r="G236" s="713"/>
      <c r="H236" s="704"/>
    </row>
    <row r="237" spans="1:8" ht="16.5" thickTop="1" thickBot="1" x14ac:dyDescent="0.25">
      <c r="A237" s="980" t="s">
        <v>598</v>
      </c>
      <c r="B237" s="981"/>
      <c r="C237" s="716" t="s">
        <v>11</v>
      </c>
      <c r="D237" s="717">
        <v>0.25</v>
      </c>
      <c r="E237" s="704"/>
      <c r="F237" s="704"/>
      <c r="G237" s="713"/>
      <c r="H237" s="704"/>
    </row>
    <row r="238" spans="1:8" ht="18.75" thickTop="1" x14ac:dyDescent="0.2">
      <c r="A238" s="1003" t="s">
        <v>607</v>
      </c>
      <c r="B238" s="1003"/>
      <c r="C238" s="1003"/>
      <c r="D238" s="1004"/>
      <c r="E238" s="718"/>
      <c r="F238" s="718"/>
      <c r="G238" s="718"/>
      <c r="H238" s="718"/>
    </row>
    <row r="239" spans="1:8" x14ac:dyDescent="0.2">
      <c r="A239" s="696"/>
      <c r="B239" s="696"/>
      <c r="C239" s="696"/>
      <c r="D239" s="719"/>
      <c r="E239" s="719"/>
      <c r="F239" s="719"/>
      <c r="G239" s="719"/>
      <c r="H239" s="719"/>
    </row>
    <row r="240" spans="1:8" ht="62.25" customHeight="1" x14ac:dyDescent="0.2">
      <c r="A240" s="1002" t="s">
        <v>608</v>
      </c>
      <c r="B240" s="1000"/>
      <c r="C240" s="1000"/>
      <c r="D240" s="1005"/>
      <c r="E240" s="704"/>
      <c r="F240" s="704"/>
      <c r="G240" s="704"/>
      <c r="H240" s="704"/>
    </row>
    <row r="241" spans="1:8" x14ac:dyDescent="0.2">
      <c r="A241" s="698" t="s">
        <v>578</v>
      </c>
      <c r="B241" s="699"/>
      <c r="C241" s="699"/>
      <c r="D241" s="706"/>
      <c r="E241" s="706"/>
      <c r="F241" s="706"/>
      <c r="G241" s="706"/>
      <c r="H241" s="706"/>
    </row>
    <row r="242" spans="1:8" x14ac:dyDescent="0.2">
      <c r="A242" s="699"/>
      <c r="B242" s="699"/>
      <c r="C242" s="699"/>
      <c r="D242" s="706"/>
      <c r="E242" s="706"/>
      <c r="F242" s="706"/>
      <c r="G242" s="706"/>
      <c r="H242" s="706"/>
    </row>
    <row r="243" spans="1:8" ht="41.25" customHeight="1" x14ac:dyDescent="0.2">
      <c r="A243" s="1002" t="s">
        <v>579</v>
      </c>
      <c r="B243" s="1000"/>
      <c r="C243" s="1000"/>
      <c r="D243" s="1001"/>
      <c r="E243" s="704"/>
      <c r="F243" s="704"/>
      <c r="G243" s="704"/>
      <c r="H243" s="704"/>
    </row>
    <row r="244" spans="1:8" ht="56.25" customHeight="1" x14ac:dyDescent="0.2">
      <c r="A244" s="1000" t="s">
        <v>580</v>
      </c>
      <c r="B244" s="1000"/>
      <c r="C244" s="1000"/>
      <c r="D244" s="1001"/>
      <c r="E244" s="704"/>
      <c r="F244" s="704"/>
      <c r="G244" s="704"/>
      <c r="H244" s="704"/>
    </row>
    <row r="245" spans="1:8" ht="60" customHeight="1" x14ac:dyDescent="0.2">
      <c r="A245" s="1000" t="s">
        <v>581</v>
      </c>
      <c r="B245" s="1000"/>
      <c r="C245" s="1000"/>
      <c r="D245" s="1001"/>
      <c r="E245" s="704"/>
      <c r="F245" s="704"/>
      <c r="G245" s="704"/>
      <c r="H245" s="706"/>
    </row>
    <row r="246" spans="1:8" ht="45.75" customHeight="1" x14ac:dyDescent="0.2">
      <c r="A246" s="1002" t="s">
        <v>582</v>
      </c>
      <c r="B246" s="1000"/>
      <c r="C246" s="1000"/>
      <c r="D246" s="1001"/>
      <c r="E246" s="704"/>
      <c r="F246" s="704"/>
      <c r="G246" s="704"/>
      <c r="H246" s="706"/>
    </row>
    <row r="247" spans="1:8" x14ac:dyDescent="0.2">
      <c r="A247" s="697"/>
      <c r="B247" s="697"/>
      <c r="C247" s="697"/>
      <c r="D247" s="704"/>
      <c r="E247" s="704"/>
      <c r="F247" s="704"/>
      <c r="G247" s="720"/>
      <c r="H247" s="706"/>
    </row>
    <row r="248" spans="1:8" x14ac:dyDescent="0.2">
      <c r="A248" s="698" t="s">
        <v>583</v>
      </c>
      <c r="B248" s="699"/>
      <c r="C248" s="699"/>
      <c r="D248" s="706"/>
      <c r="E248" s="704"/>
      <c r="F248" s="704"/>
      <c r="G248" s="706"/>
      <c r="H248" s="706"/>
    </row>
    <row r="249" spans="1:8" x14ac:dyDescent="0.2">
      <c r="A249" s="698"/>
      <c r="B249" s="699"/>
      <c r="C249" s="699"/>
      <c r="D249" s="706"/>
      <c r="E249" s="704"/>
      <c r="F249" s="704"/>
      <c r="G249" s="706"/>
      <c r="H249" s="706"/>
    </row>
    <row r="250" spans="1:8" ht="15.75" thickBot="1" x14ac:dyDescent="0.25">
      <c r="A250" s="999" t="s">
        <v>606</v>
      </c>
      <c r="B250" s="999"/>
      <c r="C250" s="702" t="s">
        <v>11</v>
      </c>
      <c r="D250" s="703">
        <v>6</v>
      </c>
      <c r="E250" s="704"/>
      <c r="F250" s="704"/>
      <c r="G250" s="705"/>
      <c r="H250" s="706"/>
    </row>
    <row r="251" spans="1:8" ht="16.5" thickTop="1" thickBot="1" x14ac:dyDescent="0.25">
      <c r="A251" s="723" t="s">
        <v>499</v>
      </c>
      <c r="B251" s="723"/>
      <c r="C251" s="702" t="s">
        <v>603</v>
      </c>
      <c r="D251" s="707">
        <v>15.363099999999999</v>
      </c>
      <c r="E251" s="704"/>
      <c r="F251" s="704"/>
      <c r="G251" s="708"/>
      <c r="H251" s="706"/>
    </row>
    <row r="252" spans="1:8" ht="16.5" thickTop="1" thickBot="1" x14ac:dyDescent="0.25">
      <c r="A252" s="723" t="s">
        <v>587</v>
      </c>
      <c r="B252" s="723"/>
      <c r="C252" s="702" t="s">
        <v>603</v>
      </c>
      <c r="D252" s="707">
        <v>0.1152</v>
      </c>
      <c r="E252" s="704"/>
      <c r="F252" s="704"/>
      <c r="G252" s="708"/>
      <c r="H252" s="706"/>
    </row>
    <row r="253" spans="1:8" ht="16.5" thickTop="1" thickBot="1" x14ac:dyDescent="0.25">
      <c r="A253" s="723" t="s">
        <v>588</v>
      </c>
      <c r="B253" s="723"/>
      <c r="C253" s="702" t="s">
        <v>603</v>
      </c>
      <c r="D253" s="707">
        <v>1.8791</v>
      </c>
      <c r="E253" s="704"/>
      <c r="F253" s="704"/>
      <c r="G253" s="708"/>
      <c r="H253" s="706"/>
    </row>
    <row r="254" spans="1:8" ht="16.5" thickTop="1" thickBot="1" x14ac:dyDescent="0.25">
      <c r="A254" s="999" t="s">
        <v>589</v>
      </c>
      <c r="B254" s="999"/>
      <c r="C254" s="702" t="s">
        <v>603</v>
      </c>
      <c r="D254" s="707">
        <v>1.4603999999999999</v>
      </c>
      <c r="E254" s="704"/>
      <c r="F254" s="704"/>
      <c r="G254" s="708"/>
      <c r="H254" s="706"/>
    </row>
    <row r="255" spans="1:8" ht="16.5" thickTop="1" thickBot="1" x14ac:dyDescent="0.25">
      <c r="A255" s="999"/>
      <c r="B255" s="999"/>
      <c r="C255" s="702"/>
      <c r="D255" s="707"/>
      <c r="E255" s="704"/>
      <c r="F255" s="704"/>
      <c r="G255" s="708"/>
      <c r="H255" s="706"/>
    </row>
    <row r="256" spans="1:8" ht="16.5" thickTop="1" thickBot="1" x14ac:dyDescent="0.25">
      <c r="A256" s="999"/>
      <c r="B256" s="999"/>
      <c r="C256" s="702"/>
      <c r="D256" s="707"/>
      <c r="E256" s="704"/>
      <c r="F256" s="704"/>
      <c r="G256" s="708"/>
      <c r="H256" s="706"/>
    </row>
    <row r="257" spans="1:8" ht="16.5" thickTop="1" thickBot="1" x14ac:dyDescent="0.25">
      <c r="A257" s="999"/>
      <c r="B257" s="999"/>
      <c r="C257" s="702"/>
      <c r="D257" s="707"/>
      <c r="E257" s="704"/>
      <c r="F257" s="704"/>
      <c r="G257" s="708"/>
      <c r="H257" s="706"/>
    </row>
    <row r="258" spans="1:8" ht="16.5" thickTop="1" thickBot="1" x14ac:dyDescent="0.25">
      <c r="A258" s="999"/>
      <c r="B258" s="999"/>
      <c r="C258" s="702"/>
      <c r="D258" s="707"/>
      <c r="E258" s="704"/>
      <c r="F258" s="704"/>
      <c r="G258" s="708"/>
      <c r="H258" s="706"/>
    </row>
    <row r="259" spans="1:8" ht="16.5" thickTop="1" thickBot="1" x14ac:dyDescent="0.25">
      <c r="A259" s="999"/>
      <c r="B259" s="999"/>
      <c r="C259" s="702"/>
      <c r="D259" s="707"/>
      <c r="E259" s="704"/>
      <c r="F259" s="704"/>
      <c r="G259" s="708"/>
      <c r="H259" s="706"/>
    </row>
    <row r="260" spans="1:8" ht="16.5" thickTop="1" thickBot="1" x14ac:dyDescent="0.25">
      <c r="A260" s="999"/>
      <c r="B260" s="999"/>
      <c r="C260" s="702"/>
      <c r="D260" s="707"/>
      <c r="E260" s="704"/>
      <c r="F260" s="704"/>
      <c r="G260" s="708"/>
      <c r="H260" s="706"/>
    </row>
    <row r="261" spans="1:8" ht="16.5" thickTop="1" thickBot="1" x14ac:dyDescent="0.25">
      <c r="A261" s="999"/>
      <c r="B261" s="999"/>
      <c r="C261" s="702"/>
      <c r="D261" s="707"/>
      <c r="E261" s="704"/>
      <c r="F261" s="704"/>
      <c r="G261" s="708"/>
      <c r="H261" s="706"/>
    </row>
    <row r="262" spans="1:8" ht="16.5" thickTop="1" thickBot="1" x14ac:dyDescent="0.25">
      <c r="A262" s="999"/>
      <c r="B262" s="999"/>
      <c r="C262" s="702"/>
      <c r="D262" s="707"/>
      <c r="E262" s="704"/>
      <c r="F262" s="704"/>
      <c r="G262" s="708"/>
      <c r="H262" s="706"/>
    </row>
    <row r="263" spans="1:8" ht="16.5" thickTop="1" thickBot="1" x14ac:dyDescent="0.25">
      <c r="A263" s="999"/>
      <c r="B263" s="999"/>
      <c r="C263" s="702"/>
      <c r="D263" s="707"/>
      <c r="E263" s="704"/>
      <c r="F263" s="704"/>
      <c r="G263" s="708"/>
      <c r="H263" s="706"/>
    </row>
    <row r="264" spans="1:8" ht="16.5" thickTop="1" thickBot="1" x14ac:dyDescent="0.25">
      <c r="A264" s="999"/>
      <c r="B264" s="999"/>
      <c r="C264" s="702"/>
      <c r="D264" s="707"/>
      <c r="E264" s="704"/>
      <c r="F264" s="704"/>
      <c r="G264" s="708"/>
      <c r="H264" s="706"/>
    </row>
    <row r="265" spans="1:8" ht="16.5" thickTop="1" thickBot="1" x14ac:dyDescent="0.25">
      <c r="A265" s="999"/>
      <c r="B265" s="999"/>
      <c r="C265" s="702"/>
      <c r="D265" s="707"/>
      <c r="E265" s="704"/>
      <c r="F265" s="704"/>
      <c r="G265" s="708"/>
      <c r="H265" s="706"/>
    </row>
    <row r="266" spans="1:8" ht="16.5" thickTop="1" thickBot="1" x14ac:dyDescent="0.25">
      <c r="A266" s="999"/>
      <c r="B266" s="999"/>
      <c r="C266" s="702"/>
      <c r="D266" s="707"/>
      <c r="E266" s="704"/>
      <c r="F266" s="704"/>
      <c r="G266" s="708"/>
      <c r="H266" s="706"/>
    </row>
    <row r="267" spans="1:8" ht="16.5" thickTop="1" thickBot="1" x14ac:dyDescent="0.25">
      <c r="A267" s="999"/>
      <c r="B267" s="999"/>
      <c r="C267" s="702"/>
      <c r="D267" s="707"/>
      <c r="E267" s="704"/>
      <c r="F267" s="704"/>
      <c r="G267" s="708"/>
      <c r="H267" s="706"/>
    </row>
    <row r="268" spans="1:8" ht="16.5" thickTop="1" thickBot="1" x14ac:dyDescent="0.25">
      <c r="A268" s="999"/>
      <c r="B268" s="999"/>
      <c r="C268" s="702"/>
      <c r="D268" s="707"/>
      <c r="E268" s="704"/>
      <c r="F268" s="704"/>
      <c r="G268" s="708"/>
      <c r="H268" s="706"/>
    </row>
    <row r="269" spans="1:8" ht="16.5" thickTop="1" thickBot="1" x14ac:dyDescent="0.25">
      <c r="A269" s="999"/>
      <c r="B269" s="999"/>
      <c r="C269" s="702"/>
      <c r="D269" s="707"/>
      <c r="E269" s="704"/>
      <c r="F269" s="704"/>
      <c r="G269" s="708"/>
      <c r="H269" s="706"/>
    </row>
    <row r="270" spans="1:8" ht="16.5" thickTop="1" thickBot="1" x14ac:dyDescent="0.25">
      <c r="A270" s="999"/>
      <c r="B270" s="999"/>
      <c r="C270" s="702"/>
      <c r="D270" s="707"/>
      <c r="E270" s="704"/>
      <c r="F270" s="704"/>
      <c r="G270" s="708"/>
      <c r="H270" s="706"/>
    </row>
    <row r="271" spans="1:8" ht="16.5" thickTop="1" thickBot="1" x14ac:dyDescent="0.25">
      <c r="A271" s="999"/>
      <c r="B271" s="999"/>
      <c r="C271" s="702"/>
      <c r="D271" s="707"/>
      <c r="E271" s="704"/>
      <c r="F271" s="704"/>
      <c r="G271" s="708"/>
      <c r="H271" s="706"/>
    </row>
    <row r="272" spans="1:8" ht="16.5" thickTop="1" thickBot="1" x14ac:dyDescent="0.25">
      <c r="A272" s="999"/>
      <c r="B272" s="999"/>
      <c r="C272" s="702"/>
      <c r="D272" s="707"/>
      <c r="E272" s="704"/>
      <c r="F272" s="704"/>
      <c r="G272" s="708"/>
      <c r="H272" s="706"/>
    </row>
    <row r="273" spans="1:8" ht="16.5" thickTop="1" thickBot="1" x14ac:dyDescent="0.25">
      <c r="A273" s="999"/>
      <c r="B273" s="999"/>
      <c r="C273" s="702"/>
      <c r="D273" s="707"/>
      <c r="E273" s="704"/>
      <c r="F273" s="704"/>
      <c r="G273" s="708"/>
      <c r="H273" s="706"/>
    </row>
    <row r="274" spans="1:8" ht="16.5" thickTop="1" thickBot="1" x14ac:dyDescent="0.25">
      <c r="A274" s="998" t="s">
        <v>590</v>
      </c>
      <c r="B274" s="1006"/>
      <c r="C274" s="702" t="s">
        <v>603</v>
      </c>
      <c r="D274" s="707">
        <v>-1.5688</v>
      </c>
      <c r="E274" s="704"/>
      <c r="F274" s="704"/>
      <c r="G274" s="708"/>
      <c r="H274" s="706"/>
    </row>
    <row r="275" spans="1:8" ht="25.5" customHeight="1" thickTop="1" thickBot="1" x14ac:dyDescent="0.25">
      <c r="A275" s="998" t="s">
        <v>591</v>
      </c>
      <c r="B275" s="998"/>
      <c r="C275" s="702" t="s">
        <v>603</v>
      </c>
      <c r="D275" s="707">
        <v>1.5563</v>
      </c>
      <c r="E275" s="704"/>
      <c r="F275" s="704"/>
      <c r="G275" s="708"/>
      <c r="H275" s="706"/>
    </row>
    <row r="276" spans="1:8" ht="26.25" customHeight="1" thickTop="1" thickBot="1" x14ac:dyDescent="0.25">
      <c r="A276" s="998" t="s">
        <v>593</v>
      </c>
      <c r="B276" s="1006"/>
      <c r="C276" s="702" t="s">
        <v>603</v>
      </c>
      <c r="D276" s="707">
        <v>-1.4578</v>
      </c>
      <c r="E276" s="704"/>
      <c r="F276" s="704"/>
      <c r="G276" s="708"/>
      <c r="H276" s="706"/>
    </row>
    <row r="277" spans="1:8" ht="16.5" thickTop="1" thickBot="1" x14ac:dyDescent="0.25">
      <c r="A277" s="998" t="s">
        <v>594</v>
      </c>
      <c r="B277" s="998"/>
      <c r="C277" s="702" t="s">
        <v>603</v>
      </c>
      <c r="D277" s="707">
        <v>0.2205</v>
      </c>
      <c r="E277" s="704"/>
      <c r="F277" s="704"/>
      <c r="G277" s="708"/>
      <c r="H277" s="706"/>
    </row>
    <row r="278" spans="1:8" ht="16.5" thickTop="1" thickBot="1" x14ac:dyDescent="0.25">
      <c r="A278" s="998"/>
      <c r="B278" s="998"/>
      <c r="C278" s="702"/>
      <c r="D278" s="707"/>
      <c r="E278" s="704"/>
      <c r="F278" s="704"/>
      <c r="G278" s="708"/>
      <c r="H278" s="706"/>
    </row>
    <row r="279" spans="1:8" ht="16.5" thickTop="1" thickBot="1" x14ac:dyDescent="0.25">
      <c r="A279" s="998"/>
      <c r="B279" s="998"/>
      <c r="C279" s="702"/>
      <c r="D279" s="707"/>
      <c r="E279" s="704"/>
      <c r="F279" s="704"/>
      <c r="G279" s="709"/>
      <c r="H279" s="706"/>
    </row>
    <row r="280" spans="1:8" ht="15.75" thickTop="1" x14ac:dyDescent="0.2">
      <c r="A280" s="699"/>
      <c r="B280" s="699"/>
      <c r="C280" s="699"/>
      <c r="D280" s="706"/>
      <c r="E280" s="704"/>
      <c r="F280" s="704"/>
      <c r="G280" s="710"/>
      <c r="H280" s="706"/>
    </row>
    <row r="281" spans="1:8" x14ac:dyDescent="0.2">
      <c r="A281" s="698" t="s">
        <v>595</v>
      </c>
      <c r="B281" s="699"/>
      <c r="C281" s="699"/>
      <c r="D281" s="706"/>
      <c r="E281" s="704"/>
      <c r="F281" s="704"/>
      <c r="G281" s="710"/>
      <c r="H281" s="706"/>
    </row>
    <row r="282" spans="1:8" x14ac:dyDescent="0.2">
      <c r="A282" s="699"/>
      <c r="B282" s="699"/>
      <c r="C282" s="699"/>
      <c r="D282" s="706"/>
      <c r="E282" s="704"/>
      <c r="F282" s="704"/>
      <c r="G282" s="710"/>
      <c r="H282" s="706"/>
    </row>
    <row r="283" spans="1:8" ht="15.75" thickBot="1" x14ac:dyDescent="0.25">
      <c r="A283" s="980" t="s">
        <v>596</v>
      </c>
      <c r="B283" s="981"/>
      <c r="C283" s="711" t="s">
        <v>586</v>
      </c>
      <c r="D283" s="712">
        <v>4.4000000000000003E-3</v>
      </c>
      <c r="E283" s="704"/>
      <c r="F283" s="704"/>
      <c r="G283" s="713"/>
      <c r="H283" s="704"/>
    </row>
    <row r="284" spans="1:8" ht="16.5" thickTop="1" thickBot="1" x14ac:dyDescent="0.25">
      <c r="A284" s="980" t="s">
        <v>597</v>
      </c>
      <c r="B284" s="981"/>
      <c r="C284" s="714" t="s">
        <v>586</v>
      </c>
      <c r="D284" s="715">
        <v>1.2999999999999999E-3</v>
      </c>
      <c r="E284" s="704"/>
      <c r="F284" s="704"/>
      <c r="G284" s="713"/>
      <c r="H284" s="704"/>
    </row>
    <row r="285" spans="1:8" ht="16.5" thickTop="1" thickBot="1" x14ac:dyDescent="0.25">
      <c r="A285" s="980" t="s">
        <v>598</v>
      </c>
      <c r="B285" s="981"/>
      <c r="C285" s="716" t="s">
        <v>11</v>
      </c>
      <c r="D285" s="717">
        <v>0.25</v>
      </c>
      <c r="E285" s="704"/>
      <c r="F285" s="704"/>
      <c r="G285" s="713"/>
      <c r="H285" s="704"/>
    </row>
    <row r="286" spans="1:8" ht="18.75" thickTop="1" x14ac:dyDescent="0.2">
      <c r="A286" s="1003" t="s">
        <v>609</v>
      </c>
      <c r="B286" s="1003"/>
      <c r="C286" s="1003"/>
      <c r="D286" s="1004"/>
      <c r="E286" s="718"/>
      <c r="F286" s="718"/>
      <c r="G286" s="718"/>
      <c r="H286" s="718"/>
    </row>
    <row r="287" spans="1:8" x14ac:dyDescent="0.2">
      <c r="A287" s="696"/>
      <c r="B287" s="696"/>
      <c r="C287" s="696"/>
      <c r="D287" s="719"/>
      <c r="E287" s="719"/>
      <c r="F287" s="719"/>
      <c r="G287" s="719"/>
      <c r="H287" s="719"/>
    </row>
    <row r="288" spans="1:8" ht="83.25" customHeight="1" x14ac:dyDescent="0.2">
      <c r="A288" s="1002" t="s">
        <v>610</v>
      </c>
      <c r="B288" s="1000"/>
      <c r="C288" s="1000"/>
      <c r="D288" s="1005"/>
      <c r="E288" s="704"/>
      <c r="F288" s="704"/>
      <c r="G288" s="704"/>
      <c r="H288" s="704"/>
    </row>
    <row r="289" spans="1:8" x14ac:dyDescent="0.2">
      <c r="A289" s="698" t="s">
        <v>578</v>
      </c>
      <c r="B289" s="699"/>
      <c r="C289" s="699"/>
      <c r="D289" s="706"/>
      <c r="E289" s="706"/>
      <c r="F289" s="706"/>
      <c r="G289" s="706"/>
      <c r="H289" s="706"/>
    </row>
    <row r="290" spans="1:8" x14ac:dyDescent="0.2">
      <c r="A290" s="699"/>
      <c r="B290" s="699"/>
      <c r="C290" s="699"/>
      <c r="D290" s="706"/>
      <c r="E290" s="706"/>
      <c r="F290" s="706"/>
      <c r="G290" s="706"/>
      <c r="H290" s="706"/>
    </row>
    <row r="291" spans="1:8" ht="45.75" customHeight="1" x14ac:dyDescent="0.2">
      <c r="A291" s="1002" t="s">
        <v>579</v>
      </c>
      <c r="B291" s="1000"/>
      <c r="C291" s="1000"/>
      <c r="D291" s="1001"/>
      <c r="E291" s="704"/>
      <c r="F291" s="704"/>
      <c r="G291" s="704"/>
      <c r="H291" s="704"/>
    </row>
    <row r="292" spans="1:8" ht="54.75" customHeight="1" x14ac:dyDescent="0.2">
      <c r="A292" s="1000" t="s">
        <v>580</v>
      </c>
      <c r="B292" s="1000"/>
      <c r="C292" s="1000"/>
      <c r="D292" s="1001"/>
      <c r="E292" s="704"/>
      <c r="F292" s="704"/>
      <c r="G292" s="704"/>
      <c r="H292" s="704"/>
    </row>
    <row r="293" spans="1:8" ht="57.75" customHeight="1" x14ac:dyDescent="0.2">
      <c r="A293" s="1000" t="s">
        <v>581</v>
      </c>
      <c r="B293" s="1000"/>
      <c r="C293" s="1000"/>
      <c r="D293" s="1001"/>
      <c r="E293" s="704"/>
      <c r="F293" s="704"/>
      <c r="G293" s="704"/>
      <c r="H293" s="706"/>
    </row>
    <row r="294" spans="1:8" ht="43.5" customHeight="1" x14ac:dyDescent="0.2">
      <c r="A294" s="1002" t="s">
        <v>582</v>
      </c>
      <c r="B294" s="1000"/>
      <c r="C294" s="1000"/>
      <c r="D294" s="1001"/>
      <c r="E294" s="704"/>
      <c r="F294" s="704"/>
      <c r="G294" s="704"/>
      <c r="H294" s="706"/>
    </row>
    <row r="295" spans="1:8" x14ac:dyDescent="0.2">
      <c r="A295" s="697"/>
      <c r="B295" s="697"/>
      <c r="C295" s="697"/>
      <c r="D295" s="704"/>
      <c r="E295" s="704"/>
      <c r="F295" s="704"/>
      <c r="G295" s="720"/>
      <c r="H295" s="706"/>
    </row>
    <row r="296" spans="1:8" x14ac:dyDescent="0.2">
      <c r="A296" s="698" t="s">
        <v>583</v>
      </c>
      <c r="B296" s="699"/>
      <c r="C296" s="699"/>
      <c r="D296" s="706"/>
      <c r="E296" s="704"/>
      <c r="F296" s="704"/>
      <c r="G296" s="706"/>
      <c r="H296" s="706"/>
    </row>
    <row r="297" spans="1:8" x14ac:dyDescent="0.2">
      <c r="A297" s="698"/>
      <c r="B297" s="699"/>
      <c r="C297" s="699"/>
      <c r="D297" s="706"/>
      <c r="E297" s="704"/>
      <c r="F297" s="704"/>
      <c r="G297" s="706"/>
      <c r="H297" s="706"/>
    </row>
    <row r="298" spans="1:8" ht="15.75" thickBot="1" x14ac:dyDescent="0.25">
      <c r="A298" s="999" t="s">
        <v>606</v>
      </c>
      <c r="B298" s="999"/>
      <c r="C298" s="702" t="s">
        <v>11</v>
      </c>
      <c r="D298" s="703">
        <v>20.53</v>
      </c>
      <c r="E298" s="704"/>
      <c r="F298" s="704"/>
      <c r="G298" s="705"/>
      <c r="H298" s="706"/>
    </row>
    <row r="299" spans="1:8" ht="16.5" thickTop="1" thickBot="1" x14ac:dyDescent="0.25">
      <c r="A299" s="723" t="s">
        <v>499</v>
      </c>
      <c r="B299" s="723"/>
      <c r="C299" s="702" t="s">
        <v>586</v>
      </c>
      <c r="D299" s="707">
        <v>2.7000000000000001E-3</v>
      </c>
      <c r="E299" s="704"/>
      <c r="F299" s="704"/>
      <c r="G299" s="708"/>
      <c r="H299" s="706"/>
    </row>
    <row r="300" spans="1:8" ht="16.5" thickTop="1" thickBot="1" x14ac:dyDescent="0.25">
      <c r="A300" s="723" t="s">
        <v>587</v>
      </c>
      <c r="B300" s="723"/>
      <c r="C300" s="702" t="s">
        <v>586</v>
      </c>
      <c r="D300" s="707">
        <v>4.0000000000000002E-4</v>
      </c>
      <c r="E300" s="704"/>
      <c r="F300" s="704"/>
      <c r="G300" s="708"/>
      <c r="H300" s="706"/>
    </row>
    <row r="301" spans="1:8" ht="16.5" thickTop="1" thickBot="1" x14ac:dyDescent="0.25">
      <c r="A301" s="723" t="s">
        <v>588</v>
      </c>
      <c r="B301" s="723"/>
      <c r="C301" s="702" t="s">
        <v>586</v>
      </c>
      <c r="D301" s="707">
        <v>6.1000000000000004E-3</v>
      </c>
      <c r="E301" s="704"/>
      <c r="F301" s="704"/>
      <c r="G301" s="708"/>
      <c r="H301" s="706"/>
    </row>
    <row r="302" spans="1:8" ht="16.5" thickTop="1" thickBot="1" x14ac:dyDescent="0.25">
      <c r="A302" s="999" t="s">
        <v>589</v>
      </c>
      <c r="B302" s="999"/>
      <c r="C302" s="702" t="s">
        <v>586</v>
      </c>
      <c r="D302" s="707">
        <v>4.7999999999999996E-3</v>
      </c>
      <c r="E302" s="704"/>
      <c r="F302" s="704"/>
      <c r="G302" s="708"/>
      <c r="H302" s="706"/>
    </row>
    <row r="303" spans="1:8" ht="16.5" thickTop="1" thickBot="1" x14ac:dyDescent="0.25">
      <c r="A303" s="999"/>
      <c r="B303" s="999"/>
      <c r="C303" s="702"/>
      <c r="D303" s="707"/>
      <c r="E303" s="704"/>
      <c r="F303" s="704"/>
      <c r="G303" s="708"/>
      <c r="H303" s="706"/>
    </row>
    <row r="304" spans="1:8" ht="16.5" thickTop="1" thickBot="1" x14ac:dyDescent="0.25">
      <c r="A304" s="999"/>
      <c r="B304" s="999"/>
      <c r="C304" s="702"/>
      <c r="D304" s="707"/>
      <c r="E304" s="704"/>
      <c r="F304" s="704"/>
      <c r="G304" s="708"/>
      <c r="H304" s="706"/>
    </row>
    <row r="305" spans="1:8" ht="16.5" thickTop="1" thickBot="1" x14ac:dyDescent="0.25">
      <c r="A305" s="999"/>
      <c r="B305" s="999"/>
      <c r="C305" s="702"/>
      <c r="D305" s="707"/>
      <c r="E305" s="704"/>
      <c r="F305" s="704"/>
      <c r="G305" s="708"/>
      <c r="H305" s="706"/>
    </row>
    <row r="306" spans="1:8" ht="16.5" thickTop="1" thickBot="1" x14ac:dyDescent="0.25">
      <c r="A306" s="999"/>
      <c r="B306" s="999"/>
      <c r="C306" s="702"/>
      <c r="D306" s="707"/>
      <c r="E306" s="704"/>
      <c r="F306" s="704"/>
      <c r="G306" s="708"/>
      <c r="H306" s="706"/>
    </row>
    <row r="307" spans="1:8" ht="16.5" thickTop="1" thickBot="1" x14ac:dyDescent="0.25">
      <c r="A307" s="999"/>
      <c r="B307" s="999"/>
      <c r="C307" s="702"/>
      <c r="D307" s="707"/>
      <c r="E307" s="704"/>
      <c r="F307" s="704"/>
      <c r="G307" s="708"/>
      <c r="H307" s="706"/>
    </row>
    <row r="308" spans="1:8" ht="16.5" thickTop="1" thickBot="1" x14ac:dyDescent="0.25">
      <c r="A308" s="999"/>
      <c r="B308" s="999"/>
      <c r="C308" s="702"/>
      <c r="D308" s="707"/>
      <c r="E308" s="704"/>
      <c r="F308" s="704"/>
      <c r="G308" s="708"/>
      <c r="H308" s="706"/>
    </row>
    <row r="309" spans="1:8" ht="16.5" thickTop="1" thickBot="1" x14ac:dyDescent="0.25">
      <c r="A309" s="999"/>
      <c r="B309" s="999"/>
      <c r="C309" s="702"/>
      <c r="D309" s="707"/>
      <c r="E309" s="704"/>
      <c r="F309" s="704"/>
      <c r="G309" s="708"/>
      <c r="H309" s="706"/>
    </row>
    <row r="310" spans="1:8" ht="16.5" thickTop="1" thickBot="1" x14ac:dyDescent="0.25">
      <c r="A310" s="999"/>
      <c r="B310" s="999"/>
      <c r="C310" s="702"/>
      <c r="D310" s="707"/>
      <c r="E310" s="704"/>
      <c r="F310" s="704"/>
      <c r="G310" s="708"/>
      <c r="H310" s="706"/>
    </row>
    <row r="311" spans="1:8" ht="16.5" thickTop="1" thickBot="1" x14ac:dyDescent="0.25">
      <c r="A311" s="999"/>
      <c r="B311" s="999"/>
      <c r="C311" s="702"/>
      <c r="D311" s="707"/>
      <c r="E311" s="704"/>
      <c r="F311" s="704"/>
      <c r="G311" s="708"/>
      <c r="H311" s="706"/>
    </row>
    <row r="312" spans="1:8" ht="16.5" thickTop="1" thickBot="1" x14ac:dyDescent="0.25">
      <c r="A312" s="999"/>
      <c r="B312" s="999"/>
      <c r="C312" s="702"/>
      <c r="D312" s="707"/>
      <c r="E312" s="704"/>
      <c r="F312" s="704"/>
      <c r="G312" s="708"/>
      <c r="H312" s="706"/>
    </row>
    <row r="313" spans="1:8" ht="16.5" thickTop="1" thickBot="1" x14ac:dyDescent="0.25">
      <c r="A313" s="999"/>
      <c r="B313" s="999"/>
      <c r="C313" s="702"/>
      <c r="D313" s="707"/>
      <c r="E313" s="704"/>
      <c r="F313" s="704"/>
      <c r="G313" s="708"/>
      <c r="H313" s="706"/>
    </row>
    <row r="314" spans="1:8" ht="16.5" thickTop="1" thickBot="1" x14ac:dyDescent="0.25">
      <c r="A314" s="999"/>
      <c r="B314" s="999"/>
      <c r="C314" s="702"/>
      <c r="D314" s="707"/>
      <c r="E314" s="704"/>
      <c r="F314" s="704"/>
      <c r="G314" s="708"/>
      <c r="H314" s="706"/>
    </row>
    <row r="315" spans="1:8" ht="16.5" thickTop="1" thickBot="1" x14ac:dyDescent="0.25">
      <c r="A315" s="999"/>
      <c r="B315" s="999"/>
      <c r="C315" s="702"/>
      <c r="D315" s="707"/>
      <c r="E315" s="704"/>
      <c r="F315" s="704"/>
      <c r="G315" s="708"/>
      <c r="H315" s="706"/>
    </row>
    <row r="316" spans="1:8" ht="16.5" thickTop="1" thickBot="1" x14ac:dyDescent="0.25">
      <c r="A316" s="999"/>
      <c r="B316" s="999"/>
      <c r="C316" s="702"/>
      <c r="D316" s="707"/>
      <c r="E316" s="704"/>
      <c r="F316" s="704"/>
      <c r="G316" s="708"/>
      <c r="H316" s="706"/>
    </row>
    <row r="317" spans="1:8" ht="16.5" thickTop="1" thickBot="1" x14ac:dyDescent="0.25">
      <c r="A317" s="999"/>
      <c r="B317" s="999"/>
      <c r="C317" s="702"/>
      <c r="D317" s="707"/>
      <c r="E317" s="704"/>
      <c r="F317" s="704"/>
      <c r="G317" s="708"/>
      <c r="H317" s="706"/>
    </row>
    <row r="318" spans="1:8" ht="16.5" thickTop="1" thickBot="1" x14ac:dyDescent="0.25">
      <c r="A318" s="999"/>
      <c r="B318" s="999"/>
      <c r="C318" s="702"/>
      <c r="D318" s="707"/>
      <c r="E318" s="704"/>
      <c r="F318" s="704"/>
      <c r="G318" s="708"/>
      <c r="H318" s="706"/>
    </row>
    <row r="319" spans="1:8" ht="16.5" thickTop="1" thickBot="1" x14ac:dyDescent="0.25">
      <c r="A319" s="999"/>
      <c r="B319" s="999"/>
      <c r="C319" s="702"/>
      <c r="D319" s="707"/>
      <c r="E319" s="704"/>
      <c r="F319" s="704"/>
      <c r="G319" s="708"/>
      <c r="H319" s="706"/>
    </row>
    <row r="320" spans="1:8" ht="16.5" thickTop="1" thickBot="1" x14ac:dyDescent="0.25">
      <c r="A320" s="999"/>
      <c r="B320" s="999"/>
      <c r="C320" s="702"/>
      <c r="D320" s="707"/>
      <c r="E320" s="704"/>
      <c r="F320" s="704"/>
      <c r="G320" s="708"/>
      <c r="H320" s="706"/>
    </row>
    <row r="321" spans="1:8" ht="16.5" thickTop="1" thickBot="1" x14ac:dyDescent="0.25">
      <c r="A321" s="999"/>
      <c r="B321" s="999"/>
      <c r="C321" s="702"/>
      <c r="D321" s="707"/>
      <c r="E321" s="704"/>
      <c r="F321" s="704"/>
      <c r="G321" s="708"/>
      <c r="H321" s="706"/>
    </row>
    <row r="322" spans="1:8" ht="16.5" thickTop="1" thickBot="1" x14ac:dyDescent="0.25">
      <c r="A322" s="998" t="s">
        <v>590</v>
      </c>
      <c r="B322" s="1006"/>
      <c r="C322" s="702" t="s">
        <v>586</v>
      </c>
      <c r="D322" s="707">
        <v>-4.0000000000000002E-4</v>
      </c>
      <c r="E322" s="704"/>
      <c r="F322" s="704"/>
      <c r="G322" s="708"/>
      <c r="H322" s="706"/>
    </row>
    <row r="323" spans="1:8" ht="26.25" customHeight="1" thickTop="1" thickBot="1" x14ac:dyDescent="0.25">
      <c r="A323" s="998" t="s">
        <v>591</v>
      </c>
      <c r="B323" s="998"/>
      <c r="C323" s="702" t="s">
        <v>586</v>
      </c>
      <c r="D323" s="707">
        <v>4.3E-3</v>
      </c>
      <c r="E323" s="704"/>
      <c r="F323" s="704"/>
      <c r="G323" s="708"/>
      <c r="H323" s="706"/>
    </row>
    <row r="324" spans="1:8" ht="24.75" customHeight="1" thickTop="1" thickBot="1" x14ac:dyDescent="0.25">
      <c r="A324" s="998" t="s">
        <v>593</v>
      </c>
      <c r="B324" s="1006"/>
      <c r="C324" s="702" t="s">
        <v>586</v>
      </c>
      <c r="D324" s="707">
        <v>-1.5E-3</v>
      </c>
      <c r="E324" s="704"/>
      <c r="F324" s="704"/>
      <c r="G324" s="708"/>
      <c r="H324" s="706"/>
    </row>
    <row r="325" spans="1:8" ht="16.5" thickTop="1" thickBot="1" x14ac:dyDescent="0.25">
      <c r="A325" s="998" t="s">
        <v>594</v>
      </c>
      <c r="B325" s="998"/>
      <c r="C325" s="702" t="s">
        <v>586</v>
      </c>
      <c r="D325" s="707">
        <v>2.0000000000000001E-4</v>
      </c>
      <c r="E325" s="704"/>
      <c r="F325" s="704"/>
      <c r="G325" s="708"/>
      <c r="H325" s="706"/>
    </row>
    <row r="326" spans="1:8" ht="16.5" thickTop="1" thickBot="1" x14ac:dyDescent="0.25">
      <c r="A326" s="998"/>
      <c r="B326" s="998"/>
      <c r="C326" s="702"/>
      <c r="D326" s="707"/>
      <c r="E326" s="704"/>
      <c r="F326" s="704"/>
      <c r="G326" s="708"/>
      <c r="H326" s="706"/>
    </row>
    <row r="327" spans="1:8" ht="16.5" thickTop="1" thickBot="1" x14ac:dyDescent="0.25">
      <c r="A327" s="998"/>
      <c r="B327" s="998"/>
      <c r="C327" s="702"/>
      <c r="D327" s="707"/>
      <c r="E327" s="704"/>
      <c r="F327" s="704"/>
      <c r="G327" s="709"/>
      <c r="H327" s="706"/>
    </row>
    <row r="328" spans="1:8" ht="15.75" thickTop="1" x14ac:dyDescent="0.2">
      <c r="A328" s="699"/>
      <c r="B328" s="699"/>
      <c r="C328" s="699"/>
      <c r="D328" s="706"/>
      <c r="E328" s="704"/>
      <c r="F328" s="704"/>
      <c r="G328" s="710"/>
      <c r="H328" s="706"/>
    </row>
    <row r="329" spans="1:8" x14ac:dyDescent="0.2">
      <c r="A329" s="698" t="s">
        <v>595</v>
      </c>
      <c r="B329" s="699"/>
      <c r="C329" s="699"/>
      <c r="D329" s="706"/>
      <c r="E329" s="704"/>
      <c r="F329" s="704"/>
      <c r="G329" s="710"/>
      <c r="H329" s="706"/>
    </row>
    <row r="330" spans="1:8" x14ac:dyDescent="0.2">
      <c r="A330" s="699"/>
      <c r="B330" s="699"/>
      <c r="C330" s="699"/>
      <c r="D330" s="706"/>
      <c r="E330" s="704"/>
      <c r="F330" s="704"/>
      <c r="G330" s="710"/>
      <c r="H330" s="706"/>
    </row>
    <row r="331" spans="1:8" ht="15.75" thickBot="1" x14ac:dyDescent="0.25">
      <c r="A331" s="980" t="s">
        <v>596</v>
      </c>
      <c r="B331" s="981"/>
      <c r="C331" s="711" t="s">
        <v>586</v>
      </c>
      <c r="D331" s="712">
        <v>4.4000000000000003E-3</v>
      </c>
      <c r="E331" s="704"/>
      <c r="F331" s="704"/>
      <c r="G331" s="713"/>
      <c r="H331" s="704"/>
    </row>
    <row r="332" spans="1:8" ht="16.5" thickTop="1" thickBot="1" x14ac:dyDescent="0.25">
      <c r="A332" s="980" t="s">
        <v>597</v>
      </c>
      <c r="B332" s="981"/>
      <c r="C332" s="714" t="s">
        <v>586</v>
      </c>
      <c r="D332" s="715">
        <v>1.2999999999999999E-3</v>
      </c>
      <c r="E332" s="704"/>
      <c r="F332" s="704"/>
      <c r="G332" s="713"/>
      <c r="H332" s="704"/>
    </row>
    <row r="333" spans="1:8" ht="16.5" thickTop="1" thickBot="1" x14ac:dyDescent="0.25">
      <c r="A333" s="980" t="s">
        <v>598</v>
      </c>
      <c r="B333" s="981"/>
      <c r="C333" s="716" t="s">
        <v>11</v>
      </c>
      <c r="D333" s="717">
        <v>0.25</v>
      </c>
      <c r="E333" s="704"/>
      <c r="F333" s="704"/>
      <c r="G333" s="713"/>
      <c r="H333" s="704"/>
    </row>
    <row r="334" spans="1:8" ht="18.75" thickTop="1" x14ac:dyDescent="0.2">
      <c r="A334" s="1003" t="s">
        <v>611</v>
      </c>
      <c r="B334" s="1003"/>
      <c r="C334" s="1003"/>
      <c r="D334" s="1004"/>
      <c r="E334" s="718"/>
      <c r="F334" s="718"/>
      <c r="G334" s="718"/>
      <c r="H334" s="718"/>
    </row>
    <row r="335" spans="1:8" x14ac:dyDescent="0.2">
      <c r="A335" s="696"/>
      <c r="B335" s="696"/>
      <c r="C335" s="696"/>
      <c r="D335" s="719"/>
      <c r="E335" s="719"/>
      <c r="F335" s="719"/>
      <c r="G335" s="719"/>
      <c r="H335" s="719"/>
    </row>
    <row r="336" spans="1:8" ht="41.25" customHeight="1" x14ac:dyDescent="0.2">
      <c r="A336" s="1002" t="s">
        <v>612</v>
      </c>
      <c r="B336" s="1000"/>
      <c r="C336" s="1000"/>
      <c r="D336" s="1005"/>
      <c r="E336" s="704"/>
      <c r="F336" s="704"/>
      <c r="G336" s="704"/>
      <c r="H336" s="704"/>
    </row>
    <row r="337" spans="1:8" x14ac:dyDescent="0.2">
      <c r="A337" s="698" t="s">
        <v>578</v>
      </c>
      <c r="B337" s="699"/>
      <c r="C337" s="699"/>
      <c r="D337" s="706"/>
      <c r="E337" s="706"/>
      <c r="F337" s="706"/>
      <c r="G337" s="706"/>
      <c r="H337" s="706"/>
    </row>
    <row r="338" spans="1:8" x14ac:dyDescent="0.2">
      <c r="A338" s="699"/>
      <c r="B338" s="699"/>
      <c r="C338" s="699"/>
      <c r="D338" s="706"/>
      <c r="E338" s="706"/>
      <c r="F338" s="706"/>
      <c r="G338" s="706"/>
      <c r="H338" s="706"/>
    </row>
    <row r="339" spans="1:8" ht="40.5" customHeight="1" x14ac:dyDescent="0.2">
      <c r="A339" s="1002" t="s">
        <v>579</v>
      </c>
      <c r="B339" s="1000"/>
      <c r="C339" s="1000"/>
      <c r="D339" s="1001"/>
      <c r="E339" s="704"/>
      <c r="F339" s="704"/>
      <c r="G339" s="704"/>
      <c r="H339" s="704"/>
    </row>
    <row r="340" spans="1:8" ht="54.75" customHeight="1" x14ac:dyDescent="0.2">
      <c r="A340" s="1000" t="s">
        <v>580</v>
      </c>
      <c r="B340" s="1000"/>
      <c r="C340" s="1000"/>
      <c r="D340" s="1001"/>
      <c r="E340" s="704"/>
      <c r="F340" s="704"/>
      <c r="G340" s="704"/>
      <c r="H340" s="704"/>
    </row>
    <row r="341" spans="1:8" ht="59.25" customHeight="1" x14ac:dyDescent="0.2">
      <c r="A341" s="1000" t="s">
        <v>581</v>
      </c>
      <c r="B341" s="1000"/>
      <c r="C341" s="1000"/>
      <c r="D341" s="1001"/>
      <c r="E341" s="704"/>
      <c r="F341" s="704"/>
      <c r="G341" s="704"/>
      <c r="H341" s="706"/>
    </row>
    <row r="342" spans="1:8" ht="41.25" customHeight="1" x14ac:dyDescent="0.2">
      <c r="A342" s="1002" t="s">
        <v>582</v>
      </c>
      <c r="B342" s="1000"/>
      <c r="C342" s="1000"/>
      <c r="D342" s="1001"/>
      <c r="E342" s="704"/>
      <c r="F342" s="704"/>
      <c r="G342" s="704"/>
      <c r="H342" s="706"/>
    </row>
    <row r="343" spans="1:8" x14ac:dyDescent="0.2">
      <c r="A343" s="697"/>
      <c r="B343" s="697"/>
      <c r="C343" s="697"/>
      <c r="D343" s="704"/>
      <c r="E343" s="704"/>
      <c r="F343" s="704"/>
      <c r="G343" s="720"/>
      <c r="H343" s="706"/>
    </row>
    <row r="344" spans="1:8" x14ac:dyDescent="0.2">
      <c r="A344" s="698" t="s">
        <v>583</v>
      </c>
      <c r="B344" s="699"/>
      <c r="C344" s="699"/>
      <c r="D344" s="706"/>
      <c r="E344" s="704"/>
      <c r="F344" s="704"/>
      <c r="G344" s="706"/>
      <c r="H344" s="706"/>
    </row>
    <row r="345" spans="1:8" x14ac:dyDescent="0.2">
      <c r="A345" s="698"/>
      <c r="B345" s="699"/>
      <c r="C345" s="699"/>
      <c r="D345" s="706"/>
      <c r="E345" s="704"/>
      <c r="F345" s="704"/>
      <c r="G345" s="706"/>
      <c r="H345" s="706"/>
    </row>
    <row r="346" spans="1:8" ht="15.75" thickBot="1" x14ac:dyDescent="0.25">
      <c r="A346" s="999" t="s">
        <v>584</v>
      </c>
      <c r="B346" s="999"/>
      <c r="C346" s="702" t="s">
        <v>11</v>
      </c>
      <c r="D346" s="703">
        <v>463.17</v>
      </c>
      <c r="E346" s="704"/>
      <c r="F346" s="704"/>
      <c r="G346" s="705"/>
      <c r="H346" s="706"/>
    </row>
    <row r="347" spans="1:8" ht="16.5" thickTop="1" thickBot="1" x14ac:dyDescent="0.25">
      <c r="A347" s="723" t="s">
        <v>499</v>
      </c>
      <c r="B347" s="723"/>
      <c r="C347" s="702" t="s">
        <v>603</v>
      </c>
      <c r="D347" s="707">
        <v>1.4273</v>
      </c>
      <c r="E347" s="704"/>
      <c r="F347" s="704"/>
      <c r="G347" s="708"/>
      <c r="H347" s="706"/>
    </row>
    <row r="348" spans="1:8" ht="16.5" thickTop="1" thickBot="1" x14ac:dyDescent="0.25">
      <c r="A348" s="723" t="s">
        <v>588</v>
      </c>
      <c r="B348" s="723"/>
      <c r="C348" s="702" t="s">
        <v>603</v>
      </c>
      <c r="D348" s="707">
        <v>2.9565999999999999</v>
      </c>
      <c r="E348" s="704"/>
      <c r="F348" s="704"/>
      <c r="G348" s="708"/>
      <c r="H348" s="706"/>
    </row>
    <row r="349" spans="1:8" ht="16.5" thickTop="1" thickBot="1" x14ac:dyDescent="0.25">
      <c r="A349" s="999" t="s">
        <v>589</v>
      </c>
      <c r="B349" s="999"/>
      <c r="C349" s="702" t="s">
        <v>603</v>
      </c>
      <c r="D349" s="707">
        <v>2.3933</v>
      </c>
      <c r="E349" s="704"/>
      <c r="F349" s="704"/>
      <c r="G349" s="708"/>
      <c r="H349" s="706"/>
    </row>
    <row r="350" spans="1:8" ht="16.5" thickTop="1" thickBot="1" x14ac:dyDescent="0.25">
      <c r="A350" s="999"/>
      <c r="B350" s="999"/>
      <c r="C350" s="702"/>
      <c r="D350" s="707"/>
      <c r="E350" s="704"/>
      <c r="F350" s="704"/>
      <c r="G350" s="708"/>
      <c r="H350" s="706"/>
    </row>
    <row r="351" spans="1:8" ht="16.5" thickTop="1" thickBot="1" x14ac:dyDescent="0.25">
      <c r="A351" s="999"/>
      <c r="B351" s="999"/>
      <c r="C351" s="702"/>
      <c r="D351" s="707"/>
      <c r="E351" s="704"/>
      <c r="F351" s="704"/>
      <c r="G351" s="708"/>
      <c r="H351" s="706"/>
    </row>
    <row r="352" spans="1:8" ht="16.5" thickTop="1" thickBot="1" x14ac:dyDescent="0.25">
      <c r="A352" s="999"/>
      <c r="B352" s="999"/>
      <c r="C352" s="702"/>
      <c r="D352" s="707"/>
      <c r="E352" s="704"/>
      <c r="F352" s="704"/>
      <c r="G352" s="708"/>
      <c r="H352" s="706"/>
    </row>
    <row r="353" spans="1:8" ht="16.5" thickTop="1" thickBot="1" x14ac:dyDescent="0.25">
      <c r="A353" s="999"/>
      <c r="B353" s="999"/>
      <c r="C353" s="702"/>
      <c r="D353" s="707"/>
      <c r="E353" s="704"/>
      <c r="F353" s="704"/>
      <c r="G353" s="708"/>
      <c r="H353" s="706"/>
    </row>
    <row r="354" spans="1:8" ht="16.5" thickTop="1" thickBot="1" x14ac:dyDescent="0.25">
      <c r="A354" s="999"/>
      <c r="B354" s="999"/>
      <c r="C354" s="702"/>
      <c r="D354" s="707"/>
      <c r="E354" s="704"/>
      <c r="F354" s="704"/>
      <c r="G354" s="708"/>
      <c r="H354" s="706"/>
    </row>
    <row r="355" spans="1:8" ht="16.5" thickTop="1" thickBot="1" x14ac:dyDescent="0.25">
      <c r="A355" s="999"/>
      <c r="B355" s="999"/>
      <c r="C355" s="702"/>
      <c r="D355" s="707"/>
      <c r="E355" s="704"/>
      <c r="F355" s="704"/>
      <c r="G355" s="708"/>
      <c r="H355" s="706"/>
    </row>
    <row r="356" spans="1:8" ht="16.5" thickTop="1" thickBot="1" x14ac:dyDescent="0.25">
      <c r="A356" s="999"/>
      <c r="B356" s="999"/>
      <c r="C356" s="702"/>
      <c r="D356" s="707"/>
      <c r="E356" s="704"/>
      <c r="F356" s="704"/>
      <c r="G356" s="708"/>
      <c r="H356" s="706"/>
    </row>
    <row r="357" spans="1:8" ht="16.5" thickTop="1" thickBot="1" x14ac:dyDescent="0.25">
      <c r="A357" s="999"/>
      <c r="B357" s="999"/>
      <c r="C357" s="702"/>
      <c r="D357" s="707"/>
      <c r="E357" s="704"/>
      <c r="F357" s="704"/>
      <c r="G357" s="708"/>
      <c r="H357" s="706"/>
    </row>
    <row r="358" spans="1:8" ht="16.5" thickTop="1" thickBot="1" x14ac:dyDescent="0.25">
      <c r="A358" s="999"/>
      <c r="B358" s="999"/>
      <c r="C358" s="702"/>
      <c r="D358" s="707"/>
      <c r="E358" s="704"/>
      <c r="F358" s="704"/>
      <c r="G358" s="708"/>
      <c r="H358" s="706"/>
    </row>
    <row r="359" spans="1:8" ht="16.5" thickTop="1" thickBot="1" x14ac:dyDescent="0.25">
      <c r="A359" s="999"/>
      <c r="B359" s="999"/>
      <c r="C359" s="702"/>
      <c r="D359" s="707"/>
      <c r="E359" s="704"/>
      <c r="F359" s="704"/>
      <c r="G359" s="708"/>
      <c r="H359" s="706"/>
    </row>
    <row r="360" spans="1:8" ht="16.5" thickTop="1" thickBot="1" x14ac:dyDescent="0.25">
      <c r="A360" s="999"/>
      <c r="B360" s="999"/>
      <c r="C360" s="702"/>
      <c r="D360" s="707"/>
      <c r="E360" s="704"/>
      <c r="F360" s="704"/>
      <c r="G360" s="708"/>
      <c r="H360" s="706"/>
    </row>
    <row r="361" spans="1:8" ht="16.5" thickTop="1" thickBot="1" x14ac:dyDescent="0.25">
      <c r="A361" s="999"/>
      <c r="B361" s="999"/>
      <c r="C361" s="702"/>
      <c r="D361" s="707"/>
      <c r="E361" s="704"/>
      <c r="F361" s="704"/>
      <c r="G361" s="708"/>
      <c r="H361" s="706"/>
    </row>
    <row r="362" spans="1:8" ht="16.5" thickTop="1" thickBot="1" x14ac:dyDescent="0.25">
      <c r="A362" s="999"/>
      <c r="B362" s="999"/>
      <c r="C362" s="702"/>
      <c r="D362" s="707"/>
      <c r="E362" s="704"/>
      <c r="F362" s="704"/>
      <c r="G362" s="708"/>
      <c r="H362" s="706"/>
    </row>
    <row r="363" spans="1:8" ht="16.5" thickTop="1" thickBot="1" x14ac:dyDescent="0.25">
      <c r="A363" s="999"/>
      <c r="B363" s="999"/>
      <c r="C363" s="702"/>
      <c r="D363" s="707"/>
      <c r="E363" s="704"/>
      <c r="F363" s="704"/>
      <c r="G363" s="708"/>
      <c r="H363" s="706"/>
    </row>
    <row r="364" spans="1:8" ht="16.5" thickTop="1" thickBot="1" x14ac:dyDescent="0.25">
      <c r="A364" s="999"/>
      <c r="B364" s="999"/>
      <c r="C364" s="702"/>
      <c r="D364" s="707"/>
      <c r="E364" s="704"/>
      <c r="F364" s="704"/>
      <c r="G364" s="708"/>
      <c r="H364" s="706"/>
    </row>
    <row r="365" spans="1:8" ht="16.5" thickTop="1" thickBot="1" x14ac:dyDescent="0.25">
      <c r="A365" s="999"/>
      <c r="B365" s="999"/>
      <c r="C365" s="702"/>
      <c r="D365" s="707"/>
      <c r="E365" s="704"/>
      <c r="F365" s="704"/>
      <c r="G365" s="708"/>
      <c r="H365" s="706"/>
    </row>
    <row r="366" spans="1:8" ht="16.5" thickTop="1" thickBot="1" x14ac:dyDescent="0.25">
      <c r="A366" s="999"/>
      <c r="B366" s="999"/>
      <c r="C366" s="702"/>
      <c r="D366" s="707"/>
      <c r="E366" s="704"/>
      <c r="F366" s="704"/>
      <c r="G366" s="708"/>
      <c r="H366" s="706"/>
    </row>
    <row r="367" spans="1:8" ht="16.5" thickTop="1" thickBot="1" x14ac:dyDescent="0.25">
      <c r="A367" s="999"/>
      <c r="B367" s="999"/>
      <c r="C367" s="702"/>
      <c r="D367" s="707"/>
      <c r="E367" s="704"/>
      <c r="F367" s="704"/>
      <c r="G367" s="708"/>
      <c r="H367" s="706"/>
    </row>
    <row r="368" spans="1:8" ht="16.5" thickTop="1" thickBot="1" x14ac:dyDescent="0.25">
      <c r="A368" s="999"/>
      <c r="B368" s="999"/>
      <c r="C368" s="702"/>
      <c r="D368" s="707"/>
      <c r="E368" s="704"/>
      <c r="F368" s="704"/>
      <c r="G368" s="708"/>
      <c r="H368" s="706"/>
    </row>
    <row r="369" spans="1:8" ht="16.5" thickTop="1" thickBot="1" x14ac:dyDescent="0.25">
      <c r="A369" s="999"/>
      <c r="B369" s="999"/>
      <c r="C369" s="702"/>
      <c r="D369" s="707"/>
      <c r="E369" s="704"/>
      <c r="F369" s="704"/>
      <c r="G369" s="708"/>
      <c r="H369" s="706"/>
    </row>
    <row r="370" spans="1:8" ht="16.5" thickTop="1" thickBot="1" x14ac:dyDescent="0.25">
      <c r="A370" s="998" t="s">
        <v>590</v>
      </c>
      <c r="B370" s="1006"/>
      <c r="C370" s="702" t="s">
        <v>603</v>
      </c>
      <c r="D370" s="707">
        <v>0.57289999999999996</v>
      </c>
      <c r="E370" s="704"/>
      <c r="F370" s="704"/>
      <c r="G370" s="708"/>
      <c r="H370" s="706"/>
    </row>
    <row r="371" spans="1:8" ht="27" customHeight="1" thickTop="1" thickBot="1" x14ac:dyDescent="0.25">
      <c r="A371" s="998" t="s">
        <v>591</v>
      </c>
      <c r="B371" s="998"/>
      <c r="C371" s="702" t="s">
        <v>603</v>
      </c>
      <c r="D371" s="707">
        <v>-4.65E-2</v>
      </c>
      <c r="E371" s="704"/>
      <c r="F371" s="704"/>
      <c r="G371" s="708"/>
      <c r="H371" s="706"/>
    </row>
    <row r="372" spans="1:8" ht="16.5" thickTop="1" thickBot="1" x14ac:dyDescent="0.25">
      <c r="A372" s="998"/>
      <c r="B372" s="998"/>
      <c r="C372" s="702"/>
      <c r="D372" s="707"/>
      <c r="E372" s="704"/>
      <c r="F372" s="704"/>
      <c r="G372" s="708"/>
      <c r="H372" s="706"/>
    </row>
    <row r="373" spans="1:8" ht="16.5" thickTop="1" thickBot="1" x14ac:dyDescent="0.25">
      <c r="A373" s="998"/>
      <c r="B373" s="998"/>
      <c r="C373" s="702"/>
      <c r="D373" s="707"/>
      <c r="E373" s="704"/>
      <c r="F373" s="704"/>
      <c r="G373" s="708"/>
      <c r="H373" s="706"/>
    </row>
    <row r="374" spans="1:8" ht="16.5" thickTop="1" thickBot="1" x14ac:dyDescent="0.25">
      <c r="A374" s="998"/>
      <c r="B374" s="998"/>
      <c r="C374" s="702"/>
      <c r="D374" s="707"/>
      <c r="E374" s="704"/>
      <c r="F374" s="704"/>
      <c r="G374" s="708"/>
      <c r="H374" s="706"/>
    </row>
    <row r="375" spans="1:8" ht="16.5" thickTop="1" thickBot="1" x14ac:dyDescent="0.25">
      <c r="A375" s="998"/>
      <c r="B375" s="998"/>
      <c r="C375" s="702"/>
      <c r="D375" s="707"/>
      <c r="E375" s="704"/>
      <c r="F375" s="704"/>
      <c r="G375" s="709"/>
      <c r="H375" s="706"/>
    </row>
    <row r="376" spans="1:8" ht="15.75" thickTop="1" x14ac:dyDescent="0.2">
      <c r="A376" s="699"/>
      <c r="B376" s="699"/>
      <c r="C376" s="699"/>
      <c r="D376" s="706"/>
      <c r="E376" s="704"/>
      <c r="F376" s="704"/>
      <c r="G376" s="710"/>
      <c r="H376" s="706"/>
    </row>
    <row r="377" spans="1:8" x14ac:dyDescent="0.2">
      <c r="A377" s="698" t="s">
        <v>595</v>
      </c>
      <c r="B377" s="699"/>
      <c r="C377" s="699"/>
      <c r="D377" s="706"/>
      <c r="E377" s="704"/>
      <c r="F377" s="704"/>
      <c r="G377" s="710"/>
      <c r="H377" s="706"/>
    </row>
    <row r="378" spans="1:8" x14ac:dyDescent="0.2">
      <c r="A378" s="699"/>
      <c r="B378" s="699"/>
      <c r="C378" s="699"/>
      <c r="D378" s="706"/>
      <c r="E378" s="704"/>
      <c r="F378" s="704"/>
      <c r="G378" s="710"/>
      <c r="H378" s="706"/>
    </row>
    <row r="379" spans="1:8" ht="15.75" thickBot="1" x14ac:dyDescent="0.25">
      <c r="A379" s="980" t="s">
        <v>596</v>
      </c>
      <c r="B379" s="981"/>
      <c r="C379" s="711" t="s">
        <v>586</v>
      </c>
      <c r="D379" s="712">
        <v>4.4000000000000003E-3</v>
      </c>
      <c r="E379" s="704"/>
      <c r="F379" s="704"/>
      <c r="G379" s="713"/>
      <c r="H379" s="704"/>
    </row>
    <row r="380" spans="1:8" ht="16.5" thickTop="1" thickBot="1" x14ac:dyDescent="0.25">
      <c r="A380" s="980" t="s">
        <v>597</v>
      </c>
      <c r="B380" s="981"/>
      <c r="C380" s="714" t="s">
        <v>586</v>
      </c>
      <c r="D380" s="715">
        <v>1.2999999999999999E-3</v>
      </c>
      <c r="E380" s="704"/>
      <c r="F380" s="704"/>
      <c r="G380" s="713"/>
      <c r="H380" s="704"/>
    </row>
    <row r="381" spans="1:8" ht="16.5" thickTop="1" thickBot="1" x14ac:dyDescent="0.25">
      <c r="A381" s="980" t="s">
        <v>598</v>
      </c>
      <c r="B381" s="981"/>
      <c r="C381" s="716" t="s">
        <v>11</v>
      </c>
      <c r="D381" s="717">
        <v>0.25</v>
      </c>
      <c r="E381" s="704"/>
      <c r="F381" s="704"/>
      <c r="G381" s="713"/>
      <c r="H381" s="704"/>
    </row>
    <row r="382" spans="1:8" ht="18.75" thickTop="1" x14ac:dyDescent="0.2">
      <c r="A382" s="1003" t="s">
        <v>613</v>
      </c>
      <c r="B382" s="1003"/>
      <c r="C382" s="1003"/>
      <c r="D382" s="1004"/>
      <c r="E382" s="718"/>
      <c r="F382" s="718"/>
      <c r="G382" s="718"/>
      <c r="H382" s="718"/>
    </row>
    <row r="383" spans="1:8" x14ac:dyDescent="0.2">
      <c r="A383" s="696"/>
      <c r="B383" s="696"/>
      <c r="C383" s="696"/>
      <c r="D383" s="719"/>
      <c r="E383" s="719"/>
      <c r="F383" s="719"/>
      <c r="G383" s="719"/>
      <c r="H383" s="719"/>
    </row>
    <row r="384" spans="1:8" ht="48" customHeight="1" x14ac:dyDescent="0.2">
      <c r="A384" s="1002" t="s">
        <v>614</v>
      </c>
      <c r="B384" s="1000"/>
      <c r="C384" s="1000"/>
      <c r="D384" s="1005"/>
      <c r="E384" s="704"/>
      <c r="F384" s="704"/>
      <c r="G384" s="704"/>
      <c r="H384" s="704"/>
    </row>
    <row r="385" spans="1:8" x14ac:dyDescent="0.2">
      <c r="A385" s="698" t="s">
        <v>578</v>
      </c>
      <c r="B385" s="699"/>
      <c r="C385" s="699"/>
      <c r="D385" s="706"/>
      <c r="E385" s="706"/>
      <c r="F385" s="706"/>
      <c r="G385" s="706"/>
      <c r="H385" s="706"/>
    </row>
    <row r="386" spans="1:8" x14ac:dyDescent="0.2">
      <c r="A386" s="699"/>
      <c r="B386" s="699"/>
      <c r="C386" s="699"/>
      <c r="D386" s="706"/>
      <c r="E386" s="706"/>
      <c r="F386" s="706"/>
      <c r="G386" s="706"/>
      <c r="H386" s="706"/>
    </row>
    <row r="387" spans="1:8" ht="42" customHeight="1" x14ac:dyDescent="0.2">
      <c r="A387" s="1002" t="s">
        <v>579</v>
      </c>
      <c r="B387" s="1000"/>
      <c r="C387" s="1000"/>
      <c r="D387" s="1001"/>
      <c r="E387" s="704"/>
      <c r="F387" s="704"/>
      <c r="G387" s="704"/>
      <c r="H387" s="704"/>
    </row>
    <row r="388" spans="1:8" ht="55.5" customHeight="1" x14ac:dyDescent="0.2">
      <c r="A388" s="1000" t="s">
        <v>580</v>
      </c>
      <c r="B388" s="1000"/>
      <c r="C388" s="1000"/>
      <c r="D388" s="1001"/>
      <c r="E388" s="704"/>
      <c r="F388" s="704"/>
      <c r="G388" s="704"/>
      <c r="H388" s="704"/>
    </row>
    <row r="389" spans="1:8" ht="34.5" customHeight="1" x14ac:dyDescent="0.2">
      <c r="A389" s="1000" t="s">
        <v>615</v>
      </c>
      <c r="B389" s="1000"/>
      <c r="C389" s="1000"/>
      <c r="D389" s="1001"/>
      <c r="E389" s="704"/>
      <c r="F389" s="704"/>
      <c r="G389" s="704"/>
      <c r="H389" s="706"/>
    </row>
    <row r="390" spans="1:8" ht="42.75" customHeight="1" x14ac:dyDescent="0.2">
      <c r="A390" s="1002" t="s">
        <v>582</v>
      </c>
      <c r="B390" s="1000"/>
      <c r="C390" s="1000"/>
      <c r="D390" s="1001"/>
      <c r="E390" s="704"/>
      <c r="F390" s="704"/>
      <c r="G390" s="704"/>
      <c r="H390" s="706"/>
    </row>
    <row r="391" spans="1:8" x14ac:dyDescent="0.2">
      <c r="A391" s="697"/>
      <c r="B391" s="697"/>
      <c r="C391" s="697"/>
      <c r="D391" s="704"/>
      <c r="E391" s="704"/>
      <c r="F391" s="704"/>
      <c r="G391" s="720"/>
      <c r="H391" s="706"/>
    </row>
    <row r="392" spans="1:8" x14ac:dyDescent="0.2">
      <c r="A392" s="698" t="s">
        <v>583</v>
      </c>
      <c r="B392" s="699"/>
      <c r="C392" s="699"/>
      <c r="D392" s="706"/>
      <c r="E392" s="704"/>
      <c r="F392" s="704"/>
      <c r="G392" s="706"/>
      <c r="H392" s="706"/>
    </row>
    <row r="393" spans="1:8" x14ac:dyDescent="0.2">
      <c r="A393" s="698"/>
      <c r="B393" s="699"/>
      <c r="C393" s="699"/>
      <c r="D393" s="706"/>
      <c r="E393" s="704"/>
      <c r="F393" s="704"/>
      <c r="G393" s="706"/>
      <c r="H393" s="706"/>
    </row>
    <row r="394" spans="1:8" ht="15.75" thickBot="1" x14ac:dyDescent="0.25">
      <c r="A394" s="999" t="s">
        <v>584</v>
      </c>
      <c r="B394" s="999"/>
      <c r="C394" s="702" t="s">
        <v>11</v>
      </c>
      <c r="D394" s="703">
        <v>5.4</v>
      </c>
      <c r="E394" s="704"/>
      <c r="F394" s="704"/>
      <c r="G394" s="705"/>
      <c r="H394" s="706"/>
    </row>
    <row r="395" spans="1:8" ht="16.5" thickTop="1" thickBot="1" x14ac:dyDescent="0.25">
      <c r="A395" s="999"/>
      <c r="B395" s="999"/>
      <c r="C395" s="702"/>
      <c r="D395" s="707"/>
      <c r="E395" s="704"/>
      <c r="F395" s="704"/>
      <c r="G395" s="708"/>
      <c r="H395" s="706"/>
    </row>
    <row r="396" spans="1:8" ht="16.5" thickTop="1" thickBot="1" x14ac:dyDescent="0.25">
      <c r="A396" s="999"/>
      <c r="B396" s="999"/>
      <c r="C396" s="702"/>
      <c r="D396" s="707"/>
      <c r="E396" s="704"/>
      <c r="F396" s="704"/>
      <c r="G396" s="708"/>
      <c r="H396" s="706"/>
    </row>
    <row r="397" spans="1:8" ht="16.5" thickTop="1" thickBot="1" x14ac:dyDescent="0.25">
      <c r="A397" s="999"/>
      <c r="B397" s="999"/>
      <c r="C397" s="702"/>
      <c r="D397" s="707"/>
      <c r="E397" s="704"/>
      <c r="F397" s="704"/>
      <c r="G397" s="708"/>
      <c r="H397" s="706"/>
    </row>
    <row r="398" spans="1:8" ht="16.5" thickTop="1" thickBot="1" x14ac:dyDescent="0.25">
      <c r="A398" s="999"/>
      <c r="B398" s="999"/>
      <c r="C398" s="702"/>
      <c r="D398" s="707"/>
      <c r="E398" s="704"/>
      <c r="F398" s="704"/>
      <c r="G398" s="708"/>
      <c r="H398" s="706"/>
    </row>
    <row r="399" spans="1:8" ht="16.5" thickTop="1" thickBot="1" x14ac:dyDescent="0.25">
      <c r="A399" s="999"/>
      <c r="B399" s="999"/>
      <c r="C399" s="702"/>
      <c r="D399" s="707"/>
      <c r="E399" s="704"/>
      <c r="F399" s="704"/>
      <c r="G399" s="708"/>
      <c r="H399" s="706"/>
    </row>
    <row r="400" spans="1:8" ht="16.5" thickTop="1" thickBot="1" x14ac:dyDescent="0.25">
      <c r="A400" s="999"/>
      <c r="B400" s="999"/>
      <c r="C400" s="702"/>
      <c r="D400" s="707"/>
      <c r="E400" s="704"/>
      <c r="F400" s="704"/>
      <c r="G400" s="708"/>
      <c r="H400" s="706"/>
    </row>
    <row r="401" spans="1:8" ht="16.5" thickTop="1" thickBot="1" x14ac:dyDescent="0.25">
      <c r="A401" s="999"/>
      <c r="B401" s="999"/>
      <c r="C401" s="702"/>
      <c r="D401" s="707"/>
      <c r="E401" s="704"/>
      <c r="F401" s="704"/>
      <c r="G401" s="708"/>
      <c r="H401" s="706"/>
    </row>
    <row r="402" spans="1:8" ht="16.5" thickTop="1" thickBot="1" x14ac:dyDescent="0.25">
      <c r="A402" s="999"/>
      <c r="B402" s="999"/>
      <c r="C402" s="702"/>
      <c r="D402" s="707"/>
      <c r="E402" s="704"/>
      <c r="F402" s="704"/>
      <c r="G402" s="708"/>
      <c r="H402" s="706"/>
    </row>
    <row r="403" spans="1:8" ht="16.5" thickTop="1" thickBot="1" x14ac:dyDescent="0.25">
      <c r="A403" s="999"/>
      <c r="B403" s="999"/>
      <c r="C403" s="702"/>
      <c r="D403" s="707"/>
      <c r="E403" s="704"/>
      <c r="F403" s="704"/>
      <c r="G403" s="708"/>
      <c r="H403" s="706"/>
    </row>
    <row r="404" spans="1:8" ht="16.5" thickTop="1" thickBot="1" x14ac:dyDescent="0.25">
      <c r="A404" s="999"/>
      <c r="B404" s="999"/>
      <c r="C404" s="702"/>
      <c r="D404" s="707"/>
      <c r="E404" s="704"/>
      <c r="F404" s="704"/>
      <c r="G404" s="708"/>
      <c r="H404" s="706"/>
    </row>
    <row r="405" spans="1:8" ht="16.5" thickTop="1" thickBot="1" x14ac:dyDescent="0.25">
      <c r="A405" s="999"/>
      <c r="B405" s="999"/>
      <c r="C405" s="702"/>
      <c r="D405" s="707"/>
      <c r="E405" s="704"/>
      <c r="F405" s="704"/>
      <c r="G405" s="708"/>
      <c r="H405" s="706"/>
    </row>
    <row r="406" spans="1:8" ht="16.5" thickTop="1" thickBot="1" x14ac:dyDescent="0.25">
      <c r="A406" s="999"/>
      <c r="B406" s="999"/>
      <c r="C406" s="702"/>
      <c r="D406" s="707"/>
      <c r="E406" s="704"/>
      <c r="F406" s="704"/>
      <c r="G406" s="708"/>
      <c r="H406" s="706"/>
    </row>
    <row r="407" spans="1:8" ht="16.5" thickTop="1" thickBot="1" x14ac:dyDescent="0.25">
      <c r="A407" s="999"/>
      <c r="B407" s="999"/>
      <c r="C407" s="702"/>
      <c r="D407" s="707"/>
      <c r="E407" s="704"/>
      <c r="F407" s="704"/>
      <c r="G407" s="708"/>
      <c r="H407" s="706"/>
    </row>
    <row r="408" spans="1:8" ht="16.5" thickTop="1" thickBot="1" x14ac:dyDescent="0.25">
      <c r="A408" s="999"/>
      <c r="B408" s="999"/>
      <c r="C408" s="702"/>
      <c r="D408" s="707"/>
      <c r="E408" s="704"/>
      <c r="F408" s="704"/>
      <c r="G408" s="708"/>
      <c r="H408" s="706"/>
    </row>
    <row r="409" spans="1:8" ht="16.5" thickTop="1" thickBot="1" x14ac:dyDescent="0.25">
      <c r="A409" s="999"/>
      <c r="B409" s="999"/>
      <c r="C409" s="702"/>
      <c r="D409" s="707"/>
      <c r="E409" s="704"/>
      <c r="F409" s="704"/>
      <c r="G409" s="708"/>
      <c r="H409" s="706"/>
    </row>
    <row r="410" spans="1:8" ht="16.5" thickTop="1" thickBot="1" x14ac:dyDescent="0.25">
      <c r="A410" s="999"/>
      <c r="B410" s="999"/>
      <c r="C410" s="702"/>
      <c r="D410" s="707"/>
      <c r="E410" s="704"/>
      <c r="F410" s="704"/>
      <c r="G410" s="708"/>
      <c r="H410" s="706"/>
    </row>
    <row r="411" spans="1:8" ht="16.5" thickTop="1" thickBot="1" x14ac:dyDescent="0.25">
      <c r="A411" s="999"/>
      <c r="B411" s="999"/>
      <c r="C411" s="702"/>
      <c r="D411" s="707"/>
      <c r="E411" s="704"/>
      <c r="F411" s="704"/>
      <c r="G411" s="708"/>
      <c r="H411" s="706"/>
    </row>
    <row r="412" spans="1:8" ht="16.5" thickTop="1" thickBot="1" x14ac:dyDescent="0.25">
      <c r="A412" s="999"/>
      <c r="B412" s="999"/>
      <c r="C412" s="702"/>
      <c r="D412" s="707"/>
      <c r="E412" s="704"/>
      <c r="F412" s="704"/>
      <c r="G412" s="708"/>
      <c r="H412" s="706"/>
    </row>
    <row r="413" spans="1:8" ht="16.5" thickTop="1" thickBot="1" x14ac:dyDescent="0.25">
      <c r="A413" s="999"/>
      <c r="B413" s="999"/>
      <c r="C413" s="702"/>
      <c r="D413" s="707"/>
      <c r="E413" s="704"/>
      <c r="F413" s="704"/>
      <c r="G413" s="708"/>
      <c r="H413" s="706"/>
    </row>
    <row r="414" spans="1:8" ht="16.5" thickTop="1" thickBot="1" x14ac:dyDescent="0.25">
      <c r="A414" s="999"/>
      <c r="B414" s="999"/>
      <c r="C414" s="702"/>
      <c r="D414" s="707"/>
      <c r="E414" s="704"/>
      <c r="F414" s="704"/>
      <c r="G414" s="708"/>
      <c r="H414" s="706"/>
    </row>
    <row r="415" spans="1:8" ht="16.5" thickTop="1" thickBot="1" x14ac:dyDescent="0.25">
      <c r="A415" s="999"/>
      <c r="B415" s="999"/>
      <c r="C415" s="702"/>
      <c r="D415" s="707"/>
      <c r="E415" s="704"/>
      <c r="F415" s="704"/>
      <c r="G415" s="708"/>
      <c r="H415" s="706"/>
    </row>
    <row r="416" spans="1:8" ht="16.5" thickTop="1" thickBot="1" x14ac:dyDescent="0.25">
      <c r="A416" s="999"/>
      <c r="B416" s="999"/>
      <c r="C416" s="702"/>
      <c r="D416" s="707"/>
      <c r="E416" s="704"/>
      <c r="F416" s="704"/>
      <c r="G416" s="708"/>
      <c r="H416" s="706"/>
    </row>
    <row r="417" spans="1:8" ht="16.5" thickTop="1" thickBot="1" x14ac:dyDescent="0.25">
      <c r="A417" s="999"/>
      <c r="B417" s="999"/>
      <c r="C417" s="702"/>
      <c r="D417" s="707"/>
      <c r="E417" s="704"/>
      <c r="F417" s="704"/>
      <c r="G417" s="708"/>
      <c r="H417" s="706"/>
    </row>
    <row r="418" spans="1:8" ht="16.5" thickTop="1" thickBot="1" x14ac:dyDescent="0.25">
      <c r="A418" s="998"/>
      <c r="B418" s="998"/>
      <c r="C418" s="702"/>
      <c r="D418" s="707"/>
      <c r="E418" s="704"/>
      <c r="F418" s="704"/>
      <c r="G418" s="708"/>
      <c r="H418" s="706"/>
    </row>
    <row r="419" spans="1:8" ht="16.5" thickTop="1" thickBot="1" x14ac:dyDescent="0.25">
      <c r="A419" s="998"/>
      <c r="B419" s="998"/>
      <c r="C419" s="702"/>
      <c r="D419" s="707"/>
      <c r="E419" s="704"/>
      <c r="F419" s="704"/>
      <c r="G419" s="708"/>
      <c r="H419" s="706"/>
    </row>
    <row r="420" spans="1:8" ht="16.5" thickTop="1" thickBot="1" x14ac:dyDescent="0.25">
      <c r="A420" s="998"/>
      <c r="B420" s="998"/>
      <c r="C420" s="702"/>
      <c r="D420" s="707"/>
      <c r="E420" s="704"/>
      <c r="F420" s="704"/>
      <c r="G420" s="708"/>
      <c r="H420" s="706"/>
    </row>
    <row r="421" spans="1:8" ht="16.5" thickTop="1" thickBot="1" x14ac:dyDescent="0.25">
      <c r="A421" s="998"/>
      <c r="B421" s="998"/>
      <c r="C421" s="702"/>
      <c r="D421" s="707"/>
      <c r="E421" s="704"/>
      <c r="F421" s="704"/>
      <c r="G421" s="708"/>
      <c r="H421" s="706"/>
    </row>
    <row r="422" spans="1:8" ht="16.5" thickTop="1" thickBot="1" x14ac:dyDescent="0.25">
      <c r="A422" s="998"/>
      <c r="B422" s="998"/>
      <c r="C422" s="702"/>
      <c r="D422" s="707"/>
      <c r="E422" s="704"/>
      <c r="F422" s="704"/>
      <c r="G422" s="708"/>
      <c r="H422" s="706"/>
    </row>
    <row r="423" spans="1:8" ht="16.5" thickTop="1" thickBot="1" x14ac:dyDescent="0.25">
      <c r="A423" s="998"/>
      <c r="B423" s="998"/>
      <c r="C423" s="702"/>
      <c r="D423" s="707"/>
      <c r="E423" s="704"/>
      <c r="F423" s="704"/>
      <c r="G423" s="709"/>
      <c r="H423" s="706"/>
    </row>
    <row r="424" spans="1:8" ht="15.75" thickTop="1" x14ac:dyDescent="0.2">
      <c r="A424" s="699"/>
      <c r="B424" s="699"/>
      <c r="C424" s="699"/>
      <c r="D424" s="706"/>
      <c r="E424" s="704"/>
      <c r="F424" s="704"/>
      <c r="G424" s="710"/>
      <c r="H424" s="706"/>
    </row>
    <row r="425" spans="1:8" x14ac:dyDescent="0.2">
      <c r="A425" s="698" t="s">
        <v>595</v>
      </c>
      <c r="B425" s="699"/>
      <c r="C425" s="699"/>
      <c r="D425" s="706"/>
      <c r="E425" s="704"/>
      <c r="F425" s="704"/>
      <c r="G425" s="710"/>
      <c r="H425" s="706"/>
    </row>
    <row r="426" spans="1:8" x14ac:dyDescent="0.2">
      <c r="A426" s="699"/>
      <c r="B426" s="699"/>
      <c r="C426" s="699"/>
      <c r="D426" s="706"/>
      <c r="E426" s="704"/>
      <c r="F426" s="704"/>
      <c r="G426" s="710"/>
      <c r="H426" s="706"/>
    </row>
    <row r="427" spans="1:8" ht="15.75" thickBot="1" x14ac:dyDescent="0.25">
      <c r="A427" s="980" t="s">
        <v>596</v>
      </c>
      <c r="B427" s="981"/>
      <c r="C427" s="711"/>
      <c r="D427" s="712"/>
      <c r="E427" s="704"/>
      <c r="F427" s="704"/>
      <c r="G427" s="713"/>
      <c r="H427" s="704"/>
    </row>
    <row r="428" spans="1:8" ht="16.5" thickTop="1" thickBot="1" x14ac:dyDescent="0.25">
      <c r="A428" s="980" t="s">
        <v>597</v>
      </c>
      <c r="B428" s="981"/>
      <c r="C428" s="714"/>
      <c r="D428" s="715"/>
      <c r="E428" s="704"/>
      <c r="F428" s="704"/>
      <c r="G428" s="713"/>
      <c r="H428" s="704"/>
    </row>
    <row r="429" spans="1:8" ht="16.5" thickTop="1" thickBot="1" x14ac:dyDescent="0.25">
      <c r="A429" s="980" t="s">
        <v>598</v>
      </c>
      <c r="B429" s="981"/>
      <c r="C429" s="716"/>
      <c r="D429" s="724"/>
      <c r="E429" s="704"/>
      <c r="F429" s="704"/>
      <c r="G429" s="713"/>
      <c r="H429" s="704"/>
    </row>
    <row r="430" spans="1:8" ht="15.75" thickTop="1" x14ac:dyDescent="0.2">
      <c r="D430" s="725"/>
      <c r="E430" s="725"/>
      <c r="F430" s="725"/>
      <c r="G430" s="725"/>
      <c r="H430" s="725"/>
    </row>
    <row r="431" spans="1:8" ht="18" x14ac:dyDescent="0.25">
      <c r="A431" s="726" t="s">
        <v>616</v>
      </c>
      <c r="B431" s="727"/>
      <c r="C431" s="727"/>
      <c r="D431" s="728"/>
      <c r="E431" s="729"/>
      <c r="F431" s="729"/>
      <c r="G431" s="730"/>
      <c r="H431" s="731"/>
    </row>
    <row r="432" spans="1:8" x14ac:dyDescent="0.2">
      <c r="A432" s="732"/>
      <c r="B432" s="727"/>
      <c r="C432" s="727"/>
      <c r="D432" s="728"/>
      <c r="E432" s="729"/>
      <c r="F432" s="729"/>
      <c r="G432" s="730"/>
      <c r="H432" s="731"/>
    </row>
    <row r="433" spans="1:8" x14ac:dyDescent="0.2">
      <c r="A433" s="992" t="s">
        <v>617</v>
      </c>
      <c r="B433" s="993"/>
      <c r="C433" s="733" t="s">
        <v>603</v>
      </c>
      <c r="D433" s="734">
        <v>-0.6</v>
      </c>
      <c r="E433" s="704"/>
      <c r="F433" s="704"/>
      <c r="G433" s="735"/>
      <c r="H433" s="704"/>
    </row>
    <row r="434" spans="1:8" x14ac:dyDescent="0.2">
      <c r="A434" s="992" t="s">
        <v>618</v>
      </c>
      <c r="B434" s="993"/>
      <c r="C434" s="733" t="s">
        <v>125</v>
      </c>
      <c r="D434" s="734">
        <v>-1</v>
      </c>
      <c r="E434" s="704"/>
      <c r="F434" s="704"/>
      <c r="G434" s="736"/>
      <c r="H434" s="704"/>
    </row>
    <row r="435" spans="1:8" x14ac:dyDescent="0.2">
      <c r="A435" s="994"/>
      <c r="B435" s="995"/>
      <c r="C435" s="733"/>
      <c r="D435" s="737"/>
      <c r="E435" s="704"/>
      <c r="F435" s="704"/>
      <c r="G435" s="736"/>
      <c r="H435" s="704"/>
    </row>
    <row r="436" spans="1:8" x14ac:dyDescent="0.2">
      <c r="A436" s="996"/>
      <c r="B436" s="997"/>
      <c r="C436" s="738"/>
      <c r="D436" s="739"/>
      <c r="E436" s="704"/>
      <c r="F436" s="704"/>
      <c r="G436" s="735"/>
      <c r="H436" s="704"/>
    </row>
    <row r="437" spans="1:8" x14ac:dyDescent="0.2">
      <c r="A437" s="732"/>
      <c r="B437" s="727"/>
      <c r="C437" s="727"/>
      <c r="D437" s="740"/>
      <c r="E437" s="729"/>
      <c r="F437" s="729"/>
      <c r="G437" s="729"/>
      <c r="H437" s="741"/>
    </row>
    <row r="438" spans="1:8" ht="18" x14ac:dyDescent="0.25">
      <c r="A438" s="726" t="s">
        <v>619</v>
      </c>
      <c r="B438" s="727"/>
      <c r="C438" s="727"/>
      <c r="D438" s="740"/>
      <c r="E438" s="729"/>
      <c r="F438" s="729"/>
      <c r="G438" s="729"/>
      <c r="H438" s="729"/>
    </row>
    <row r="439" spans="1:8" x14ac:dyDescent="0.2">
      <c r="A439" s="732"/>
      <c r="B439" s="727"/>
      <c r="C439" s="727"/>
      <c r="D439" s="740"/>
      <c r="E439" s="729"/>
      <c r="F439" s="729"/>
      <c r="G439" s="729"/>
      <c r="H439" s="729"/>
    </row>
    <row r="440" spans="1:8" x14ac:dyDescent="0.2">
      <c r="A440" s="732" t="s">
        <v>578</v>
      </c>
      <c r="B440" s="727"/>
      <c r="C440" s="727"/>
      <c r="D440" s="740"/>
      <c r="E440" s="729"/>
      <c r="F440" s="729"/>
      <c r="G440" s="729"/>
      <c r="H440" s="729"/>
    </row>
    <row r="441" spans="1:8" x14ac:dyDescent="0.2">
      <c r="A441" s="732"/>
      <c r="B441" s="727"/>
      <c r="C441" s="727"/>
      <c r="D441" s="740"/>
      <c r="E441" s="729"/>
      <c r="F441" s="729"/>
      <c r="G441" s="729"/>
      <c r="H441" s="729"/>
    </row>
    <row r="442" spans="1:8" ht="45" customHeight="1" x14ac:dyDescent="0.2">
      <c r="A442" s="978" t="s">
        <v>579</v>
      </c>
      <c r="B442" s="978"/>
      <c r="C442" s="978"/>
      <c r="D442" s="979"/>
      <c r="E442" s="742"/>
      <c r="F442" s="742"/>
      <c r="G442" s="742"/>
      <c r="H442" s="742"/>
    </row>
    <row r="443" spans="1:8" ht="6.75" customHeight="1" x14ac:dyDescent="0.2">
      <c r="A443" s="743"/>
      <c r="B443" s="744"/>
      <c r="C443" s="744"/>
      <c r="D443" s="745"/>
      <c r="E443" s="746"/>
      <c r="F443" s="746"/>
      <c r="G443" s="746"/>
      <c r="H443" s="746"/>
    </row>
    <row r="444" spans="1:8" ht="41.25" customHeight="1" x14ac:dyDescent="0.2">
      <c r="A444" s="978" t="s">
        <v>620</v>
      </c>
      <c r="B444" s="978"/>
      <c r="C444" s="978"/>
      <c r="D444" s="979"/>
      <c r="E444" s="979"/>
      <c r="F444" s="979"/>
      <c r="G444" s="979"/>
      <c r="H444" s="979"/>
    </row>
    <row r="445" spans="1:8" ht="6.75" customHeight="1" x14ac:dyDescent="0.2">
      <c r="A445" s="743"/>
      <c r="B445" s="744"/>
      <c r="C445" s="744"/>
      <c r="D445" s="745"/>
      <c r="E445" s="746"/>
      <c r="F445" s="746"/>
      <c r="G445" s="746"/>
      <c r="H445" s="746"/>
    </row>
    <row r="446" spans="1:8" ht="40.5" customHeight="1" x14ac:dyDescent="0.2">
      <c r="A446" s="978" t="s">
        <v>621</v>
      </c>
      <c r="B446" s="978"/>
      <c r="C446" s="978"/>
      <c r="D446" s="979"/>
      <c r="E446" s="979"/>
      <c r="F446" s="979"/>
      <c r="G446" s="979"/>
      <c r="H446" s="979"/>
    </row>
    <row r="447" spans="1:8" x14ac:dyDescent="0.2">
      <c r="A447" s="747"/>
      <c r="B447" s="748"/>
      <c r="C447" s="748"/>
      <c r="D447" s="749"/>
      <c r="E447" s="746"/>
      <c r="F447" s="746"/>
      <c r="G447" s="746"/>
      <c r="H447" s="746"/>
    </row>
    <row r="448" spans="1:8" x14ac:dyDescent="0.2">
      <c r="A448" s="732" t="s">
        <v>622</v>
      </c>
      <c r="B448" s="727"/>
      <c r="C448" s="727"/>
      <c r="D448" s="740"/>
      <c r="E448" s="729"/>
      <c r="F448" s="729"/>
      <c r="G448" s="729"/>
      <c r="H448" s="729"/>
    </row>
    <row r="449" spans="1:8" x14ac:dyDescent="0.2">
      <c r="A449" s="732"/>
      <c r="B449" s="727"/>
      <c r="C449" s="727"/>
      <c r="D449" s="740"/>
      <c r="E449" s="729"/>
      <c r="F449" s="729"/>
      <c r="G449" s="729"/>
      <c r="H449" s="729"/>
    </row>
    <row r="450" spans="1:8" x14ac:dyDescent="0.2">
      <c r="A450" s="989" t="s">
        <v>623</v>
      </c>
      <c r="B450" s="989"/>
      <c r="C450" s="750" t="s">
        <v>11</v>
      </c>
      <c r="D450" s="751">
        <v>15</v>
      </c>
      <c r="E450" s="729"/>
      <c r="F450" s="729"/>
      <c r="G450" s="729"/>
      <c r="H450" s="704"/>
    </row>
    <row r="451" spans="1:8" x14ac:dyDescent="0.2">
      <c r="A451" s="989" t="s">
        <v>624</v>
      </c>
      <c r="B451" s="989"/>
      <c r="C451" s="750" t="s">
        <v>11</v>
      </c>
      <c r="D451" s="751">
        <v>15</v>
      </c>
      <c r="E451" s="729"/>
      <c r="F451" s="729"/>
      <c r="G451" s="729"/>
      <c r="H451" s="704"/>
    </row>
    <row r="452" spans="1:8" x14ac:dyDescent="0.2">
      <c r="A452" s="989" t="s">
        <v>625</v>
      </c>
      <c r="B452" s="989"/>
      <c r="C452" s="750" t="s">
        <v>11</v>
      </c>
      <c r="D452" s="751">
        <v>15</v>
      </c>
      <c r="E452" s="729"/>
      <c r="F452" s="729"/>
      <c r="G452" s="729"/>
      <c r="H452" s="704"/>
    </row>
    <row r="453" spans="1:8" x14ac:dyDescent="0.2">
      <c r="A453" s="989" t="s">
        <v>626</v>
      </c>
      <c r="B453" s="989"/>
      <c r="C453" s="750" t="s">
        <v>11</v>
      </c>
      <c r="D453" s="751">
        <v>30</v>
      </c>
      <c r="E453" s="729"/>
      <c r="F453" s="729"/>
      <c r="G453" s="729"/>
      <c r="H453" s="704"/>
    </row>
    <row r="454" spans="1:8" x14ac:dyDescent="0.2">
      <c r="A454" s="989" t="s">
        <v>627</v>
      </c>
      <c r="B454" s="989"/>
      <c r="C454" s="750" t="s">
        <v>11</v>
      </c>
      <c r="D454" s="751">
        <v>30</v>
      </c>
      <c r="E454" s="729"/>
      <c r="F454" s="729"/>
      <c r="G454" s="729"/>
      <c r="H454" s="704"/>
    </row>
    <row r="455" spans="1:8" x14ac:dyDescent="0.2">
      <c r="A455" s="989"/>
      <c r="B455" s="989"/>
      <c r="C455" s="750"/>
      <c r="D455" s="752"/>
      <c r="E455" s="729"/>
      <c r="F455" s="729"/>
      <c r="G455" s="729"/>
      <c r="H455" s="704"/>
    </row>
    <row r="456" spans="1:8" x14ac:dyDescent="0.2">
      <c r="A456" s="989"/>
      <c r="B456" s="989"/>
      <c r="C456" s="750"/>
      <c r="D456" s="752"/>
      <c r="E456" s="729"/>
      <c r="F456" s="729"/>
      <c r="G456" s="729"/>
      <c r="H456" s="704"/>
    </row>
    <row r="457" spans="1:8" x14ac:dyDescent="0.2">
      <c r="A457" s="989"/>
      <c r="B457" s="989"/>
      <c r="C457" s="750"/>
      <c r="D457" s="752"/>
      <c r="E457" s="729"/>
      <c r="F457" s="729"/>
      <c r="G457" s="729"/>
      <c r="H457" s="704"/>
    </row>
    <row r="458" spans="1:8" x14ac:dyDescent="0.2">
      <c r="A458" s="989"/>
      <c r="B458" s="989"/>
      <c r="C458" s="750"/>
      <c r="D458" s="752"/>
      <c r="E458" s="729"/>
      <c r="F458" s="729"/>
      <c r="G458" s="729"/>
      <c r="H458" s="704"/>
    </row>
    <row r="459" spans="1:8" x14ac:dyDescent="0.2">
      <c r="A459" s="989"/>
      <c r="B459" s="989"/>
      <c r="C459" s="750"/>
      <c r="D459" s="752"/>
      <c r="E459" s="729"/>
      <c r="F459" s="729"/>
      <c r="G459" s="729"/>
      <c r="H459" s="704"/>
    </row>
    <row r="460" spans="1:8" x14ac:dyDescent="0.2">
      <c r="A460" s="989"/>
      <c r="B460" s="989"/>
      <c r="C460" s="750"/>
      <c r="D460" s="752"/>
      <c r="E460" s="729"/>
      <c r="F460" s="729"/>
      <c r="G460" s="729"/>
      <c r="H460" s="704"/>
    </row>
    <row r="461" spans="1:8" x14ac:dyDescent="0.2">
      <c r="A461" s="989"/>
      <c r="B461" s="989"/>
      <c r="C461" s="750"/>
      <c r="D461" s="752"/>
      <c r="E461" s="729"/>
      <c r="F461" s="729"/>
      <c r="G461" s="729"/>
      <c r="H461" s="704"/>
    </row>
    <row r="462" spans="1:8" x14ac:dyDescent="0.2">
      <c r="A462" s="989"/>
      <c r="B462" s="989"/>
      <c r="C462" s="750"/>
      <c r="D462" s="752"/>
      <c r="E462" s="729"/>
      <c r="F462" s="729"/>
      <c r="G462" s="729"/>
      <c r="H462" s="704"/>
    </row>
    <row r="463" spans="1:8" x14ac:dyDescent="0.2">
      <c r="A463" s="989"/>
      <c r="B463" s="989"/>
      <c r="C463" s="750"/>
      <c r="D463" s="752"/>
      <c r="E463" s="729"/>
      <c r="F463" s="729"/>
      <c r="G463" s="729"/>
      <c r="H463" s="704"/>
    </row>
    <row r="464" spans="1:8" x14ac:dyDescent="0.2">
      <c r="A464" s="989"/>
      <c r="B464" s="989"/>
      <c r="C464" s="750"/>
      <c r="D464" s="752"/>
      <c r="E464" s="729"/>
      <c r="F464" s="729"/>
      <c r="G464" s="729"/>
      <c r="H464" s="704"/>
    </row>
    <row r="465" spans="1:8" x14ac:dyDescent="0.2">
      <c r="A465" s="989"/>
      <c r="B465" s="989"/>
      <c r="C465" s="750"/>
      <c r="D465" s="752"/>
      <c r="E465" s="729"/>
      <c r="F465" s="729"/>
      <c r="G465" s="729"/>
      <c r="H465" s="704"/>
    </row>
    <row r="466" spans="1:8" x14ac:dyDescent="0.2">
      <c r="A466" s="989"/>
      <c r="B466" s="989"/>
      <c r="C466" s="750"/>
      <c r="D466" s="752"/>
      <c r="E466" s="729"/>
      <c r="F466" s="729"/>
      <c r="G466" s="729"/>
      <c r="H466" s="704"/>
    </row>
    <row r="467" spans="1:8" x14ac:dyDescent="0.2">
      <c r="A467" s="989"/>
      <c r="B467" s="989"/>
      <c r="C467" s="750"/>
      <c r="D467" s="752"/>
      <c r="E467" s="729"/>
      <c r="F467" s="729"/>
      <c r="G467" s="729"/>
      <c r="H467" s="704"/>
    </row>
    <row r="468" spans="1:8" x14ac:dyDescent="0.2">
      <c r="A468" s="989"/>
      <c r="B468" s="989"/>
      <c r="C468" s="750"/>
      <c r="D468" s="752"/>
      <c r="E468" s="729"/>
      <c r="F468" s="729"/>
      <c r="G468" s="729"/>
      <c r="H468" s="704"/>
    </row>
    <row r="469" spans="1:8" x14ac:dyDescent="0.2">
      <c r="A469" s="989"/>
      <c r="B469" s="989"/>
      <c r="C469" s="750"/>
      <c r="D469" s="752"/>
      <c r="E469" s="729"/>
      <c r="F469" s="729"/>
      <c r="G469" s="729"/>
      <c r="H469" s="704"/>
    </row>
    <row r="470" spans="1:8" x14ac:dyDescent="0.2">
      <c r="A470" s="989"/>
      <c r="B470" s="989"/>
      <c r="C470" s="750"/>
      <c r="D470" s="752"/>
      <c r="E470" s="729"/>
      <c r="F470" s="729"/>
      <c r="G470" s="729"/>
      <c r="H470" s="704"/>
    </row>
    <row r="471" spans="1:8" x14ac:dyDescent="0.2">
      <c r="A471" s="989"/>
      <c r="B471" s="989"/>
      <c r="C471" s="750"/>
      <c r="D471" s="752"/>
      <c r="E471" s="729"/>
      <c r="F471" s="729"/>
      <c r="G471" s="729"/>
      <c r="H471" s="704"/>
    </row>
    <row r="472" spans="1:8" x14ac:dyDescent="0.2">
      <c r="A472" s="989"/>
      <c r="B472" s="989"/>
      <c r="C472" s="750"/>
      <c r="D472" s="752"/>
      <c r="E472" s="729"/>
      <c r="F472" s="729"/>
      <c r="G472" s="729"/>
      <c r="H472" s="704"/>
    </row>
    <row r="473" spans="1:8" x14ac:dyDescent="0.2">
      <c r="A473" s="989"/>
      <c r="B473" s="989"/>
      <c r="C473" s="750"/>
      <c r="D473" s="752"/>
      <c r="E473" s="729"/>
      <c r="F473" s="729"/>
      <c r="G473" s="729"/>
      <c r="H473" s="704"/>
    </row>
    <row r="474" spans="1:8" x14ac:dyDescent="0.2">
      <c r="A474" s="989"/>
      <c r="B474" s="989"/>
      <c r="C474" s="750"/>
      <c r="D474" s="752"/>
      <c r="E474" s="729"/>
      <c r="F474" s="729"/>
      <c r="G474" s="729"/>
      <c r="H474" s="704"/>
    </row>
    <row r="475" spans="1:8" x14ac:dyDescent="0.2">
      <c r="A475" s="989"/>
      <c r="B475" s="989"/>
      <c r="C475" s="750"/>
      <c r="D475" s="752"/>
      <c r="E475" s="729"/>
      <c r="F475" s="729"/>
      <c r="G475" s="729"/>
      <c r="H475" s="704"/>
    </row>
    <row r="476" spans="1:8" x14ac:dyDescent="0.2">
      <c r="A476" s="989"/>
      <c r="B476" s="989"/>
      <c r="C476" s="750"/>
      <c r="D476" s="752"/>
      <c r="E476" s="729"/>
      <c r="F476" s="729"/>
      <c r="G476" s="729"/>
      <c r="H476" s="704"/>
    </row>
    <row r="477" spans="1:8" x14ac:dyDescent="0.2">
      <c r="A477" s="989"/>
      <c r="B477" s="989"/>
      <c r="C477" s="750"/>
      <c r="D477" s="752"/>
      <c r="E477" s="729"/>
      <c r="F477" s="729"/>
      <c r="G477" s="729"/>
      <c r="H477" s="704"/>
    </row>
    <row r="478" spans="1:8" x14ac:dyDescent="0.2">
      <c r="A478" s="989"/>
      <c r="B478" s="989"/>
      <c r="C478" s="750"/>
      <c r="D478" s="752"/>
      <c r="E478" s="729"/>
      <c r="F478" s="729"/>
      <c r="G478" s="729"/>
      <c r="H478" s="704"/>
    </row>
    <row r="479" spans="1:8" x14ac:dyDescent="0.2">
      <c r="A479" s="990"/>
      <c r="B479" s="991"/>
      <c r="C479" s="750"/>
      <c r="D479" s="752"/>
      <c r="E479" s="704"/>
      <c r="F479" s="704"/>
      <c r="G479" s="704"/>
      <c r="H479" s="704"/>
    </row>
    <row r="480" spans="1:8" x14ac:dyDescent="0.2">
      <c r="A480" s="985"/>
      <c r="B480" s="986"/>
      <c r="C480" s="750"/>
      <c r="D480" s="752"/>
      <c r="E480" s="704"/>
      <c r="F480" s="704"/>
      <c r="G480" s="704"/>
      <c r="H480" s="704"/>
    </row>
    <row r="481" spans="1:8" x14ac:dyDescent="0.2">
      <c r="A481" s="985"/>
      <c r="B481" s="986"/>
      <c r="C481" s="750"/>
      <c r="D481" s="752"/>
      <c r="E481" s="704"/>
      <c r="F481" s="704"/>
      <c r="G481" s="704"/>
      <c r="H481" s="704"/>
    </row>
    <row r="482" spans="1:8" x14ac:dyDescent="0.2">
      <c r="A482" s="985"/>
      <c r="B482" s="986"/>
      <c r="C482" s="750"/>
      <c r="D482" s="752"/>
      <c r="E482" s="704"/>
      <c r="F482" s="704"/>
      <c r="G482" s="704"/>
      <c r="H482" s="704"/>
    </row>
    <row r="483" spans="1:8" x14ac:dyDescent="0.2">
      <c r="A483" s="985"/>
      <c r="B483" s="986"/>
      <c r="C483" s="750"/>
      <c r="D483" s="752"/>
      <c r="E483" s="704"/>
      <c r="F483" s="704"/>
      <c r="G483" s="704"/>
      <c r="H483" s="704"/>
    </row>
    <row r="484" spans="1:8" ht="15.75" thickBot="1" x14ac:dyDescent="0.25">
      <c r="A484" s="987"/>
      <c r="B484" s="988"/>
      <c r="C484" s="750"/>
      <c r="D484" s="752"/>
      <c r="E484" s="704"/>
      <c r="F484" s="704"/>
      <c r="G484" s="704"/>
      <c r="H484" s="704"/>
    </row>
    <row r="485" spans="1:8" ht="15.75" thickTop="1" x14ac:dyDescent="0.2">
      <c r="A485" s="753"/>
      <c r="B485" s="754"/>
      <c r="C485" s="754"/>
      <c r="D485" s="755"/>
      <c r="E485" s="729"/>
      <c r="F485" s="729"/>
      <c r="G485" s="729"/>
      <c r="H485" s="756"/>
    </row>
    <row r="486" spans="1:8" x14ac:dyDescent="0.2">
      <c r="A486" s="732" t="s">
        <v>628</v>
      </c>
      <c r="B486" s="727"/>
      <c r="C486" s="727"/>
      <c r="D486" s="740"/>
      <c r="E486" s="729"/>
      <c r="F486" s="729"/>
      <c r="G486" s="729"/>
      <c r="H486" s="756"/>
    </row>
    <row r="487" spans="1:8" x14ac:dyDescent="0.2">
      <c r="A487" s="757"/>
      <c r="B487" s="758"/>
      <c r="C487" s="758"/>
      <c r="D487" s="759"/>
      <c r="E487" s="729"/>
      <c r="F487" s="729"/>
      <c r="G487" s="729"/>
      <c r="H487" s="756"/>
    </row>
    <row r="488" spans="1:8" x14ac:dyDescent="0.2">
      <c r="A488" s="984" t="s">
        <v>629</v>
      </c>
      <c r="B488" s="984"/>
      <c r="C488" s="750" t="s">
        <v>125</v>
      </c>
      <c r="D488" s="751">
        <v>1.5</v>
      </c>
      <c r="E488" s="729"/>
      <c r="F488" s="729"/>
      <c r="G488" s="729"/>
      <c r="H488" s="756"/>
    </row>
    <row r="489" spans="1:8" x14ac:dyDescent="0.2">
      <c r="A489" s="984" t="s">
        <v>630</v>
      </c>
      <c r="B489" s="984"/>
      <c r="C489" s="750" t="s">
        <v>125</v>
      </c>
      <c r="D489" s="751">
        <v>19.559999999999999</v>
      </c>
      <c r="E489" s="729"/>
      <c r="F489" s="729"/>
      <c r="G489" s="729"/>
      <c r="H489" s="756"/>
    </row>
    <row r="490" spans="1:8" x14ac:dyDescent="0.2">
      <c r="A490" s="984" t="s">
        <v>631</v>
      </c>
      <c r="B490" s="984"/>
      <c r="C490" s="750" t="s">
        <v>11</v>
      </c>
      <c r="D490" s="751">
        <v>30</v>
      </c>
      <c r="E490" s="729"/>
      <c r="F490" s="729"/>
      <c r="G490" s="729"/>
      <c r="H490" s="756"/>
    </row>
    <row r="491" spans="1:8" x14ac:dyDescent="0.2">
      <c r="A491" s="984" t="s">
        <v>632</v>
      </c>
      <c r="B491" s="984"/>
      <c r="C491" s="750" t="s">
        <v>11</v>
      </c>
      <c r="D491" s="751">
        <v>65</v>
      </c>
      <c r="E491" s="729"/>
      <c r="F491" s="729"/>
      <c r="G491" s="729"/>
      <c r="H491" s="756"/>
    </row>
    <row r="492" spans="1:8" x14ac:dyDescent="0.2">
      <c r="A492" s="984" t="s">
        <v>633</v>
      </c>
      <c r="B492" s="984"/>
      <c r="C492" s="750" t="s">
        <v>11</v>
      </c>
      <c r="D492" s="751">
        <v>185</v>
      </c>
      <c r="E492" s="729"/>
      <c r="F492" s="729"/>
      <c r="G492" s="729"/>
      <c r="H492" s="756"/>
    </row>
    <row r="493" spans="1:8" x14ac:dyDescent="0.2">
      <c r="A493" s="984" t="s">
        <v>634</v>
      </c>
      <c r="B493" s="984"/>
      <c r="C493" s="750" t="s">
        <v>11</v>
      </c>
      <c r="D493" s="751">
        <v>185</v>
      </c>
      <c r="E493" s="729"/>
      <c r="F493" s="729"/>
      <c r="G493" s="729"/>
      <c r="H493" s="756"/>
    </row>
    <row r="494" spans="1:8" x14ac:dyDescent="0.2">
      <c r="A494" s="984" t="s">
        <v>635</v>
      </c>
      <c r="B494" s="984"/>
      <c r="C494" s="750" t="s">
        <v>11</v>
      </c>
      <c r="D494" s="751">
        <v>415</v>
      </c>
      <c r="E494" s="729"/>
      <c r="F494" s="729"/>
      <c r="G494" s="729"/>
      <c r="H494" s="756"/>
    </row>
    <row r="495" spans="1:8" x14ac:dyDescent="0.2">
      <c r="A495" s="984"/>
      <c r="B495" s="984"/>
      <c r="C495" s="750"/>
      <c r="D495" s="752"/>
      <c r="E495" s="729"/>
      <c r="F495" s="729"/>
      <c r="G495" s="729"/>
      <c r="H495" s="756"/>
    </row>
    <row r="496" spans="1:8" x14ac:dyDescent="0.2">
      <c r="A496" s="984" t="s">
        <v>636</v>
      </c>
      <c r="B496" s="984"/>
      <c r="C496" s="750" t="s">
        <v>11</v>
      </c>
      <c r="D496" s="751">
        <v>65</v>
      </c>
      <c r="E496" s="729"/>
      <c r="F496" s="729"/>
      <c r="G496" s="729"/>
      <c r="H496" s="756"/>
    </row>
    <row r="497" spans="1:8" x14ac:dyDescent="0.2">
      <c r="A497" s="984" t="s">
        <v>637</v>
      </c>
      <c r="B497" s="984"/>
      <c r="C497" s="750" t="s">
        <v>11</v>
      </c>
      <c r="D497" s="751">
        <v>185</v>
      </c>
      <c r="E497" s="729"/>
      <c r="F497" s="729"/>
      <c r="G497" s="729"/>
      <c r="H497" s="756"/>
    </row>
    <row r="498" spans="1:8" x14ac:dyDescent="0.2">
      <c r="A498" s="984" t="s">
        <v>638</v>
      </c>
      <c r="B498" s="984"/>
      <c r="C498" s="750" t="s">
        <v>11</v>
      </c>
      <c r="D498" s="751">
        <v>500</v>
      </c>
      <c r="E498" s="729"/>
      <c r="F498" s="729"/>
      <c r="G498" s="729"/>
      <c r="H498" s="756"/>
    </row>
    <row r="499" spans="1:8" x14ac:dyDescent="0.2">
      <c r="A499" s="984" t="s">
        <v>639</v>
      </c>
      <c r="B499" s="984"/>
      <c r="C499" s="750" t="s">
        <v>11</v>
      </c>
      <c r="D499" s="751">
        <v>22.35</v>
      </c>
      <c r="E499" s="729"/>
      <c r="F499" s="729"/>
      <c r="G499" s="729"/>
      <c r="H499" s="756"/>
    </row>
    <row r="500" spans="1:8" x14ac:dyDescent="0.2">
      <c r="A500" s="984" t="s">
        <v>640</v>
      </c>
      <c r="B500" s="984"/>
      <c r="C500" s="750" t="s">
        <v>11</v>
      </c>
      <c r="D500" s="751">
        <v>18.079999999999998</v>
      </c>
      <c r="E500" s="729"/>
      <c r="F500" s="729"/>
      <c r="G500" s="729"/>
      <c r="H500" s="756"/>
    </row>
    <row r="501" spans="1:8" x14ac:dyDescent="0.2">
      <c r="A501" s="984" t="s">
        <v>641</v>
      </c>
      <c r="B501" s="984"/>
      <c r="C501" s="750" t="s">
        <v>11</v>
      </c>
      <c r="D501" s="751">
        <v>28.61</v>
      </c>
      <c r="E501" s="729"/>
      <c r="F501" s="729"/>
      <c r="G501" s="729"/>
      <c r="H501" s="756"/>
    </row>
    <row r="502" spans="1:8" x14ac:dyDescent="0.2">
      <c r="A502" s="984"/>
      <c r="B502" s="984"/>
      <c r="C502" s="750"/>
      <c r="D502" s="752"/>
      <c r="E502" s="729"/>
      <c r="F502" s="729"/>
      <c r="G502" s="729"/>
      <c r="H502" s="756"/>
    </row>
    <row r="503" spans="1:8" x14ac:dyDescent="0.2">
      <c r="A503" s="984"/>
      <c r="B503" s="984"/>
      <c r="C503" s="750"/>
      <c r="D503" s="752"/>
      <c r="E503" s="729"/>
      <c r="F503" s="729"/>
      <c r="G503" s="729"/>
      <c r="H503" s="756"/>
    </row>
    <row r="504" spans="1:8" x14ac:dyDescent="0.2">
      <c r="A504" s="984"/>
      <c r="B504" s="984"/>
      <c r="C504" s="750"/>
      <c r="D504" s="752"/>
      <c r="E504" s="729"/>
      <c r="F504" s="729"/>
      <c r="G504" s="729"/>
      <c r="H504" s="756"/>
    </row>
    <row r="505" spans="1:8" x14ac:dyDescent="0.2">
      <c r="A505" s="984"/>
      <c r="B505" s="984"/>
      <c r="C505" s="750"/>
      <c r="D505" s="752"/>
      <c r="E505" s="729"/>
      <c r="F505" s="729"/>
      <c r="G505" s="729"/>
      <c r="H505" s="756"/>
    </row>
    <row r="506" spans="1:8" x14ac:dyDescent="0.2">
      <c r="A506" s="984"/>
      <c r="B506" s="984"/>
      <c r="C506" s="750"/>
      <c r="D506" s="752"/>
      <c r="E506" s="729"/>
      <c r="F506" s="729"/>
      <c r="G506" s="729"/>
      <c r="H506" s="756"/>
    </row>
    <row r="507" spans="1:8" x14ac:dyDescent="0.2">
      <c r="A507" s="984"/>
      <c r="B507" s="984"/>
      <c r="C507" s="750"/>
      <c r="D507" s="752"/>
      <c r="E507" s="729"/>
      <c r="F507" s="729"/>
      <c r="G507" s="729"/>
      <c r="H507" s="756"/>
    </row>
    <row r="508" spans="1:8" x14ac:dyDescent="0.2">
      <c r="A508" s="985"/>
      <c r="B508" s="986"/>
      <c r="C508" s="750"/>
      <c r="D508" s="760"/>
      <c r="E508" s="729"/>
      <c r="F508" s="729"/>
      <c r="G508" s="729"/>
      <c r="H508" s="756"/>
    </row>
    <row r="509" spans="1:8" x14ac:dyDescent="0.2">
      <c r="A509" s="985"/>
      <c r="B509" s="986"/>
      <c r="C509" s="750"/>
      <c r="D509" s="760"/>
      <c r="E509" s="729"/>
      <c r="F509" s="729"/>
      <c r="G509" s="729"/>
      <c r="H509" s="756"/>
    </row>
    <row r="510" spans="1:8" x14ac:dyDescent="0.2">
      <c r="A510" s="985"/>
      <c r="B510" s="986"/>
      <c r="C510" s="750"/>
      <c r="D510" s="760"/>
      <c r="E510" s="729"/>
      <c r="F510" s="729"/>
      <c r="G510" s="729"/>
      <c r="H510" s="756"/>
    </row>
    <row r="511" spans="1:8" x14ac:dyDescent="0.2">
      <c r="A511" s="985"/>
      <c r="B511" s="986"/>
      <c r="C511" s="750"/>
      <c r="D511" s="760"/>
      <c r="E511" s="729"/>
      <c r="F511" s="729"/>
      <c r="G511" s="729"/>
      <c r="H511" s="756"/>
    </row>
    <row r="512" spans="1:8" x14ac:dyDescent="0.2">
      <c r="A512" s="985"/>
      <c r="B512" s="986"/>
      <c r="C512" s="750"/>
      <c r="D512" s="760"/>
      <c r="E512" s="729"/>
      <c r="F512" s="729"/>
      <c r="G512" s="729"/>
      <c r="H512" s="756"/>
    </row>
    <row r="513" spans="1:8" x14ac:dyDescent="0.2">
      <c r="A513" s="732"/>
      <c r="B513" s="727"/>
      <c r="C513" s="761"/>
      <c r="D513" s="740"/>
      <c r="E513" s="729"/>
      <c r="F513" s="729"/>
      <c r="G513" s="729"/>
      <c r="H513" s="756"/>
    </row>
    <row r="514" spans="1:8" x14ac:dyDescent="0.2">
      <c r="A514" s="732"/>
      <c r="B514" s="727"/>
      <c r="C514" s="727"/>
      <c r="D514" s="740"/>
      <c r="E514" s="729"/>
      <c r="F514" s="729"/>
      <c r="G514" s="729"/>
      <c r="H514" s="756"/>
    </row>
    <row r="515" spans="1:8" x14ac:dyDescent="0.2">
      <c r="A515" s="984"/>
      <c r="B515" s="984"/>
      <c r="C515" s="750"/>
      <c r="D515" s="752"/>
      <c r="E515" s="729"/>
      <c r="F515" s="729"/>
      <c r="G515" s="729"/>
      <c r="H515" s="704"/>
    </row>
    <row r="516" spans="1:8" x14ac:dyDescent="0.2">
      <c r="A516" s="984"/>
      <c r="B516" s="984"/>
      <c r="C516" s="750"/>
      <c r="D516" s="752"/>
      <c r="E516" s="729"/>
      <c r="F516" s="729"/>
      <c r="G516" s="729"/>
      <c r="H516" s="704"/>
    </row>
    <row r="517" spans="1:8" x14ac:dyDescent="0.2">
      <c r="A517" s="984"/>
      <c r="B517" s="984"/>
      <c r="C517" s="750"/>
      <c r="D517" s="752"/>
      <c r="E517" s="729"/>
      <c r="F517" s="729"/>
      <c r="G517" s="729"/>
      <c r="H517" s="704"/>
    </row>
    <row r="518" spans="1:8" x14ac:dyDescent="0.2">
      <c r="A518" s="984"/>
      <c r="B518" s="984"/>
      <c r="C518" s="750"/>
      <c r="D518" s="752"/>
      <c r="E518" s="729"/>
      <c r="F518" s="729"/>
      <c r="G518" s="729"/>
      <c r="H518" s="704"/>
    </row>
    <row r="519" spans="1:8" x14ac:dyDescent="0.2">
      <c r="A519" s="984"/>
      <c r="B519" s="984"/>
      <c r="C519" s="750"/>
      <c r="D519" s="752"/>
      <c r="E519" s="729"/>
      <c r="F519" s="729"/>
      <c r="G519" s="729"/>
      <c r="H519" s="704"/>
    </row>
    <row r="520" spans="1:8" x14ac:dyDescent="0.2">
      <c r="A520" s="984"/>
      <c r="B520" s="984"/>
      <c r="C520" s="750"/>
      <c r="D520" s="752"/>
      <c r="E520" s="729"/>
      <c r="F520" s="729"/>
      <c r="G520" s="729"/>
      <c r="H520" s="704"/>
    </row>
    <row r="521" spans="1:8" x14ac:dyDescent="0.2">
      <c r="A521" s="984"/>
      <c r="B521" s="984"/>
      <c r="C521" s="750"/>
      <c r="D521" s="752"/>
      <c r="E521" s="729"/>
      <c r="F521" s="729"/>
      <c r="G521" s="729"/>
      <c r="H521" s="704"/>
    </row>
    <row r="522" spans="1:8" x14ac:dyDescent="0.2">
      <c r="A522" s="984"/>
      <c r="B522" s="984"/>
      <c r="C522" s="750"/>
      <c r="D522" s="752"/>
      <c r="E522" s="729"/>
      <c r="F522" s="729"/>
      <c r="G522" s="729"/>
      <c r="H522" s="704"/>
    </row>
    <row r="523" spans="1:8" x14ac:dyDescent="0.2">
      <c r="A523" s="984"/>
      <c r="B523" s="984"/>
      <c r="C523" s="750"/>
      <c r="D523" s="752"/>
      <c r="E523" s="729"/>
      <c r="F523" s="729"/>
      <c r="G523" s="729"/>
      <c r="H523" s="704"/>
    </row>
    <row r="524" spans="1:8" x14ac:dyDescent="0.2">
      <c r="A524" s="984"/>
      <c r="B524" s="984"/>
      <c r="C524" s="750"/>
      <c r="D524" s="752"/>
      <c r="E524" s="729"/>
      <c r="F524" s="729"/>
      <c r="G524" s="729"/>
      <c r="H524" s="704"/>
    </row>
    <row r="525" spans="1:8" x14ac:dyDescent="0.2">
      <c r="A525" s="984"/>
      <c r="B525" s="984"/>
      <c r="C525" s="750"/>
      <c r="D525" s="752"/>
      <c r="E525" s="729"/>
      <c r="F525" s="729"/>
      <c r="G525" s="729"/>
      <c r="H525" s="704"/>
    </row>
    <row r="526" spans="1:8" x14ac:dyDescent="0.2">
      <c r="A526" s="984"/>
      <c r="B526" s="984"/>
      <c r="C526" s="750"/>
      <c r="D526" s="752"/>
      <c r="E526" s="729"/>
      <c r="F526" s="729"/>
      <c r="G526" s="729"/>
      <c r="H526" s="704"/>
    </row>
    <row r="527" spans="1:8" x14ac:dyDescent="0.2">
      <c r="A527" s="984"/>
      <c r="B527" s="984"/>
      <c r="C527" s="750"/>
      <c r="D527" s="752"/>
      <c r="E527" s="729"/>
      <c r="F527" s="729"/>
      <c r="G527" s="729"/>
      <c r="H527" s="704"/>
    </row>
    <row r="528" spans="1:8" x14ac:dyDescent="0.2">
      <c r="A528" s="984"/>
      <c r="B528" s="984"/>
      <c r="C528" s="750"/>
      <c r="D528" s="752"/>
      <c r="E528" s="729"/>
      <c r="F528" s="729"/>
      <c r="G528" s="729"/>
      <c r="H528" s="704"/>
    </row>
    <row r="529" spans="1:8" x14ac:dyDescent="0.2">
      <c r="A529" s="984"/>
      <c r="B529" s="984"/>
      <c r="C529" s="750"/>
      <c r="D529" s="752"/>
      <c r="E529" s="729"/>
      <c r="F529" s="729"/>
      <c r="G529" s="729"/>
      <c r="H529" s="704"/>
    </row>
    <row r="530" spans="1:8" x14ac:dyDescent="0.2">
      <c r="A530" s="984"/>
      <c r="B530" s="984"/>
      <c r="C530" s="750"/>
      <c r="D530" s="752"/>
      <c r="E530" s="729"/>
      <c r="F530" s="729"/>
      <c r="G530" s="729"/>
      <c r="H530" s="704"/>
    </row>
    <row r="531" spans="1:8" x14ac:dyDescent="0.2">
      <c r="A531" s="985"/>
      <c r="B531" s="986"/>
      <c r="C531" s="750"/>
      <c r="D531" s="752"/>
      <c r="E531" s="729"/>
      <c r="F531" s="729"/>
      <c r="G531" s="729"/>
      <c r="H531" s="704"/>
    </row>
    <row r="532" spans="1:8" x14ac:dyDescent="0.2">
      <c r="A532" s="985"/>
      <c r="B532" s="986"/>
      <c r="C532" s="750"/>
      <c r="D532" s="752"/>
      <c r="E532" s="729"/>
      <c r="F532" s="729"/>
      <c r="G532" s="729"/>
      <c r="H532" s="704"/>
    </row>
    <row r="533" spans="1:8" x14ac:dyDescent="0.2">
      <c r="A533" s="985"/>
      <c r="B533" s="986"/>
      <c r="C533" s="750"/>
      <c r="D533" s="752"/>
      <c r="E533" s="729"/>
      <c r="F533" s="729"/>
      <c r="G533" s="729"/>
      <c r="H533" s="704"/>
    </row>
    <row r="534" spans="1:8" x14ac:dyDescent="0.2">
      <c r="A534" s="985"/>
      <c r="B534" s="986"/>
      <c r="C534" s="750"/>
      <c r="D534" s="752"/>
      <c r="E534" s="729"/>
      <c r="F534" s="729"/>
      <c r="G534" s="729"/>
      <c r="H534" s="704"/>
    </row>
    <row r="535" spans="1:8" x14ac:dyDescent="0.2">
      <c r="A535" s="985"/>
      <c r="B535" s="986"/>
      <c r="C535" s="750"/>
      <c r="D535" s="752"/>
      <c r="E535" s="729"/>
      <c r="F535" s="729"/>
      <c r="G535" s="729"/>
      <c r="H535" s="704"/>
    </row>
    <row r="536" spans="1:8" x14ac:dyDescent="0.2">
      <c r="A536" s="762"/>
      <c r="B536" s="763"/>
      <c r="C536" s="763"/>
      <c r="D536" s="764"/>
      <c r="E536" s="765"/>
      <c r="F536" s="765"/>
      <c r="G536" s="729"/>
      <c r="H536" s="704"/>
    </row>
    <row r="537" spans="1:8" ht="18" x14ac:dyDescent="0.25">
      <c r="A537" s="726" t="s">
        <v>642</v>
      </c>
      <c r="B537" s="727"/>
      <c r="C537" s="727"/>
      <c r="D537" s="740"/>
      <c r="E537" s="729"/>
      <c r="F537" s="729"/>
      <c r="G537" s="729"/>
      <c r="H537" s="729"/>
    </row>
    <row r="538" spans="1:8" x14ac:dyDescent="0.2">
      <c r="A538" s="732"/>
      <c r="B538" s="727"/>
      <c r="C538" s="727"/>
      <c r="D538" s="740"/>
      <c r="E538" s="729"/>
      <c r="F538" s="729"/>
      <c r="G538" s="729"/>
      <c r="H538" s="729"/>
    </row>
    <row r="539" spans="1:8" ht="39" customHeight="1" x14ac:dyDescent="0.2">
      <c r="A539" s="978" t="s">
        <v>579</v>
      </c>
      <c r="B539" s="978"/>
      <c r="C539" s="978"/>
      <c r="D539" s="979"/>
      <c r="E539" s="979"/>
      <c r="F539" s="979"/>
      <c r="G539" s="979"/>
      <c r="H539" s="979"/>
    </row>
    <row r="540" spans="1:8" ht="4.5" customHeight="1" x14ac:dyDescent="0.2">
      <c r="A540" s="978"/>
      <c r="B540" s="978"/>
      <c r="C540" s="978"/>
      <c r="D540" s="979"/>
      <c r="E540" s="979"/>
      <c r="F540" s="979"/>
      <c r="G540" s="979"/>
      <c r="H540" s="979"/>
    </row>
    <row r="541" spans="1:8" ht="51.75" customHeight="1" x14ac:dyDescent="0.2">
      <c r="A541" s="978" t="s">
        <v>580</v>
      </c>
      <c r="B541" s="978"/>
      <c r="C541" s="978"/>
      <c r="D541" s="979"/>
      <c r="E541" s="979"/>
      <c r="F541" s="979"/>
      <c r="G541" s="979"/>
      <c r="H541" s="979"/>
    </row>
    <row r="542" spans="1:8" ht="3.75" customHeight="1" x14ac:dyDescent="0.2">
      <c r="A542" s="978"/>
      <c r="B542" s="978"/>
      <c r="C542" s="978"/>
      <c r="D542" s="979"/>
      <c r="E542" s="979"/>
      <c r="F542" s="979"/>
      <c r="G542" s="979"/>
      <c r="H542" s="979"/>
    </row>
    <row r="543" spans="1:8" ht="30" customHeight="1" x14ac:dyDescent="0.2">
      <c r="A543" s="978" t="s">
        <v>643</v>
      </c>
      <c r="B543" s="978"/>
      <c r="C543" s="978"/>
      <c r="D543" s="979"/>
      <c r="E543" s="979"/>
      <c r="F543" s="979"/>
      <c r="G543" s="979"/>
      <c r="H543" s="979"/>
    </row>
    <row r="544" spans="1:8" ht="4.5" customHeight="1" x14ac:dyDescent="0.2">
      <c r="A544" s="978"/>
      <c r="B544" s="978"/>
      <c r="C544" s="978"/>
      <c r="D544" s="979"/>
      <c r="E544" s="979"/>
      <c r="F544" s="979"/>
      <c r="G544" s="979"/>
      <c r="H544" s="979"/>
    </row>
    <row r="545" spans="1:8" ht="39.75" customHeight="1" x14ac:dyDescent="0.2">
      <c r="A545" s="978" t="s">
        <v>621</v>
      </c>
      <c r="B545" s="978"/>
      <c r="C545" s="978"/>
      <c r="D545" s="979"/>
      <c r="E545" s="979"/>
      <c r="F545" s="979"/>
      <c r="G545" s="979"/>
      <c r="H545" s="979"/>
    </row>
    <row r="546" spans="1:8" ht="5.25" customHeight="1" x14ac:dyDescent="0.2">
      <c r="A546" s="978"/>
      <c r="B546" s="978"/>
      <c r="C546" s="978"/>
      <c r="D546" s="979"/>
      <c r="E546" s="979"/>
      <c r="F546" s="979"/>
      <c r="G546" s="979"/>
      <c r="H546" s="979"/>
    </row>
    <row r="547" spans="1:8" ht="27.75" customHeight="1" x14ac:dyDescent="0.2">
      <c r="A547" s="978" t="s">
        <v>644</v>
      </c>
      <c r="B547" s="978"/>
      <c r="C547" s="978"/>
      <c r="D547" s="979"/>
      <c r="E547" s="979"/>
      <c r="F547" s="979"/>
      <c r="G547" s="979"/>
      <c r="H547" s="979"/>
    </row>
    <row r="548" spans="1:8" x14ac:dyDescent="0.2">
      <c r="A548" s="766"/>
      <c r="B548" s="727"/>
      <c r="C548" s="727"/>
      <c r="D548" s="740"/>
      <c r="E548" s="729"/>
      <c r="F548" s="729"/>
      <c r="G548" s="729"/>
      <c r="H548" s="729"/>
    </row>
    <row r="549" spans="1:8" x14ac:dyDescent="0.2">
      <c r="A549" s="980" t="s">
        <v>645</v>
      </c>
      <c r="B549" s="981"/>
      <c r="C549" s="767" t="s">
        <v>11</v>
      </c>
      <c r="D549" s="768">
        <v>100</v>
      </c>
      <c r="E549" s="982"/>
      <c r="F549" s="983"/>
      <c r="G549" s="769"/>
      <c r="H549" s="704"/>
    </row>
    <row r="550" spans="1:8" x14ac:dyDescent="0.2">
      <c r="A550" s="980" t="s">
        <v>646</v>
      </c>
      <c r="B550" s="981"/>
      <c r="C550" s="767" t="s">
        <v>11</v>
      </c>
      <c r="D550" s="768">
        <v>20</v>
      </c>
      <c r="E550" s="770"/>
      <c r="F550" s="771"/>
      <c r="G550" s="769"/>
      <c r="H550" s="704"/>
    </row>
    <row r="551" spans="1:8" x14ac:dyDescent="0.2">
      <c r="A551" s="980" t="s">
        <v>647</v>
      </c>
      <c r="B551" s="981"/>
      <c r="C551" s="767" t="s">
        <v>648</v>
      </c>
      <c r="D551" s="772">
        <v>0.5</v>
      </c>
      <c r="E551" s="770"/>
      <c r="F551" s="771"/>
      <c r="G551" s="769"/>
      <c r="H551" s="704"/>
    </row>
    <row r="552" spans="1:8" x14ac:dyDescent="0.2">
      <c r="A552" s="980" t="s">
        <v>649</v>
      </c>
      <c r="B552" s="981"/>
      <c r="C552" s="767" t="s">
        <v>648</v>
      </c>
      <c r="D552" s="772">
        <v>0.3</v>
      </c>
      <c r="E552" s="770"/>
      <c r="F552" s="771"/>
      <c r="G552" s="769"/>
      <c r="H552" s="704"/>
    </row>
    <row r="553" spans="1:8" x14ac:dyDescent="0.2">
      <c r="A553" s="980" t="s">
        <v>650</v>
      </c>
      <c r="B553" s="981"/>
      <c r="C553" s="767" t="s">
        <v>648</v>
      </c>
      <c r="D553" s="772">
        <v>-0.3</v>
      </c>
      <c r="E553" s="770"/>
      <c r="F553" s="771"/>
      <c r="G553" s="769"/>
      <c r="H553" s="704"/>
    </row>
    <row r="554" spans="1:8" x14ac:dyDescent="0.2">
      <c r="A554" s="980" t="s">
        <v>651</v>
      </c>
      <c r="B554" s="981"/>
      <c r="C554" s="773"/>
      <c r="D554" s="774"/>
      <c r="E554" s="770"/>
      <c r="F554" s="771"/>
      <c r="G554" s="769"/>
      <c r="H554" s="704"/>
    </row>
    <row r="555" spans="1:8" x14ac:dyDescent="0.2">
      <c r="A555" s="976" t="s">
        <v>652</v>
      </c>
      <c r="B555" s="977"/>
      <c r="C555" s="767" t="s">
        <v>11</v>
      </c>
      <c r="D555" s="768">
        <v>0.25</v>
      </c>
      <c r="E555" s="770"/>
      <c r="F555" s="771"/>
      <c r="G555" s="775"/>
      <c r="H555" s="704"/>
    </row>
    <row r="556" spans="1:8" x14ac:dyDescent="0.2">
      <c r="A556" s="976" t="s">
        <v>653</v>
      </c>
      <c r="B556" s="977"/>
      <c r="C556" s="767" t="s">
        <v>11</v>
      </c>
      <c r="D556" s="768">
        <v>0.5</v>
      </c>
      <c r="E556" s="770"/>
      <c r="F556" s="771"/>
      <c r="G556" s="775"/>
      <c r="H556" s="704"/>
    </row>
    <row r="557" spans="1:8" x14ac:dyDescent="0.2">
      <c r="A557" s="980" t="s">
        <v>654</v>
      </c>
      <c r="B557" s="981"/>
      <c r="C557" s="773"/>
      <c r="D557" s="774"/>
      <c r="E557" s="770"/>
      <c r="F557" s="771"/>
      <c r="G557" s="776"/>
      <c r="H557" s="704"/>
    </row>
    <row r="558" spans="1:8" x14ac:dyDescent="0.2">
      <c r="A558" s="980" t="s">
        <v>655</v>
      </c>
      <c r="B558" s="981"/>
      <c r="C558" s="773"/>
      <c r="D558" s="774"/>
      <c r="E558" s="770"/>
      <c r="F558" s="771"/>
      <c r="G558" s="776"/>
      <c r="H558" s="704"/>
    </row>
    <row r="559" spans="1:8" x14ac:dyDescent="0.2">
      <c r="A559" s="980" t="s">
        <v>656</v>
      </c>
      <c r="B559" s="981"/>
      <c r="C559" s="773"/>
      <c r="D559" s="774"/>
      <c r="E559" s="770"/>
      <c r="F559" s="771"/>
      <c r="G559" s="776"/>
      <c r="H559" s="704"/>
    </row>
    <row r="560" spans="1:8" x14ac:dyDescent="0.2">
      <c r="A560" s="976" t="s">
        <v>657</v>
      </c>
      <c r="B560" s="977"/>
      <c r="C560" s="767" t="s">
        <v>11</v>
      </c>
      <c r="D560" s="768" t="s">
        <v>658</v>
      </c>
      <c r="E560" s="770"/>
      <c r="F560" s="771"/>
      <c r="G560" s="775"/>
      <c r="H560" s="704"/>
    </row>
    <row r="561" spans="1:8" x14ac:dyDescent="0.2">
      <c r="A561" s="976" t="s">
        <v>659</v>
      </c>
      <c r="B561" s="977"/>
      <c r="C561" s="767" t="s">
        <v>11</v>
      </c>
      <c r="D561" s="768">
        <v>2</v>
      </c>
      <c r="E561" s="770"/>
      <c r="F561" s="771"/>
      <c r="G561" s="775"/>
      <c r="H561" s="704"/>
    </row>
    <row r="562" spans="1:8" x14ac:dyDescent="0.2">
      <c r="A562" s="732"/>
      <c r="B562" s="727"/>
      <c r="C562" s="761"/>
      <c r="D562" s="740"/>
      <c r="E562" s="729"/>
      <c r="F562" s="729"/>
      <c r="G562" s="729"/>
      <c r="H562" s="729"/>
    </row>
    <row r="563" spans="1:8" ht="20.25" x14ac:dyDescent="0.3">
      <c r="A563" s="777" t="s">
        <v>660</v>
      </c>
      <c r="B563" s="727"/>
      <c r="C563" s="727"/>
      <c r="D563" s="740"/>
      <c r="E563" s="729"/>
      <c r="F563" s="729"/>
      <c r="G563" s="729"/>
      <c r="H563" s="729"/>
    </row>
    <row r="564" spans="1:8" x14ac:dyDescent="0.2">
      <c r="A564" s="480"/>
      <c r="B564" s="480"/>
      <c r="C564" s="480"/>
      <c r="D564" s="729"/>
      <c r="E564" s="729"/>
      <c r="F564" s="729"/>
      <c r="G564" s="729"/>
      <c r="H564" s="729"/>
    </row>
    <row r="565" spans="1:8" ht="28.5" customHeight="1" x14ac:dyDescent="0.2">
      <c r="A565" s="978" t="s">
        <v>661</v>
      </c>
      <c r="B565" s="978"/>
      <c r="C565" s="978"/>
      <c r="D565" s="979"/>
      <c r="E565" s="979"/>
      <c r="F565" s="979"/>
      <c r="G565" s="979"/>
      <c r="H565" s="979"/>
    </row>
    <row r="566" spans="1:8" x14ac:dyDescent="0.2">
      <c r="A566" s="778"/>
      <c r="B566" s="773"/>
      <c r="C566" s="773"/>
      <c r="D566" s="779"/>
      <c r="E566" s="779"/>
      <c r="F566" s="779"/>
      <c r="G566" s="779"/>
      <c r="H566" s="779"/>
    </row>
    <row r="567" spans="1:8" x14ac:dyDescent="0.2">
      <c r="A567" s="773"/>
      <c r="B567" s="773"/>
      <c r="C567" s="773"/>
      <c r="D567" s="779"/>
      <c r="E567" s="704"/>
      <c r="F567" s="779"/>
      <c r="G567" s="779"/>
      <c r="H567" s="779"/>
    </row>
    <row r="568" spans="1:8" x14ac:dyDescent="0.2">
      <c r="A568" s="975" t="s">
        <v>662</v>
      </c>
      <c r="B568" s="975"/>
      <c r="C568" s="773"/>
      <c r="D568" s="780">
        <v>1.0654999999999999</v>
      </c>
      <c r="E568" s="704"/>
      <c r="F568" s="779"/>
      <c r="G568" s="779"/>
      <c r="H568" s="779"/>
    </row>
    <row r="569" spans="1:8" x14ac:dyDescent="0.2">
      <c r="A569" s="975" t="s">
        <v>663</v>
      </c>
      <c r="B569" s="975"/>
      <c r="C569" s="773"/>
      <c r="D569" s="781" t="s">
        <v>175</v>
      </c>
      <c r="E569" s="704"/>
      <c r="F569" s="779"/>
      <c r="G569" s="779"/>
      <c r="H569" s="779"/>
    </row>
    <row r="570" spans="1:8" x14ac:dyDescent="0.2">
      <c r="A570" s="975" t="s">
        <v>664</v>
      </c>
      <c r="B570" s="975"/>
      <c r="C570" s="773"/>
      <c r="D570" s="781">
        <v>1.0548</v>
      </c>
      <c r="E570" s="704"/>
      <c r="F570" s="779"/>
      <c r="G570" s="779"/>
      <c r="H570" s="779"/>
    </row>
    <row r="571" spans="1:8" x14ac:dyDescent="0.2">
      <c r="A571" s="975" t="s">
        <v>665</v>
      </c>
      <c r="B571" s="975"/>
      <c r="C571" s="773"/>
      <c r="D571" s="781" t="s">
        <v>175</v>
      </c>
      <c r="E571" s="704"/>
      <c r="F571" s="779"/>
      <c r="G571" s="779"/>
      <c r="H571" s="779"/>
    </row>
    <row r="572" spans="1:8" x14ac:dyDescent="0.2">
      <c r="A572" s="975" t="s">
        <v>666</v>
      </c>
      <c r="B572" s="975"/>
      <c r="C572" s="773"/>
      <c r="D572" s="781">
        <v>1.0287999999999999</v>
      </c>
      <c r="E572" s="704"/>
      <c r="F572" s="779"/>
      <c r="G572" s="779"/>
      <c r="H572" s="779"/>
    </row>
    <row r="573" spans="1:8" x14ac:dyDescent="0.2">
      <c r="A573" s="975"/>
      <c r="B573" s="975"/>
      <c r="C573" s="773"/>
      <c r="D573" s="782"/>
      <c r="E573" s="704"/>
      <c r="F573" s="779"/>
      <c r="G573" s="779"/>
      <c r="H573" s="779"/>
    </row>
    <row r="574" spans="1:8" x14ac:dyDescent="0.2">
      <c r="D574" s="725"/>
      <c r="E574" s="725"/>
      <c r="F574" s="725"/>
      <c r="G574" s="725"/>
      <c r="H574" s="725"/>
    </row>
  </sheetData>
  <mergeCells count="454">
    <mergeCell ref="A8:D8"/>
    <mergeCell ref="A10:D10"/>
    <mergeCell ref="A11:D11"/>
    <mergeCell ref="A13:B13"/>
    <mergeCell ref="A15:D15"/>
    <mergeCell ref="A18:D18"/>
    <mergeCell ref="C1:D1"/>
    <mergeCell ref="C2:D2"/>
    <mergeCell ref="C3:D3"/>
    <mergeCell ref="C4:D4"/>
    <mergeCell ref="C5:D5"/>
    <mergeCell ref="C7:D7"/>
    <mergeCell ref="A25:D25"/>
    <mergeCell ref="A26:D26"/>
    <mergeCell ref="A37:D37"/>
    <mergeCell ref="A38:D38"/>
    <mergeCell ref="A39:D39"/>
    <mergeCell ref="A41:D41"/>
    <mergeCell ref="A19:D19"/>
    <mergeCell ref="A20:D20"/>
    <mergeCell ref="A21:D21"/>
    <mergeCell ref="A22:D22"/>
    <mergeCell ref="A23:D23"/>
    <mergeCell ref="A24:D24"/>
    <mergeCell ref="A52:D52"/>
    <mergeCell ref="A53:D53"/>
    <mergeCell ref="A57:B57"/>
    <mergeCell ref="A58:B58"/>
    <mergeCell ref="A59:B59"/>
    <mergeCell ref="A60:B60"/>
    <mergeCell ref="A42:D42"/>
    <mergeCell ref="A43:D43"/>
    <mergeCell ref="A45:D45"/>
    <mergeCell ref="A47:D47"/>
    <mergeCell ref="A50:D50"/>
    <mergeCell ref="A51:D51"/>
    <mergeCell ref="A67:B67"/>
    <mergeCell ref="A68:B68"/>
    <mergeCell ref="A69:B69"/>
    <mergeCell ref="A70:B70"/>
    <mergeCell ref="A71:B71"/>
    <mergeCell ref="A72:B72"/>
    <mergeCell ref="A61:B61"/>
    <mergeCell ref="A62:B62"/>
    <mergeCell ref="A63:B63"/>
    <mergeCell ref="A64:B64"/>
    <mergeCell ref="A65:B65"/>
    <mergeCell ref="A66:B66"/>
    <mergeCell ref="A79:B79"/>
    <mergeCell ref="A80:B80"/>
    <mergeCell ref="A81:B81"/>
    <mergeCell ref="A82:B82"/>
    <mergeCell ref="A83:B83"/>
    <mergeCell ref="A84:B84"/>
    <mergeCell ref="A73:B73"/>
    <mergeCell ref="A74:B74"/>
    <mergeCell ref="A75:B75"/>
    <mergeCell ref="A76:B76"/>
    <mergeCell ref="A77:B77"/>
    <mergeCell ref="A78:B78"/>
    <mergeCell ref="A95:D95"/>
    <mergeCell ref="A98:D98"/>
    <mergeCell ref="A99:D99"/>
    <mergeCell ref="A100:D100"/>
    <mergeCell ref="A101:D101"/>
    <mergeCell ref="A105:B105"/>
    <mergeCell ref="A85:B85"/>
    <mergeCell ref="A86:B86"/>
    <mergeCell ref="A90:B90"/>
    <mergeCell ref="A91:B91"/>
    <mergeCell ref="A92:B92"/>
    <mergeCell ref="A93:D93"/>
    <mergeCell ref="A112:B112"/>
    <mergeCell ref="A113:B113"/>
    <mergeCell ref="A114:B114"/>
    <mergeCell ref="A115:B115"/>
    <mergeCell ref="A116:B116"/>
    <mergeCell ref="A117:B117"/>
    <mergeCell ref="A106:B106"/>
    <mergeCell ref="A107:B107"/>
    <mergeCell ref="A108:B108"/>
    <mergeCell ref="A109:B109"/>
    <mergeCell ref="A110:B110"/>
    <mergeCell ref="A111:B111"/>
    <mergeCell ref="A124:B124"/>
    <mergeCell ref="A125:B125"/>
    <mergeCell ref="A126:B126"/>
    <mergeCell ref="A127:B127"/>
    <mergeCell ref="A128:B128"/>
    <mergeCell ref="A129:B129"/>
    <mergeCell ref="A118:B118"/>
    <mergeCell ref="A119:B119"/>
    <mergeCell ref="A120:B120"/>
    <mergeCell ref="A121:B121"/>
    <mergeCell ref="A122:B122"/>
    <mergeCell ref="A123:B123"/>
    <mergeCell ref="A139:B139"/>
    <mergeCell ref="A140:B140"/>
    <mergeCell ref="A141:D141"/>
    <mergeCell ref="A143:D143"/>
    <mergeCell ref="A147:D147"/>
    <mergeCell ref="A148:D148"/>
    <mergeCell ref="A130:B130"/>
    <mergeCell ref="A131:B131"/>
    <mergeCell ref="A132:B132"/>
    <mergeCell ref="A133:B133"/>
    <mergeCell ref="A134:B134"/>
    <mergeCell ref="A138:B138"/>
    <mergeCell ref="A161:B161"/>
    <mergeCell ref="A162:B162"/>
    <mergeCell ref="A163:B163"/>
    <mergeCell ref="A164:B164"/>
    <mergeCell ref="A165:B165"/>
    <mergeCell ref="A166:B166"/>
    <mergeCell ref="A149:D149"/>
    <mergeCell ref="A150:D150"/>
    <mergeCell ref="A154:B154"/>
    <mergeCell ref="A158:B158"/>
    <mergeCell ref="A159:B159"/>
    <mergeCell ref="A160:B160"/>
    <mergeCell ref="A173:B173"/>
    <mergeCell ref="A174:B174"/>
    <mergeCell ref="A175:B175"/>
    <mergeCell ref="A176:B176"/>
    <mergeCell ref="A177:B177"/>
    <mergeCell ref="A178:B178"/>
    <mergeCell ref="A167:B167"/>
    <mergeCell ref="A168:B168"/>
    <mergeCell ref="A169:B169"/>
    <mergeCell ref="A170:B170"/>
    <mergeCell ref="A171:B171"/>
    <mergeCell ref="A172:B172"/>
    <mergeCell ref="A188:B188"/>
    <mergeCell ref="A189:B189"/>
    <mergeCell ref="A190:D190"/>
    <mergeCell ref="A192:D192"/>
    <mergeCell ref="A195:D195"/>
    <mergeCell ref="A196:D196"/>
    <mergeCell ref="A179:B179"/>
    <mergeCell ref="A180:B180"/>
    <mergeCell ref="A181:B181"/>
    <mergeCell ref="A182:B182"/>
    <mergeCell ref="A183:B183"/>
    <mergeCell ref="A187:B187"/>
    <mergeCell ref="A209:B209"/>
    <mergeCell ref="A210:B210"/>
    <mergeCell ref="A211:B211"/>
    <mergeCell ref="A212:B212"/>
    <mergeCell ref="A213:B213"/>
    <mergeCell ref="A214:B214"/>
    <mergeCell ref="A197:D197"/>
    <mergeCell ref="A198:D198"/>
    <mergeCell ref="A202:B202"/>
    <mergeCell ref="A206:B206"/>
    <mergeCell ref="A207:B207"/>
    <mergeCell ref="A208:B208"/>
    <mergeCell ref="A221:B221"/>
    <mergeCell ref="A222:B222"/>
    <mergeCell ref="A223:B223"/>
    <mergeCell ref="A224:B224"/>
    <mergeCell ref="A225:B225"/>
    <mergeCell ref="A226:B226"/>
    <mergeCell ref="A215:B215"/>
    <mergeCell ref="A216:B216"/>
    <mergeCell ref="A217:B217"/>
    <mergeCell ref="A218:B218"/>
    <mergeCell ref="A219:B219"/>
    <mergeCell ref="A220:B220"/>
    <mergeCell ref="A236:B236"/>
    <mergeCell ref="A237:B237"/>
    <mergeCell ref="A238:D238"/>
    <mergeCell ref="A240:D240"/>
    <mergeCell ref="A243:D243"/>
    <mergeCell ref="A244:D244"/>
    <mergeCell ref="A227:B227"/>
    <mergeCell ref="A228:B228"/>
    <mergeCell ref="A229:B229"/>
    <mergeCell ref="A230:B230"/>
    <mergeCell ref="A231:B231"/>
    <mergeCell ref="A235:B235"/>
    <mergeCell ref="A257:B257"/>
    <mergeCell ref="A258:B258"/>
    <mergeCell ref="A259:B259"/>
    <mergeCell ref="A260:B260"/>
    <mergeCell ref="A261:B261"/>
    <mergeCell ref="A262:B262"/>
    <mergeCell ref="A245:D245"/>
    <mergeCell ref="A246:D246"/>
    <mergeCell ref="A250:B250"/>
    <mergeCell ref="A254:B254"/>
    <mergeCell ref="A255:B255"/>
    <mergeCell ref="A256:B256"/>
    <mergeCell ref="A269:B269"/>
    <mergeCell ref="A270:B270"/>
    <mergeCell ref="A271:B271"/>
    <mergeCell ref="A272:B272"/>
    <mergeCell ref="A273:B273"/>
    <mergeCell ref="A274:B274"/>
    <mergeCell ref="A263:B263"/>
    <mergeCell ref="A264:B264"/>
    <mergeCell ref="A265:B265"/>
    <mergeCell ref="A266:B266"/>
    <mergeCell ref="A267:B267"/>
    <mergeCell ref="A268:B268"/>
    <mergeCell ref="A284:B284"/>
    <mergeCell ref="A285:B285"/>
    <mergeCell ref="A286:D286"/>
    <mergeCell ref="A288:D288"/>
    <mergeCell ref="A291:D291"/>
    <mergeCell ref="A292:D292"/>
    <mergeCell ref="A275:B275"/>
    <mergeCell ref="A276:B276"/>
    <mergeCell ref="A277:B277"/>
    <mergeCell ref="A278:B278"/>
    <mergeCell ref="A279:B279"/>
    <mergeCell ref="A283:B283"/>
    <mergeCell ref="A305:B305"/>
    <mergeCell ref="A306:B306"/>
    <mergeCell ref="A307:B307"/>
    <mergeCell ref="A308:B308"/>
    <mergeCell ref="A309:B309"/>
    <mergeCell ref="A310:B310"/>
    <mergeCell ref="A293:D293"/>
    <mergeCell ref="A294:D294"/>
    <mergeCell ref="A298:B298"/>
    <mergeCell ref="A302:B302"/>
    <mergeCell ref="A303:B303"/>
    <mergeCell ref="A304:B304"/>
    <mergeCell ref="A317:B317"/>
    <mergeCell ref="A318:B318"/>
    <mergeCell ref="A319:B319"/>
    <mergeCell ref="A320:B320"/>
    <mergeCell ref="A321:B321"/>
    <mergeCell ref="A322:B322"/>
    <mergeCell ref="A311:B311"/>
    <mergeCell ref="A312:B312"/>
    <mergeCell ref="A313:B313"/>
    <mergeCell ref="A314:B314"/>
    <mergeCell ref="A315:B315"/>
    <mergeCell ref="A316:B316"/>
    <mergeCell ref="A332:B332"/>
    <mergeCell ref="A333:B333"/>
    <mergeCell ref="A334:D334"/>
    <mergeCell ref="A336:D336"/>
    <mergeCell ref="A339:D339"/>
    <mergeCell ref="A340:D340"/>
    <mergeCell ref="A323:B323"/>
    <mergeCell ref="A324:B324"/>
    <mergeCell ref="A325:B325"/>
    <mergeCell ref="A326:B326"/>
    <mergeCell ref="A327:B327"/>
    <mergeCell ref="A331:B331"/>
    <mergeCell ref="A352:B352"/>
    <mergeCell ref="A353:B353"/>
    <mergeCell ref="A354:B354"/>
    <mergeCell ref="A355:B355"/>
    <mergeCell ref="A356:B356"/>
    <mergeCell ref="A357:B357"/>
    <mergeCell ref="A341:D341"/>
    <mergeCell ref="A342:D342"/>
    <mergeCell ref="A346:B346"/>
    <mergeCell ref="A349:B349"/>
    <mergeCell ref="A350:B350"/>
    <mergeCell ref="A351:B351"/>
    <mergeCell ref="A364:B364"/>
    <mergeCell ref="A365:B365"/>
    <mergeCell ref="A366:B366"/>
    <mergeCell ref="A367:B367"/>
    <mergeCell ref="A368:B368"/>
    <mergeCell ref="A369:B369"/>
    <mergeCell ref="A358:B358"/>
    <mergeCell ref="A359:B359"/>
    <mergeCell ref="A360:B360"/>
    <mergeCell ref="A361:B361"/>
    <mergeCell ref="A362:B362"/>
    <mergeCell ref="A363:B363"/>
    <mergeCell ref="A379:B379"/>
    <mergeCell ref="A380:B380"/>
    <mergeCell ref="A381:B381"/>
    <mergeCell ref="A382:D382"/>
    <mergeCell ref="A384:D384"/>
    <mergeCell ref="A387:D387"/>
    <mergeCell ref="A370:B370"/>
    <mergeCell ref="A371:B371"/>
    <mergeCell ref="A372:B372"/>
    <mergeCell ref="A373:B373"/>
    <mergeCell ref="A374:B374"/>
    <mergeCell ref="A375:B375"/>
    <mergeCell ref="A397:B397"/>
    <mergeCell ref="A398:B398"/>
    <mergeCell ref="A399:B399"/>
    <mergeCell ref="A400:B400"/>
    <mergeCell ref="A401:B401"/>
    <mergeCell ref="A402:B402"/>
    <mergeCell ref="A388:D388"/>
    <mergeCell ref="A389:D389"/>
    <mergeCell ref="A390:D390"/>
    <mergeCell ref="A394:B394"/>
    <mergeCell ref="A395:B395"/>
    <mergeCell ref="A396:B396"/>
    <mergeCell ref="A409:B409"/>
    <mergeCell ref="A410:B410"/>
    <mergeCell ref="A411:B411"/>
    <mergeCell ref="A412:B412"/>
    <mergeCell ref="A413:B413"/>
    <mergeCell ref="A414:B414"/>
    <mergeCell ref="A403:B403"/>
    <mergeCell ref="A404:B404"/>
    <mergeCell ref="A405:B405"/>
    <mergeCell ref="A406:B406"/>
    <mergeCell ref="A407:B407"/>
    <mergeCell ref="A408:B408"/>
    <mergeCell ref="A421:B421"/>
    <mergeCell ref="A422:B422"/>
    <mergeCell ref="A423:B423"/>
    <mergeCell ref="A427:B427"/>
    <mergeCell ref="A428:B428"/>
    <mergeCell ref="A429:B429"/>
    <mergeCell ref="A415:B415"/>
    <mergeCell ref="A416:B416"/>
    <mergeCell ref="A417:B417"/>
    <mergeCell ref="A418:B418"/>
    <mergeCell ref="A419:B419"/>
    <mergeCell ref="A420:B420"/>
    <mergeCell ref="E444:H444"/>
    <mergeCell ref="A446:D446"/>
    <mergeCell ref="E446:H446"/>
    <mergeCell ref="A450:B450"/>
    <mergeCell ref="A451:B451"/>
    <mergeCell ref="A452:B452"/>
    <mergeCell ref="A433:B433"/>
    <mergeCell ref="A434:B434"/>
    <mergeCell ref="A435:B435"/>
    <mergeCell ref="A436:B436"/>
    <mergeCell ref="A442:D442"/>
    <mergeCell ref="A444:D444"/>
    <mergeCell ref="A459:B459"/>
    <mergeCell ref="A460:B460"/>
    <mergeCell ref="A461:B461"/>
    <mergeCell ref="A462:B462"/>
    <mergeCell ref="A463:B463"/>
    <mergeCell ref="A464:B464"/>
    <mergeCell ref="A453:B453"/>
    <mergeCell ref="A454:B454"/>
    <mergeCell ref="A455:B455"/>
    <mergeCell ref="A456:B456"/>
    <mergeCell ref="A457:B457"/>
    <mergeCell ref="A458:B458"/>
    <mergeCell ref="A471:B471"/>
    <mergeCell ref="A472:B472"/>
    <mergeCell ref="A473:B473"/>
    <mergeCell ref="A474:B474"/>
    <mergeCell ref="A475:B475"/>
    <mergeCell ref="A476:B476"/>
    <mergeCell ref="A465:B465"/>
    <mergeCell ref="A466:B466"/>
    <mergeCell ref="A467:B467"/>
    <mergeCell ref="A468:B468"/>
    <mergeCell ref="A469:B469"/>
    <mergeCell ref="A470:B470"/>
    <mergeCell ref="A483:B483"/>
    <mergeCell ref="A484:B484"/>
    <mergeCell ref="A488:B488"/>
    <mergeCell ref="A489:B489"/>
    <mergeCell ref="A490:B490"/>
    <mergeCell ref="A491:B491"/>
    <mergeCell ref="A477:B477"/>
    <mergeCell ref="A478:B478"/>
    <mergeCell ref="A479:B479"/>
    <mergeCell ref="A480:B480"/>
    <mergeCell ref="A481:B481"/>
    <mergeCell ref="A482:B482"/>
    <mergeCell ref="A498:B498"/>
    <mergeCell ref="A499:B499"/>
    <mergeCell ref="A500:B500"/>
    <mergeCell ref="A501:B501"/>
    <mergeCell ref="A502:B502"/>
    <mergeCell ref="A503:B503"/>
    <mergeCell ref="A492:B492"/>
    <mergeCell ref="A493:B493"/>
    <mergeCell ref="A494:B494"/>
    <mergeCell ref="A495:B495"/>
    <mergeCell ref="A496:B496"/>
    <mergeCell ref="A497:B497"/>
    <mergeCell ref="A510:B510"/>
    <mergeCell ref="A511:B511"/>
    <mergeCell ref="A512:B512"/>
    <mergeCell ref="A515:B515"/>
    <mergeCell ref="A516:B516"/>
    <mergeCell ref="A517:B517"/>
    <mergeCell ref="A504:B504"/>
    <mergeCell ref="A505:B505"/>
    <mergeCell ref="A506:B506"/>
    <mergeCell ref="A507:B507"/>
    <mergeCell ref="A508:B508"/>
    <mergeCell ref="A509:B509"/>
    <mergeCell ref="A524:B524"/>
    <mergeCell ref="A525:B525"/>
    <mergeCell ref="A526:B526"/>
    <mergeCell ref="A527:B527"/>
    <mergeCell ref="A528:B528"/>
    <mergeCell ref="A529:B529"/>
    <mergeCell ref="A518:B518"/>
    <mergeCell ref="A519:B519"/>
    <mergeCell ref="A520:B520"/>
    <mergeCell ref="A521:B521"/>
    <mergeCell ref="A522:B522"/>
    <mergeCell ref="A523:B523"/>
    <mergeCell ref="A539:D539"/>
    <mergeCell ref="E539:H539"/>
    <mergeCell ref="A540:D540"/>
    <mergeCell ref="E540:H540"/>
    <mergeCell ref="A541:D541"/>
    <mergeCell ref="E541:H541"/>
    <mergeCell ref="A530:B530"/>
    <mergeCell ref="A531:B531"/>
    <mergeCell ref="A532:B532"/>
    <mergeCell ref="A533:B533"/>
    <mergeCell ref="A534:B534"/>
    <mergeCell ref="A535:B535"/>
    <mergeCell ref="A545:D545"/>
    <mergeCell ref="E545:H545"/>
    <mergeCell ref="A546:D546"/>
    <mergeCell ref="E546:H546"/>
    <mergeCell ref="A547:D547"/>
    <mergeCell ref="E547:H547"/>
    <mergeCell ref="A542:D542"/>
    <mergeCell ref="E542:H542"/>
    <mergeCell ref="A543:D543"/>
    <mergeCell ref="E543:H543"/>
    <mergeCell ref="A544:D544"/>
    <mergeCell ref="E544:H544"/>
    <mergeCell ref="A554:B554"/>
    <mergeCell ref="A555:B555"/>
    <mergeCell ref="A556:B556"/>
    <mergeCell ref="A557:B557"/>
    <mergeCell ref="A558:B558"/>
    <mergeCell ref="A559:B559"/>
    <mergeCell ref="A549:B549"/>
    <mergeCell ref="E549:F549"/>
    <mergeCell ref="A550:B550"/>
    <mergeCell ref="A551:B551"/>
    <mergeCell ref="A552:B552"/>
    <mergeCell ref="A553:B553"/>
    <mergeCell ref="A570:B570"/>
    <mergeCell ref="A571:B571"/>
    <mergeCell ref="A572:B572"/>
    <mergeCell ref="A573:B573"/>
    <mergeCell ref="A560:B560"/>
    <mergeCell ref="A561:B561"/>
    <mergeCell ref="A565:D565"/>
    <mergeCell ref="E565:H565"/>
    <mergeCell ref="A568:B568"/>
    <mergeCell ref="A569:B56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workbookViewId="0">
      <selection activeCell="Q34" sqref="Q34"/>
    </sheetView>
  </sheetViews>
  <sheetFormatPr defaultRowHeight="15" x14ac:dyDescent="0.2"/>
  <cols>
    <col min="1" max="1" width="21.88671875" customWidth="1"/>
    <col min="4" max="4" width="0" hidden="1" customWidth="1"/>
    <col min="7" max="7" width="9.88671875" hidden="1" customWidth="1"/>
    <col min="8" max="8" width="10.21875" customWidth="1"/>
    <col min="10" max="10" width="0" hidden="1" customWidth="1"/>
    <col min="13" max="13" width="0" hidden="1" customWidth="1"/>
    <col min="16" max="16" width="0" hidden="1" customWidth="1"/>
    <col min="17" max="17" width="8.21875" customWidth="1"/>
  </cols>
  <sheetData>
    <row r="1" spans="1:22" x14ac:dyDescent="0.2">
      <c r="T1" s="52" t="s">
        <v>109</v>
      </c>
      <c r="V1" s="54">
        <v>2</v>
      </c>
    </row>
    <row r="2" spans="1:22" x14ac:dyDescent="0.2">
      <c r="T2" s="52" t="s">
        <v>110</v>
      </c>
      <c r="V2" s="55">
        <v>2</v>
      </c>
    </row>
    <row r="3" spans="1:22" x14ac:dyDescent="0.2">
      <c r="T3" s="52"/>
      <c r="V3" s="53"/>
    </row>
    <row r="4" spans="1:22" x14ac:dyDescent="0.2">
      <c r="T4" s="52" t="s">
        <v>112</v>
      </c>
      <c r="V4" s="56">
        <v>41702</v>
      </c>
    </row>
    <row r="6" spans="1:22" ht="18" x14ac:dyDescent="0.2">
      <c r="A6" s="783" t="s">
        <v>114</v>
      </c>
      <c r="B6" s="783"/>
      <c r="C6" s="783"/>
      <c r="D6" s="783"/>
      <c r="E6" s="783"/>
      <c r="F6" s="783"/>
      <c r="G6" s="783"/>
      <c r="H6" s="783"/>
      <c r="I6" s="783"/>
      <c r="J6" s="783"/>
      <c r="K6" s="783"/>
      <c r="L6" s="783"/>
      <c r="M6" s="783"/>
      <c r="N6" s="783"/>
      <c r="O6" s="783"/>
      <c r="P6" s="783"/>
      <c r="Q6" s="783"/>
      <c r="R6" s="783"/>
      <c r="S6" s="783"/>
      <c r="T6" s="783"/>
      <c r="U6" s="783"/>
      <c r="V6" s="783"/>
    </row>
    <row r="7" spans="1:22" ht="18" x14ac:dyDescent="0.25">
      <c r="A7" s="810" t="s">
        <v>115</v>
      </c>
      <c r="B7" s="811"/>
      <c r="C7" s="811"/>
      <c r="D7" s="811"/>
      <c r="E7" s="811"/>
      <c r="F7" s="811"/>
      <c r="G7" s="811"/>
      <c r="H7" s="811"/>
      <c r="I7" s="59"/>
    </row>
    <row r="9" spans="1:22" ht="16.5" thickBot="1" x14ac:dyDescent="0.25">
      <c r="A9" s="60" t="s">
        <v>116</v>
      </c>
      <c r="B9" s="61">
        <f>TestYear</f>
        <v>2014</v>
      </c>
    </row>
    <row r="10" spans="1:22" ht="16.5" thickTop="1" thickBot="1" x14ac:dyDescent="0.25">
      <c r="A10" s="812" t="s">
        <v>117</v>
      </c>
      <c r="B10" s="815" t="s">
        <v>118</v>
      </c>
      <c r="C10" s="816"/>
      <c r="D10" s="816"/>
      <c r="E10" s="816"/>
      <c r="F10" s="816"/>
      <c r="G10" s="816"/>
      <c r="H10" s="816"/>
      <c r="I10" s="816"/>
      <c r="J10" s="816"/>
      <c r="K10" s="816"/>
      <c r="L10" s="816"/>
      <c r="M10" s="816"/>
      <c r="N10" s="816"/>
      <c r="O10" s="816"/>
      <c r="P10" s="817"/>
      <c r="Q10" s="62"/>
      <c r="R10" s="815" t="s">
        <v>119</v>
      </c>
      <c r="S10" s="816"/>
      <c r="T10" s="816"/>
      <c r="U10" s="816"/>
      <c r="V10" s="818"/>
    </row>
    <row r="11" spans="1:22" ht="39" thickBot="1" x14ac:dyDescent="0.25">
      <c r="A11" s="813"/>
      <c r="B11" s="819">
        <f t="shared" ref="B11" si="0">E11-1</f>
        <v>2009</v>
      </c>
      <c r="C11" s="820"/>
      <c r="D11" s="821"/>
      <c r="E11" s="819">
        <f t="shared" ref="E11" si="1">H11-1</f>
        <v>2010</v>
      </c>
      <c r="F11" s="820"/>
      <c r="G11" s="821"/>
      <c r="H11" s="819">
        <f t="shared" ref="H11" si="2">K11-1</f>
        <v>2011</v>
      </c>
      <c r="I11" s="820"/>
      <c r="J11" s="821"/>
      <c r="K11" s="819">
        <f>N11-1</f>
        <v>2012</v>
      </c>
      <c r="L11" s="820"/>
      <c r="M11" s="821"/>
      <c r="N11" s="819">
        <f>R11-1</f>
        <v>2013</v>
      </c>
      <c r="O11" s="820"/>
      <c r="P11" s="821"/>
      <c r="Q11" s="63" t="s">
        <v>120</v>
      </c>
      <c r="R11" s="806">
        <f>B9</f>
        <v>2014</v>
      </c>
      <c r="S11" s="806">
        <f>R11+1</f>
        <v>2015</v>
      </c>
      <c r="T11" s="806">
        <f t="shared" ref="T11:V11" si="3">S11+1</f>
        <v>2016</v>
      </c>
      <c r="U11" s="806">
        <f t="shared" si="3"/>
        <v>2017</v>
      </c>
      <c r="V11" s="806">
        <f t="shared" si="3"/>
        <v>2018</v>
      </c>
    </row>
    <row r="12" spans="1:22" ht="15.75" thickBot="1" x14ac:dyDescent="0.25">
      <c r="A12" s="813"/>
      <c r="B12" s="64" t="s">
        <v>121</v>
      </c>
      <c r="C12" s="64" t="s">
        <v>10</v>
      </c>
      <c r="D12" s="64" t="s">
        <v>122</v>
      </c>
      <c r="E12" s="64" t="s">
        <v>121</v>
      </c>
      <c r="F12" s="65" t="s">
        <v>10</v>
      </c>
      <c r="G12" s="64" t="s">
        <v>122</v>
      </c>
      <c r="H12" s="65" t="s">
        <v>121</v>
      </c>
      <c r="I12" s="65" t="s">
        <v>10</v>
      </c>
      <c r="J12" s="64" t="s">
        <v>122</v>
      </c>
      <c r="K12" s="64" t="s">
        <v>121</v>
      </c>
      <c r="L12" s="64" t="s">
        <v>10</v>
      </c>
      <c r="M12" s="64" t="s">
        <v>122</v>
      </c>
      <c r="N12" s="65" t="s">
        <v>121</v>
      </c>
      <c r="O12" s="65" t="s">
        <v>123</v>
      </c>
      <c r="P12" s="64" t="s">
        <v>122</v>
      </c>
      <c r="Q12" s="65"/>
      <c r="R12" s="807"/>
      <c r="S12" s="807"/>
      <c r="T12" s="807"/>
      <c r="U12" s="807"/>
      <c r="V12" s="807"/>
    </row>
    <row r="13" spans="1:22" ht="15.75" thickBot="1" x14ac:dyDescent="0.25">
      <c r="A13" s="814"/>
      <c r="B13" s="808" t="s">
        <v>124</v>
      </c>
      <c r="C13" s="809"/>
      <c r="D13" s="66" t="s">
        <v>125</v>
      </c>
      <c r="E13" s="808" t="s">
        <v>124</v>
      </c>
      <c r="F13" s="809"/>
      <c r="G13" s="66" t="s">
        <v>125</v>
      </c>
      <c r="H13" s="808" t="s">
        <v>124</v>
      </c>
      <c r="I13" s="809"/>
      <c r="J13" s="66" t="s">
        <v>125</v>
      </c>
      <c r="K13" s="808" t="s">
        <v>124</v>
      </c>
      <c r="L13" s="809"/>
      <c r="M13" s="66" t="s">
        <v>125</v>
      </c>
      <c r="N13" s="808" t="s">
        <v>124</v>
      </c>
      <c r="O13" s="809"/>
      <c r="P13" s="66" t="s">
        <v>125</v>
      </c>
      <c r="Q13" s="67"/>
      <c r="R13" s="787" t="s">
        <v>124</v>
      </c>
      <c r="S13" s="788"/>
      <c r="T13" s="788"/>
      <c r="U13" s="788"/>
      <c r="V13" s="789"/>
    </row>
    <row r="14" spans="1:22" ht="16.5" thickBot="1" x14ac:dyDescent="0.25">
      <c r="A14" s="68" t="s">
        <v>39</v>
      </c>
      <c r="B14" s="69"/>
      <c r="C14" s="69">
        <v>928</v>
      </c>
      <c r="D14" s="70" t="str">
        <f>IF(ISERROR((C14-B14)/B14),"--",(C14-B14)/B14)</f>
        <v>--</v>
      </c>
      <c r="E14" s="69"/>
      <c r="F14" s="71">
        <v>1004</v>
      </c>
      <c r="G14" s="70" t="str">
        <f>IF(ISERROR((F14-E14)/E14),"--",(F14-E14)/E14)</f>
        <v>--</v>
      </c>
      <c r="H14" s="71"/>
      <c r="I14" s="71">
        <v>887</v>
      </c>
      <c r="J14" s="70" t="str">
        <f>IF(ISERROR((I14-H14)/H14),"--",(I14-H14)/H14)</f>
        <v>--</v>
      </c>
      <c r="K14" s="69"/>
      <c r="L14" s="69">
        <f>1166+3682</f>
        <v>4848</v>
      </c>
      <c r="M14" s="70" t="str">
        <f>IF(ISERROR((L14-K14)/K14),"--",(L14-K14)/K14)</f>
        <v>--</v>
      </c>
      <c r="N14" s="71"/>
      <c r="O14" s="69">
        <v>1336</v>
      </c>
      <c r="P14" s="70" t="str">
        <f>IF(ISERROR((O14-N14)/N14),"--",(O14-N14)/N14)</f>
        <v>--</v>
      </c>
      <c r="Q14" s="69">
        <v>10</v>
      </c>
      <c r="R14" s="69">
        <v>1978</v>
      </c>
      <c r="S14" s="69">
        <v>1456</v>
      </c>
      <c r="T14" s="69">
        <v>1330</v>
      </c>
      <c r="U14" s="69">
        <v>1406</v>
      </c>
      <c r="V14" s="71">
        <v>1365</v>
      </c>
    </row>
    <row r="15" spans="1:22" ht="16.5" thickBot="1" x14ac:dyDescent="0.25">
      <c r="A15" s="68" t="s">
        <v>52</v>
      </c>
      <c r="B15" s="69"/>
      <c r="C15" s="69">
        <v>928</v>
      </c>
      <c r="D15" s="70" t="str">
        <f t="shared" ref="D15:D19" si="4">IF(ISERROR((C15-B15)/B15),"--",(C15-B15)/B15)</f>
        <v>--</v>
      </c>
      <c r="E15" s="69"/>
      <c r="F15" s="71">
        <v>1210</v>
      </c>
      <c r="G15" s="70" t="str">
        <f t="shared" ref="G15:G19" si="5">IF(ISERROR((F15-E15)/E15),"--",(F15-E15)/E15)</f>
        <v>--</v>
      </c>
      <c r="H15" s="71"/>
      <c r="I15" s="72">
        <v>769</v>
      </c>
      <c r="J15" s="70" t="str">
        <f t="shared" ref="J15:J19" si="6">IF(ISERROR((I15-H15)/H15),"--",(I15-H15)/H15)</f>
        <v>--</v>
      </c>
      <c r="K15" s="69"/>
      <c r="L15" s="69">
        <v>498</v>
      </c>
      <c r="M15" s="70" t="str">
        <f t="shared" ref="M15:M19" si="7">IF(ISERROR((L15-K15)/K15),"--",(L15-K15)/K15)</f>
        <v>--</v>
      </c>
      <c r="N15" s="71"/>
      <c r="O15" s="69">
        <v>402</v>
      </c>
      <c r="P15" s="70" t="str">
        <f t="shared" ref="P15:P19" si="8">IF(ISERROR((O15-N15)/N15),"--",(O15-N15)/N15)</f>
        <v>--</v>
      </c>
      <c r="Q15" s="69">
        <v>0</v>
      </c>
      <c r="R15" s="69">
        <v>375</v>
      </c>
      <c r="S15" s="69">
        <v>950</v>
      </c>
      <c r="T15" s="69">
        <v>1425</v>
      </c>
      <c r="U15" s="69">
        <v>1300</v>
      </c>
      <c r="V15" s="72">
        <v>1350</v>
      </c>
    </row>
    <row r="16" spans="1:22" ht="16.5" thickBot="1" x14ac:dyDescent="0.25">
      <c r="A16" s="68" t="s">
        <v>57</v>
      </c>
      <c r="B16" s="69"/>
      <c r="C16" s="69">
        <v>1221</v>
      </c>
      <c r="D16" s="70" t="str">
        <f t="shared" si="4"/>
        <v>--</v>
      </c>
      <c r="E16" s="69"/>
      <c r="F16" s="71">
        <v>189</v>
      </c>
      <c r="G16" s="70" t="str">
        <f t="shared" si="5"/>
        <v>--</v>
      </c>
      <c r="H16" s="71"/>
      <c r="I16" s="72">
        <v>2617</v>
      </c>
      <c r="J16" s="70" t="str">
        <f t="shared" si="6"/>
        <v>--</v>
      </c>
      <c r="K16" s="69"/>
      <c r="L16" s="69">
        <v>3203</v>
      </c>
      <c r="M16" s="70" t="str">
        <f t="shared" si="7"/>
        <v>--</v>
      </c>
      <c r="N16" s="71"/>
      <c r="O16" s="69">
        <v>2000</v>
      </c>
      <c r="P16" s="70" t="str">
        <f t="shared" si="8"/>
        <v>--</v>
      </c>
      <c r="Q16" s="69">
        <v>1131</v>
      </c>
      <c r="R16" s="69">
        <v>2946</v>
      </c>
      <c r="S16" s="69">
        <v>2200</v>
      </c>
      <c r="T16" s="69">
        <v>2175</v>
      </c>
      <c r="U16" s="69">
        <v>2410</v>
      </c>
      <c r="V16" s="72">
        <v>2100</v>
      </c>
    </row>
    <row r="17" spans="1:22" ht="16.5" thickBot="1" x14ac:dyDescent="0.25">
      <c r="A17" s="68" t="s">
        <v>87</v>
      </c>
      <c r="B17" s="69"/>
      <c r="C17" s="69">
        <v>1114</v>
      </c>
      <c r="D17" s="70" t="str">
        <f t="shared" si="4"/>
        <v>--</v>
      </c>
      <c r="E17" s="69"/>
      <c r="F17" s="71">
        <v>825</v>
      </c>
      <c r="G17" s="70" t="str">
        <f t="shared" si="5"/>
        <v>--</v>
      </c>
      <c r="H17" s="71"/>
      <c r="I17" s="72">
        <v>676</v>
      </c>
      <c r="J17" s="70" t="str">
        <f t="shared" si="6"/>
        <v>--</v>
      </c>
      <c r="K17" s="69"/>
      <c r="L17" s="69">
        <f>538+51+62</f>
        <v>651</v>
      </c>
      <c r="M17" s="70" t="str">
        <f t="shared" si="7"/>
        <v>--</v>
      </c>
      <c r="N17" s="71"/>
      <c r="O17" s="69">
        <v>459</v>
      </c>
      <c r="P17" s="70" t="str">
        <f t="shared" si="8"/>
        <v>--</v>
      </c>
      <c r="Q17" s="69">
        <v>0</v>
      </c>
      <c r="R17" s="69">
        <v>680</v>
      </c>
      <c r="S17" s="69">
        <v>698</v>
      </c>
      <c r="T17" s="69">
        <v>489</v>
      </c>
      <c r="U17" s="69">
        <v>437</v>
      </c>
      <c r="V17" s="72">
        <v>464</v>
      </c>
    </row>
    <row r="18" spans="1:22" ht="16.5" thickBot="1" x14ac:dyDescent="0.25">
      <c r="A18" s="73" t="s">
        <v>126</v>
      </c>
      <c r="B18" s="74">
        <f>SUM(B14:B17)</f>
        <v>0</v>
      </c>
      <c r="C18" s="74">
        <f t="shared" ref="C18:U18" si="9">SUM(C14:C17)</f>
        <v>4191</v>
      </c>
      <c r="D18" s="75" t="str">
        <f t="shared" si="4"/>
        <v>--</v>
      </c>
      <c r="E18" s="76">
        <f t="shared" si="9"/>
        <v>0</v>
      </c>
      <c r="F18" s="76">
        <f t="shared" si="9"/>
        <v>3228</v>
      </c>
      <c r="G18" s="75" t="str">
        <f t="shared" si="5"/>
        <v>--</v>
      </c>
      <c r="H18" s="76">
        <f t="shared" si="9"/>
        <v>0</v>
      </c>
      <c r="I18" s="76">
        <f t="shared" si="9"/>
        <v>4949</v>
      </c>
      <c r="J18" s="75" t="str">
        <f t="shared" si="6"/>
        <v>--</v>
      </c>
      <c r="K18" s="76">
        <f t="shared" si="9"/>
        <v>0</v>
      </c>
      <c r="L18" s="76">
        <f t="shared" si="9"/>
        <v>9200</v>
      </c>
      <c r="M18" s="75" t="str">
        <f t="shared" si="7"/>
        <v>--</v>
      </c>
      <c r="N18" s="76">
        <f t="shared" si="9"/>
        <v>0</v>
      </c>
      <c r="O18" s="76">
        <f t="shared" si="9"/>
        <v>4197</v>
      </c>
      <c r="P18" s="75" t="str">
        <f t="shared" si="8"/>
        <v>--</v>
      </c>
      <c r="Q18" s="76">
        <f t="shared" si="9"/>
        <v>1141</v>
      </c>
      <c r="R18" s="74">
        <f t="shared" si="9"/>
        <v>5979</v>
      </c>
      <c r="S18" s="74">
        <f t="shared" si="9"/>
        <v>5304</v>
      </c>
      <c r="T18" s="74">
        <f t="shared" si="9"/>
        <v>5419</v>
      </c>
      <c r="U18" s="74">
        <f t="shared" si="9"/>
        <v>5553</v>
      </c>
      <c r="V18" s="77">
        <f>SUM(V14:V17)</f>
        <v>5279</v>
      </c>
    </row>
    <row r="19" spans="1:22" ht="17.25" thickTop="1" thickBot="1" x14ac:dyDescent="0.25">
      <c r="A19" s="78" t="s">
        <v>127</v>
      </c>
      <c r="B19" s="79"/>
      <c r="C19" s="79">
        <v>2909</v>
      </c>
      <c r="D19" s="80" t="str">
        <f t="shared" si="4"/>
        <v>--</v>
      </c>
      <c r="E19" s="79"/>
      <c r="F19" s="81">
        <v>2794</v>
      </c>
      <c r="G19" s="80" t="str">
        <f t="shared" si="5"/>
        <v>--</v>
      </c>
      <c r="H19" s="81"/>
      <c r="I19" s="81">
        <v>3078</v>
      </c>
      <c r="J19" s="80" t="str">
        <f t="shared" si="6"/>
        <v>--</v>
      </c>
      <c r="K19" s="79"/>
      <c r="L19" s="79">
        <v>3158</v>
      </c>
      <c r="M19" s="80" t="str">
        <f t="shared" si="7"/>
        <v>--</v>
      </c>
      <c r="N19" s="81"/>
      <c r="O19" s="81">
        <v>3898</v>
      </c>
      <c r="P19" s="80" t="str">
        <f t="shared" si="8"/>
        <v>--</v>
      </c>
      <c r="Q19" s="81">
        <v>0</v>
      </c>
      <c r="R19" s="79">
        <v>3606</v>
      </c>
      <c r="S19" s="79">
        <v>3664</v>
      </c>
      <c r="T19" s="79">
        <v>3722</v>
      </c>
      <c r="U19" s="79">
        <v>3782</v>
      </c>
      <c r="V19" s="82">
        <v>3842</v>
      </c>
    </row>
    <row r="20" spans="1:22" ht="15.75" thickTop="1" x14ac:dyDescent="0.2">
      <c r="A20" s="51"/>
      <c r="B20" s="51"/>
      <c r="C20" s="51"/>
      <c r="D20" s="51"/>
      <c r="E20" s="51"/>
      <c r="F20" s="51"/>
      <c r="G20" s="51"/>
      <c r="H20" s="51"/>
      <c r="I20" s="51"/>
      <c r="J20" s="51"/>
      <c r="K20" s="51"/>
      <c r="L20" s="51"/>
      <c r="M20" s="51"/>
      <c r="N20" s="51"/>
      <c r="O20" s="51"/>
      <c r="P20" s="51"/>
      <c r="Q20" s="51"/>
      <c r="R20" s="51"/>
      <c r="S20" s="51"/>
      <c r="T20" s="51"/>
      <c r="U20" s="51"/>
      <c r="V20" s="51"/>
    </row>
    <row r="21" spans="1:22" ht="15.75" x14ac:dyDescent="0.25">
      <c r="A21" s="83" t="s">
        <v>128</v>
      </c>
    </row>
    <row r="22" spans="1:22" ht="15.75" thickBot="1" x14ac:dyDescent="0.25">
      <c r="A22" s="51" t="s">
        <v>129</v>
      </c>
    </row>
    <row r="23" spans="1:22" ht="15.75" thickBot="1" x14ac:dyDescent="0.25">
      <c r="A23" s="51" t="s">
        <v>130</v>
      </c>
      <c r="N23" s="84">
        <v>12</v>
      </c>
    </row>
    <row r="25" spans="1:22" ht="18.75" x14ac:dyDescent="0.3">
      <c r="A25" s="85" t="s">
        <v>131</v>
      </c>
      <c r="B25" s="86"/>
      <c r="C25" s="86"/>
      <c r="D25" s="86"/>
      <c r="E25" s="86"/>
      <c r="F25" s="86"/>
      <c r="G25" s="86"/>
      <c r="H25" s="86"/>
      <c r="I25" s="86"/>
      <c r="J25" s="86"/>
      <c r="K25" s="86"/>
      <c r="L25" s="86"/>
      <c r="M25" s="86"/>
      <c r="N25" s="87"/>
    </row>
    <row r="26" spans="1:22" ht="15.75" x14ac:dyDescent="0.25">
      <c r="A26" s="88" t="s">
        <v>132</v>
      </c>
      <c r="B26" s="86"/>
      <c r="C26" s="86"/>
      <c r="D26" s="86"/>
      <c r="E26" s="86"/>
      <c r="F26" s="86"/>
      <c r="G26" s="86"/>
      <c r="H26" s="86"/>
      <c r="I26" s="86"/>
      <c r="J26" s="86"/>
      <c r="K26" s="86"/>
      <c r="L26" s="86"/>
      <c r="M26" s="86"/>
      <c r="N26" s="87"/>
    </row>
    <row r="27" spans="1:22" x14ac:dyDescent="0.2">
      <c r="A27" s="790" t="s">
        <v>133</v>
      </c>
      <c r="B27" s="791"/>
      <c r="C27" s="791"/>
      <c r="D27" s="791"/>
      <c r="E27" s="791"/>
      <c r="F27" s="791"/>
      <c r="G27" s="791"/>
      <c r="H27" s="791"/>
      <c r="I27" s="791"/>
      <c r="J27" s="791"/>
      <c r="K27" s="791"/>
      <c r="L27" s="791"/>
      <c r="M27" s="791"/>
      <c r="N27" s="792"/>
      <c r="O27" s="89"/>
      <c r="P27" s="89"/>
      <c r="Q27" s="89"/>
      <c r="R27" s="89"/>
      <c r="S27" s="89"/>
      <c r="T27" s="89"/>
      <c r="U27" s="89"/>
      <c r="V27" s="89"/>
    </row>
    <row r="28" spans="1:22" ht="41.25" customHeight="1" x14ac:dyDescent="0.2">
      <c r="A28" s="793" t="s">
        <v>134</v>
      </c>
      <c r="B28" s="794"/>
      <c r="C28" s="794"/>
      <c r="D28" s="794"/>
      <c r="E28" s="794"/>
      <c r="F28" s="794"/>
      <c r="G28" s="794"/>
      <c r="H28" s="794"/>
      <c r="I28" s="794"/>
      <c r="J28" s="794"/>
      <c r="K28" s="794"/>
      <c r="L28" s="794"/>
      <c r="M28" s="794"/>
      <c r="N28" s="795"/>
      <c r="O28" s="89"/>
      <c r="P28" s="89"/>
      <c r="Q28" s="89"/>
      <c r="R28" s="89"/>
      <c r="S28" s="89"/>
      <c r="T28" s="89"/>
      <c r="U28" s="89"/>
      <c r="V28" s="89"/>
    </row>
    <row r="29" spans="1:22" ht="15.75" x14ac:dyDescent="0.25">
      <c r="A29" s="90" t="s">
        <v>135</v>
      </c>
      <c r="B29" s="91"/>
      <c r="C29" s="91"/>
      <c r="D29" s="91"/>
      <c r="E29" s="91"/>
      <c r="F29" s="91"/>
      <c r="G29" s="91"/>
      <c r="H29" s="91"/>
      <c r="I29" s="91"/>
      <c r="J29" s="91"/>
      <c r="K29" s="91"/>
      <c r="L29" s="91"/>
      <c r="M29" s="91"/>
      <c r="N29" s="92"/>
    </row>
    <row r="30" spans="1:22" x14ac:dyDescent="0.2">
      <c r="A30" s="796" t="s">
        <v>136</v>
      </c>
      <c r="B30" s="797"/>
      <c r="C30" s="797"/>
      <c r="D30" s="797"/>
      <c r="E30" s="797"/>
      <c r="F30" s="797"/>
      <c r="G30" s="797"/>
      <c r="H30" s="797"/>
      <c r="I30" s="797"/>
      <c r="J30" s="797"/>
      <c r="K30" s="797"/>
      <c r="L30" s="797"/>
      <c r="M30" s="797"/>
      <c r="N30" s="798"/>
    </row>
    <row r="31" spans="1:22" x14ac:dyDescent="0.2">
      <c r="A31" s="799" t="s">
        <v>137</v>
      </c>
      <c r="B31" s="800"/>
      <c r="C31" s="800"/>
      <c r="D31" s="800"/>
      <c r="E31" s="800"/>
      <c r="F31" s="800"/>
      <c r="G31" s="800"/>
      <c r="H31" s="800"/>
      <c r="I31" s="800"/>
      <c r="J31" s="800"/>
      <c r="K31" s="800"/>
      <c r="L31" s="800"/>
      <c r="M31" s="800"/>
      <c r="N31" s="801"/>
    </row>
    <row r="32" spans="1:22" ht="15.75" x14ac:dyDescent="0.25">
      <c r="A32" s="88" t="s">
        <v>138</v>
      </c>
      <c r="B32" s="86"/>
      <c r="C32" s="86"/>
      <c r="D32" s="86"/>
      <c r="E32" s="86"/>
      <c r="F32" s="86"/>
      <c r="G32" s="86"/>
      <c r="H32" s="86"/>
      <c r="I32" s="86"/>
      <c r="J32" s="86"/>
      <c r="K32" s="86"/>
      <c r="L32" s="86"/>
      <c r="M32" s="86"/>
      <c r="N32" s="87"/>
    </row>
    <row r="33" spans="1:14" x14ac:dyDescent="0.2">
      <c r="A33" s="802"/>
      <c r="B33" s="802"/>
      <c r="C33" s="802"/>
      <c r="D33" s="802"/>
      <c r="E33" s="802"/>
      <c r="F33" s="802"/>
      <c r="G33" s="802"/>
      <c r="H33" s="802"/>
      <c r="I33" s="802"/>
      <c r="J33" s="802"/>
      <c r="K33" s="802"/>
      <c r="L33" s="802"/>
      <c r="M33" s="802"/>
      <c r="N33" s="803"/>
    </row>
    <row r="34" spans="1:14" x14ac:dyDescent="0.2">
      <c r="A34" s="804"/>
      <c r="B34" s="804"/>
      <c r="C34" s="804"/>
      <c r="D34" s="804"/>
      <c r="E34" s="804"/>
      <c r="F34" s="804"/>
      <c r="G34" s="804"/>
      <c r="H34" s="804"/>
      <c r="I34" s="804"/>
      <c r="J34" s="804"/>
      <c r="K34" s="804"/>
      <c r="L34" s="804"/>
      <c r="M34" s="804"/>
      <c r="N34" s="805"/>
    </row>
  </sheetData>
  <mergeCells count="24">
    <mergeCell ref="A10:A13"/>
    <mergeCell ref="B10:P10"/>
    <mergeCell ref="R10:V10"/>
    <mergeCell ref="B11:D11"/>
    <mergeCell ref="E11:G11"/>
    <mergeCell ref="H11:J11"/>
    <mergeCell ref="K11:M11"/>
    <mergeCell ref="N11:P11"/>
    <mergeCell ref="R13:V13"/>
    <mergeCell ref="A27:N28"/>
    <mergeCell ref="A30:N31"/>
    <mergeCell ref="A33:N34"/>
    <mergeCell ref="A6:V6"/>
    <mergeCell ref="R11:R12"/>
    <mergeCell ref="S11:S12"/>
    <mergeCell ref="T11:T12"/>
    <mergeCell ref="U11:U12"/>
    <mergeCell ref="V11:V12"/>
    <mergeCell ref="B13:C13"/>
    <mergeCell ref="E13:F13"/>
    <mergeCell ref="H13:I13"/>
    <mergeCell ref="K13:L13"/>
    <mergeCell ref="N13:O13"/>
    <mergeCell ref="A7:H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0"/>
  <sheetViews>
    <sheetView workbookViewId="0">
      <selection activeCell="M8" sqref="M8"/>
    </sheetView>
  </sheetViews>
  <sheetFormatPr defaultColWidth="7.109375" defaultRowHeight="12.75" x14ac:dyDescent="0.2"/>
  <cols>
    <col min="1" max="1" width="6" style="93" customWidth="1"/>
    <col min="2" max="2" width="5" style="93" customWidth="1"/>
    <col min="3" max="3" width="37.77734375" style="2" customWidth="1"/>
    <col min="4" max="4" width="11.21875" style="2" customWidth="1"/>
    <col min="5" max="6" width="10.109375" style="2" customWidth="1"/>
    <col min="7" max="7" width="10.5546875" style="2" customWidth="1"/>
    <col min="8" max="8" width="1.33203125" style="101" customWidth="1"/>
    <col min="9" max="9" width="11.109375" style="2" customWidth="1"/>
    <col min="10" max="10" width="10.44140625" style="2" customWidth="1"/>
    <col min="11" max="11" width="9.88671875" style="2" customWidth="1"/>
    <col min="12" max="12" width="11.33203125" style="2" bestFit="1" customWidth="1"/>
    <col min="13" max="13" width="11" style="2" bestFit="1" customWidth="1"/>
    <col min="14" max="14" width="8" style="2" bestFit="1" customWidth="1"/>
    <col min="15" max="16384" width="7.109375" style="2"/>
  </cols>
  <sheetData>
    <row r="1" spans="1:13" x14ac:dyDescent="0.2">
      <c r="L1" s="180" t="s">
        <v>106</v>
      </c>
      <c r="M1" s="53" t="str">
        <f>EBNUMBER</f>
        <v>EB-2013-0134</v>
      </c>
    </row>
    <row r="2" spans="1:13" x14ac:dyDescent="0.2">
      <c r="L2" s="180" t="s">
        <v>107</v>
      </c>
      <c r="M2" s="182">
        <v>2</v>
      </c>
    </row>
    <row r="3" spans="1:13" x14ac:dyDescent="0.2">
      <c r="L3" s="180" t="s">
        <v>108</v>
      </c>
      <c r="M3" s="182">
        <v>2</v>
      </c>
    </row>
    <row r="4" spans="1:13" x14ac:dyDescent="0.2">
      <c r="L4" s="180" t="s">
        <v>109</v>
      </c>
      <c r="M4" s="182">
        <v>1</v>
      </c>
    </row>
    <row r="5" spans="1:13" x14ac:dyDescent="0.2">
      <c r="L5" s="180" t="s">
        <v>110</v>
      </c>
      <c r="M5" s="183" t="s">
        <v>287</v>
      </c>
    </row>
    <row r="6" spans="1:13" x14ac:dyDescent="0.2">
      <c r="L6" s="180"/>
      <c r="M6" s="181"/>
    </row>
    <row r="7" spans="1:13" ht="14.25" customHeight="1" x14ac:dyDescent="0.25">
      <c r="C7" s="94"/>
      <c r="D7" s="95"/>
      <c r="E7" s="95"/>
      <c r="F7" s="95"/>
      <c r="G7" s="95"/>
      <c r="H7" s="96"/>
      <c r="I7" s="95"/>
      <c r="J7" s="95"/>
      <c r="L7" s="180" t="s">
        <v>112</v>
      </c>
      <c r="M7" s="244">
        <v>41702</v>
      </c>
    </row>
    <row r="8" spans="1:13" ht="18" x14ac:dyDescent="0.25">
      <c r="C8" s="94"/>
      <c r="D8" s="95"/>
      <c r="E8" s="95"/>
      <c r="F8" s="95"/>
      <c r="G8" s="95"/>
      <c r="H8" s="96"/>
      <c r="I8" s="95"/>
      <c r="J8" s="95"/>
      <c r="L8" s="180"/>
      <c r="M8" s="245"/>
    </row>
    <row r="9" spans="1:13" ht="18" x14ac:dyDescent="0.2">
      <c r="A9" s="829" t="s">
        <v>286</v>
      </c>
      <c r="B9" s="829"/>
      <c r="C9" s="829"/>
      <c r="D9" s="829"/>
      <c r="E9" s="829"/>
      <c r="F9" s="829"/>
      <c r="G9" s="829"/>
      <c r="H9" s="829"/>
      <c r="I9" s="829"/>
      <c r="J9" s="829"/>
      <c r="K9" s="829"/>
      <c r="L9" s="829"/>
      <c r="M9" s="829"/>
    </row>
    <row r="10" spans="1:13" ht="18" x14ac:dyDescent="0.2">
      <c r="A10" s="822" t="s">
        <v>140</v>
      </c>
      <c r="B10" s="822"/>
      <c r="C10" s="822"/>
      <c r="D10" s="822"/>
      <c r="E10" s="822"/>
      <c r="F10" s="822"/>
      <c r="G10" s="822"/>
      <c r="H10" s="822"/>
      <c r="I10" s="822"/>
      <c r="J10" s="822"/>
      <c r="K10" s="822"/>
      <c r="L10" s="822"/>
      <c r="M10" s="822"/>
    </row>
    <row r="12" spans="1:13" ht="15" x14ac:dyDescent="0.25">
      <c r="C12" s="97"/>
      <c r="E12" s="98" t="s">
        <v>141</v>
      </c>
      <c r="F12" s="99">
        <v>2014</v>
      </c>
      <c r="G12" s="100"/>
    </row>
    <row r="14" spans="1:13" x14ac:dyDescent="0.2">
      <c r="C14" s="97"/>
      <c r="D14" s="826" t="s">
        <v>142</v>
      </c>
      <c r="E14" s="827"/>
      <c r="F14" s="827"/>
      <c r="G14" s="828"/>
      <c r="H14" s="102"/>
      <c r="I14" s="103"/>
      <c r="J14" s="104" t="s">
        <v>143</v>
      </c>
      <c r="K14" s="104"/>
      <c r="L14" s="105"/>
      <c r="M14" s="102"/>
    </row>
    <row r="15" spans="1:13" ht="25.5" x14ac:dyDescent="0.2">
      <c r="A15" s="106" t="s">
        <v>144</v>
      </c>
      <c r="B15" s="107" t="s">
        <v>145</v>
      </c>
      <c r="C15" s="108" t="s">
        <v>146</v>
      </c>
      <c r="D15" s="109" t="s">
        <v>147</v>
      </c>
      <c r="E15" s="110" t="s">
        <v>148</v>
      </c>
      <c r="F15" s="110" t="s">
        <v>149</v>
      </c>
      <c r="G15" s="109" t="s">
        <v>150</v>
      </c>
      <c r="H15" s="111"/>
      <c r="I15" s="112" t="s">
        <v>147</v>
      </c>
      <c r="J15" s="113" t="s">
        <v>148</v>
      </c>
      <c r="K15" s="113" t="s">
        <v>149</v>
      </c>
      <c r="L15" s="114" t="s">
        <v>150</v>
      </c>
      <c r="M15" s="109" t="s">
        <v>151</v>
      </c>
    </row>
    <row r="16" spans="1:13" ht="25.5" x14ac:dyDescent="0.2">
      <c r="A16" s="115" t="s">
        <v>152</v>
      </c>
      <c r="B16" s="115">
        <v>1609</v>
      </c>
      <c r="C16" s="116" t="s">
        <v>153</v>
      </c>
      <c r="D16" s="117">
        <f>G98</f>
        <v>29835</v>
      </c>
      <c r="E16" s="118">
        <v>441675</v>
      </c>
      <c r="F16" s="119"/>
      <c r="G16" s="120">
        <f t="shared" ref="G16:G38" si="0">D16+E16+F16</f>
        <v>471510</v>
      </c>
      <c r="H16" s="121"/>
      <c r="I16" s="117">
        <f>L98</f>
        <v>0</v>
      </c>
      <c r="J16" s="117">
        <v>-5571</v>
      </c>
      <c r="K16" s="117"/>
      <c r="L16" s="122">
        <f t="shared" ref="L16:L38" si="1">I16+J16+K16</f>
        <v>-5571</v>
      </c>
      <c r="M16" s="122">
        <f t="shared" ref="M16:M38" si="2">G16+L16</f>
        <v>465939</v>
      </c>
    </row>
    <row r="17" spans="1:13" x14ac:dyDescent="0.2">
      <c r="A17" s="123">
        <v>47</v>
      </c>
      <c r="B17" s="123">
        <v>1820</v>
      </c>
      <c r="C17" s="124" t="s">
        <v>154</v>
      </c>
      <c r="D17" s="117">
        <f t="shared" ref="D17:D64" si="3">G99</f>
        <v>466497</v>
      </c>
      <c r="E17" s="125">
        <v>5000</v>
      </c>
      <c r="F17" s="126"/>
      <c r="G17" s="127">
        <f t="shared" si="0"/>
        <v>471497</v>
      </c>
      <c r="H17" s="128"/>
      <c r="I17" s="117">
        <f t="shared" ref="I17:I64" si="4">L99</f>
        <v>-193381</v>
      </c>
      <c r="J17" s="125">
        <v>-8091</v>
      </c>
      <c r="K17" s="117"/>
      <c r="L17" s="122">
        <f t="shared" si="1"/>
        <v>-201472</v>
      </c>
      <c r="M17" s="122">
        <f t="shared" si="2"/>
        <v>270025</v>
      </c>
    </row>
    <row r="18" spans="1:13" x14ac:dyDescent="0.2">
      <c r="A18" s="123">
        <v>47</v>
      </c>
      <c r="B18" s="123">
        <v>1830</v>
      </c>
      <c r="C18" s="124" t="s">
        <v>155</v>
      </c>
      <c r="D18" s="117">
        <f t="shared" si="3"/>
        <v>21953737</v>
      </c>
      <c r="E18" s="125">
        <v>2219344</v>
      </c>
      <c r="F18" s="126"/>
      <c r="G18" s="127">
        <f t="shared" si="0"/>
        <v>24173081</v>
      </c>
      <c r="H18" s="128"/>
      <c r="I18" s="117">
        <f t="shared" si="4"/>
        <v>-9528187</v>
      </c>
      <c r="J18" s="125">
        <v>-319541</v>
      </c>
      <c r="K18" s="117"/>
      <c r="L18" s="122">
        <f t="shared" si="1"/>
        <v>-9847728</v>
      </c>
      <c r="M18" s="122">
        <f t="shared" si="2"/>
        <v>14325353</v>
      </c>
    </row>
    <row r="19" spans="1:13" x14ac:dyDescent="0.2">
      <c r="A19" s="123">
        <v>47</v>
      </c>
      <c r="B19" s="123">
        <v>1830</v>
      </c>
      <c r="C19" s="124" t="s">
        <v>156</v>
      </c>
      <c r="D19" s="117">
        <f t="shared" si="3"/>
        <v>84427</v>
      </c>
      <c r="E19" s="125"/>
      <c r="F19" s="126"/>
      <c r="G19" s="127">
        <f t="shared" si="0"/>
        <v>84427</v>
      </c>
      <c r="H19" s="128"/>
      <c r="I19" s="117">
        <f t="shared" si="4"/>
        <v>-45402</v>
      </c>
      <c r="J19" s="125">
        <v>-835</v>
      </c>
      <c r="K19" s="117"/>
      <c r="L19" s="122">
        <f t="shared" si="1"/>
        <v>-46237</v>
      </c>
      <c r="M19" s="122">
        <f t="shared" si="2"/>
        <v>38190</v>
      </c>
    </row>
    <row r="20" spans="1:13" x14ac:dyDescent="0.2">
      <c r="A20" s="123">
        <v>47</v>
      </c>
      <c r="B20" s="123">
        <v>1835</v>
      </c>
      <c r="C20" s="124" t="s">
        <v>157</v>
      </c>
      <c r="D20" s="117">
        <f t="shared" si="3"/>
        <v>13341420</v>
      </c>
      <c r="E20" s="125">
        <v>1446682</v>
      </c>
      <c r="F20" s="126"/>
      <c r="G20" s="127">
        <f t="shared" si="0"/>
        <v>14788102</v>
      </c>
      <c r="H20" s="128"/>
      <c r="I20" s="117">
        <f t="shared" si="4"/>
        <v>-3922661</v>
      </c>
      <c r="J20" s="125">
        <v>-227574</v>
      </c>
      <c r="K20" s="117"/>
      <c r="L20" s="122">
        <f t="shared" si="1"/>
        <v>-4150235</v>
      </c>
      <c r="M20" s="122">
        <f t="shared" si="2"/>
        <v>10637867</v>
      </c>
    </row>
    <row r="21" spans="1:13" x14ac:dyDescent="0.2">
      <c r="A21" s="123">
        <v>47</v>
      </c>
      <c r="B21" s="123">
        <v>1835</v>
      </c>
      <c r="C21" s="124" t="s">
        <v>158</v>
      </c>
      <c r="D21" s="117">
        <f t="shared" si="3"/>
        <v>510902</v>
      </c>
      <c r="E21" s="125">
        <v>15900</v>
      </c>
      <c r="F21" s="126"/>
      <c r="G21" s="127">
        <f t="shared" si="0"/>
        <v>526802</v>
      </c>
      <c r="H21" s="128"/>
      <c r="I21" s="117">
        <f t="shared" si="4"/>
        <v>-280396</v>
      </c>
      <c r="J21" s="125">
        <v>-7437</v>
      </c>
      <c r="K21" s="117"/>
      <c r="L21" s="122">
        <f t="shared" si="1"/>
        <v>-287833</v>
      </c>
      <c r="M21" s="122">
        <f t="shared" si="2"/>
        <v>238969</v>
      </c>
    </row>
    <row r="22" spans="1:13" x14ac:dyDescent="0.2">
      <c r="A22" s="123">
        <v>47</v>
      </c>
      <c r="B22" s="123">
        <v>1835</v>
      </c>
      <c r="C22" s="124" t="s">
        <v>159</v>
      </c>
      <c r="D22" s="117">
        <f t="shared" si="3"/>
        <v>446811</v>
      </c>
      <c r="E22" s="125"/>
      <c r="F22" s="126"/>
      <c r="G22" s="127">
        <f t="shared" si="0"/>
        <v>446811</v>
      </c>
      <c r="H22" s="128"/>
      <c r="I22" s="117">
        <f t="shared" si="4"/>
        <v>-191607</v>
      </c>
      <c r="J22" s="125">
        <v>-8446</v>
      </c>
      <c r="K22" s="117"/>
      <c r="L22" s="122">
        <f t="shared" si="1"/>
        <v>-200053</v>
      </c>
      <c r="M22" s="122">
        <f t="shared" si="2"/>
        <v>246758</v>
      </c>
    </row>
    <row r="23" spans="1:13" x14ac:dyDescent="0.2">
      <c r="A23" s="123">
        <v>47</v>
      </c>
      <c r="B23" s="123">
        <v>1840</v>
      </c>
      <c r="C23" s="124" t="s">
        <v>160</v>
      </c>
      <c r="D23" s="117">
        <f t="shared" si="3"/>
        <v>1832473</v>
      </c>
      <c r="E23" s="125">
        <v>660890</v>
      </c>
      <c r="F23" s="126"/>
      <c r="G23" s="127">
        <f t="shared" si="0"/>
        <v>2493363</v>
      </c>
      <c r="H23" s="128"/>
      <c r="I23" s="117">
        <f t="shared" si="4"/>
        <v>-176290</v>
      </c>
      <c r="J23" s="125">
        <v>-41490</v>
      </c>
      <c r="K23" s="117"/>
      <c r="L23" s="122">
        <f t="shared" si="1"/>
        <v>-217780</v>
      </c>
      <c r="M23" s="122">
        <f t="shared" si="2"/>
        <v>2275583</v>
      </c>
    </row>
    <row r="24" spans="1:13" x14ac:dyDescent="0.2">
      <c r="A24" s="123">
        <v>47</v>
      </c>
      <c r="B24" s="123">
        <v>1845</v>
      </c>
      <c r="C24" s="124" t="s">
        <v>161</v>
      </c>
      <c r="D24" s="117">
        <f t="shared" si="3"/>
        <v>6236920</v>
      </c>
      <c r="E24" s="125"/>
      <c r="F24" s="126"/>
      <c r="G24" s="127">
        <f t="shared" si="0"/>
        <v>6236920</v>
      </c>
      <c r="H24" s="128"/>
      <c r="I24" s="117">
        <f t="shared" si="4"/>
        <v>-3133558</v>
      </c>
      <c r="J24" s="125">
        <v>-174008</v>
      </c>
      <c r="K24" s="117"/>
      <c r="L24" s="122">
        <f t="shared" si="1"/>
        <v>-3307566</v>
      </c>
      <c r="M24" s="122">
        <f t="shared" si="2"/>
        <v>2929354</v>
      </c>
    </row>
    <row r="25" spans="1:13" x14ac:dyDescent="0.2">
      <c r="A25" s="123">
        <v>47</v>
      </c>
      <c r="B25" s="123">
        <v>1845</v>
      </c>
      <c r="C25" s="124" t="s">
        <v>162</v>
      </c>
      <c r="D25" s="117">
        <f t="shared" si="3"/>
        <v>2391543</v>
      </c>
      <c r="E25" s="125">
        <v>588165</v>
      </c>
      <c r="F25" s="126"/>
      <c r="G25" s="127">
        <f t="shared" si="0"/>
        <v>2979708</v>
      </c>
      <c r="H25" s="128"/>
      <c r="I25" s="117">
        <f t="shared" si="4"/>
        <v>-711556</v>
      </c>
      <c r="J25" s="125">
        <v>-56879</v>
      </c>
      <c r="K25" s="117"/>
      <c r="L25" s="122">
        <f t="shared" si="1"/>
        <v>-768435</v>
      </c>
      <c r="M25" s="122">
        <f t="shared" si="2"/>
        <v>2211273</v>
      </c>
    </row>
    <row r="26" spans="1:13" x14ac:dyDescent="0.2">
      <c r="A26" s="123">
        <v>47</v>
      </c>
      <c r="B26" s="123">
        <v>1845</v>
      </c>
      <c r="C26" s="124" t="s">
        <v>163</v>
      </c>
      <c r="D26" s="117">
        <f t="shared" si="3"/>
        <v>79813</v>
      </c>
      <c r="E26" s="125">
        <v>41600</v>
      </c>
      <c r="F26" s="126"/>
      <c r="G26" s="127">
        <f t="shared" si="0"/>
        <v>121413</v>
      </c>
      <c r="H26" s="128"/>
      <c r="I26" s="117">
        <f t="shared" si="4"/>
        <v>-25109</v>
      </c>
      <c r="J26" s="125">
        <v>-3158</v>
      </c>
      <c r="K26" s="117"/>
      <c r="L26" s="122">
        <f t="shared" si="1"/>
        <v>-28267</v>
      </c>
      <c r="M26" s="122">
        <f t="shared" si="2"/>
        <v>93146</v>
      </c>
    </row>
    <row r="27" spans="1:13" x14ac:dyDescent="0.2">
      <c r="A27" s="123">
        <v>47</v>
      </c>
      <c r="B27" s="123">
        <v>1850</v>
      </c>
      <c r="C27" s="124" t="s">
        <v>164</v>
      </c>
      <c r="D27" s="117">
        <f t="shared" si="3"/>
        <v>9871208</v>
      </c>
      <c r="E27" s="125">
        <v>620312</v>
      </c>
      <c r="F27" s="126"/>
      <c r="G27" s="127">
        <f t="shared" si="0"/>
        <v>10491520</v>
      </c>
      <c r="H27" s="128"/>
      <c r="I27" s="117">
        <f t="shared" si="4"/>
        <v>-4130576</v>
      </c>
      <c r="J27" s="125">
        <v>-199856</v>
      </c>
      <c r="K27" s="117"/>
      <c r="L27" s="122">
        <f t="shared" si="1"/>
        <v>-4330432</v>
      </c>
      <c r="M27" s="122">
        <f t="shared" si="2"/>
        <v>6161088</v>
      </c>
    </row>
    <row r="28" spans="1:13" x14ac:dyDescent="0.2">
      <c r="A28" s="123">
        <v>47</v>
      </c>
      <c r="B28" s="123">
        <v>1850</v>
      </c>
      <c r="C28" s="124" t="s">
        <v>165</v>
      </c>
      <c r="D28" s="117">
        <f t="shared" si="3"/>
        <v>2675489</v>
      </c>
      <c r="E28" s="125">
        <v>178699</v>
      </c>
      <c r="F28" s="126"/>
      <c r="G28" s="127">
        <f t="shared" si="0"/>
        <v>2854188</v>
      </c>
      <c r="H28" s="128"/>
      <c r="I28" s="117">
        <f t="shared" si="4"/>
        <v>-754000</v>
      </c>
      <c r="J28" s="125">
        <v>-59837</v>
      </c>
      <c r="K28" s="117"/>
      <c r="L28" s="122">
        <f t="shared" si="1"/>
        <v>-813837</v>
      </c>
      <c r="M28" s="122">
        <f t="shared" si="2"/>
        <v>2040351</v>
      </c>
    </row>
    <row r="29" spans="1:13" x14ac:dyDescent="0.2">
      <c r="A29" s="123">
        <v>47</v>
      </c>
      <c r="B29" s="123">
        <v>1850</v>
      </c>
      <c r="C29" s="124" t="s">
        <v>166</v>
      </c>
      <c r="D29" s="117">
        <f t="shared" si="3"/>
        <v>314345</v>
      </c>
      <c r="E29" s="125">
        <v>69828</v>
      </c>
      <c r="F29" s="126"/>
      <c r="G29" s="127">
        <f t="shared" si="0"/>
        <v>384173</v>
      </c>
      <c r="H29" s="128"/>
      <c r="I29" s="117">
        <f t="shared" si="4"/>
        <v>-97959</v>
      </c>
      <c r="J29" s="125">
        <v>-7525</v>
      </c>
      <c r="K29" s="117"/>
      <c r="L29" s="122">
        <f t="shared" si="1"/>
        <v>-105484</v>
      </c>
      <c r="M29" s="122">
        <f t="shared" si="2"/>
        <v>278689</v>
      </c>
    </row>
    <row r="30" spans="1:13" x14ac:dyDescent="0.2">
      <c r="A30" s="123">
        <v>47</v>
      </c>
      <c r="B30" s="123">
        <v>1850</v>
      </c>
      <c r="C30" s="124" t="s">
        <v>167</v>
      </c>
      <c r="D30" s="117">
        <f t="shared" si="3"/>
        <v>278272</v>
      </c>
      <c r="E30" s="125"/>
      <c r="F30" s="126"/>
      <c r="G30" s="127">
        <f t="shared" si="0"/>
        <v>278272</v>
      </c>
      <c r="H30" s="128"/>
      <c r="I30" s="117">
        <f t="shared" si="4"/>
        <v>0</v>
      </c>
      <c r="J30" s="125"/>
      <c r="K30" s="117"/>
      <c r="L30" s="122">
        <f t="shared" si="1"/>
        <v>0</v>
      </c>
      <c r="M30" s="122">
        <f t="shared" si="2"/>
        <v>278272</v>
      </c>
    </row>
    <row r="31" spans="1:13" x14ac:dyDescent="0.2">
      <c r="A31" s="123">
        <v>47</v>
      </c>
      <c r="B31" s="123">
        <v>1855</v>
      </c>
      <c r="C31" s="124" t="s">
        <v>168</v>
      </c>
      <c r="D31" s="117">
        <f t="shared" si="3"/>
        <v>1068146</v>
      </c>
      <c r="E31" s="125">
        <v>113572</v>
      </c>
      <c r="F31" s="126"/>
      <c r="G31" s="127">
        <f t="shared" si="0"/>
        <v>1181718</v>
      </c>
      <c r="H31" s="128"/>
      <c r="I31" s="117">
        <f t="shared" si="4"/>
        <v>-307793</v>
      </c>
      <c r="J31" s="125">
        <v>-15354</v>
      </c>
      <c r="K31" s="117"/>
      <c r="L31" s="122">
        <f t="shared" si="1"/>
        <v>-323147</v>
      </c>
      <c r="M31" s="122">
        <f t="shared" si="2"/>
        <v>858571</v>
      </c>
    </row>
    <row r="32" spans="1:13" x14ac:dyDescent="0.2">
      <c r="A32" s="123">
        <v>47</v>
      </c>
      <c r="B32" s="123">
        <v>1855</v>
      </c>
      <c r="C32" s="124" t="s">
        <v>169</v>
      </c>
      <c r="D32" s="117">
        <f t="shared" si="3"/>
        <v>1943511</v>
      </c>
      <c r="E32" s="125">
        <v>136725</v>
      </c>
      <c r="F32" s="126"/>
      <c r="G32" s="127">
        <f t="shared" si="0"/>
        <v>2080236</v>
      </c>
      <c r="H32" s="128"/>
      <c r="I32" s="117">
        <f t="shared" si="4"/>
        <v>-580824</v>
      </c>
      <c r="J32" s="125">
        <v>-51426</v>
      </c>
      <c r="K32" s="117"/>
      <c r="L32" s="122">
        <f t="shared" si="1"/>
        <v>-632250</v>
      </c>
      <c r="M32" s="122">
        <f t="shared" si="2"/>
        <v>1447986</v>
      </c>
    </row>
    <row r="33" spans="1:13" x14ac:dyDescent="0.2">
      <c r="A33" s="123">
        <v>47</v>
      </c>
      <c r="B33" s="123">
        <v>1860</v>
      </c>
      <c r="C33" s="124" t="s">
        <v>170</v>
      </c>
      <c r="D33" s="117">
        <f t="shared" si="3"/>
        <v>147114</v>
      </c>
      <c r="E33" s="125">
        <v>87436</v>
      </c>
      <c r="F33" s="126"/>
      <c r="G33" s="127">
        <f t="shared" si="0"/>
        <v>234550</v>
      </c>
      <c r="H33" s="128"/>
      <c r="I33" s="117">
        <f t="shared" si="4"/>
        <v>-28874</v>
      </c>
      <c r="J33" s="125">
        <v>-9642</v>
      </c>
      <c r="K33" s="117"/>
      <c r="L33" s="122">
        <f t="shared" si="1"/>
        <v>-38516</v>
      </c>
      <c r="M33" s="122">
        <f t="shared" si="2"/>
        <v>196034</v>
      </c>
    </row>
    <row r="34" spans="1:13" x14ac:dyDescent="0.2">
      <c r="A34" s="123">
        <v>47</v>
      </c>
      <c r="B34" s="123">
        <v>1860</v>
      </c>
      <c r="C34" s="124" t="s">
        <v>171</v>
      </c>
      <c r="D34" s="117">
        <f t="shared" si="3"/>
        <v>1143683</v>
      </c>
      <c r="E34" s="125">
        <v>34660</v>
      </c>
      <c r="F34" s="126"/>
      <c r="G34" s="127">
        <f t="shared" si="0"/>
        <v>1178343</v>
      </c>
      <c r="H34" s="128"/>
      <c r="I34" s="117">
        <f t="shared" si="4"/>
        <v>-368303</v>
      </c>
      <c r="J34" s="125">
        <v>-191525</v>
      </c>
      <c r="K34" s="117"/>
      <c r="L34" s="122">
        <f t="shared" si="1"/>
        <v>-559828</v>
      </c>
      <c r="M34" s="122">
        <f t="shared" si="2"/>
        <v>618515</v>
      </c>
    </row>
    <row r="35" spans="1:13" x14ac:dyDescent="0.2">
      <c r="A35" s="123">
        <v>47</v>
      </c>
      <c r="B35" s="123">
        <v>1860</v>
      </c>
      <c r="C35" s="124" t="s">
        <v>172</v>
      </c>
      <c r="D35" s="117">
        <f t="shared" si="3"/>
        <v>3783347</v>
      </c>
      <c r="E35" s="125">
        <v>133025</v>
      </c>
      <c r="F35" s="126"/>
      <c r="G35" s="127">
        <f t="shared" si="0"/>
        <v>3916372</v>
      </c>
      <c r="H35" s="128"/>
      <c r="I35" s="117">
        <f t="shared" si="4"/>
        <v>-1002391</v>
      </c>
      <c r="J35" s="125">
        <v>-249381</v>
      </c>
      <c r="K35" s="117"/>
      <c r="L35" s="122">
        <f t="shared" si="1"/>
        <v>-1251772</v>
      </c>
      <c r="M35" s="122">
        <f t="shared" si="2"/>
        <v>2664600</v>
      </c>
    </row>
    <row r="36" spans="1:13" x14ac:dyDescent="0.2">
      <c r="A36" s="129">
        <v>47</v>
      </c>
      <c r="B36" s="129">
        <v>1860</v>
      </c>
      <c r="C36" s="130" t="s">
        <v>173</v>
      </c>
      <c r="D36" s="117">
        <f t="shared" si="3"/>
        <v>0</v>
      </c>
      <c r="E36" s="125"/>
      <c r="F36" s="117"/>
      <c r="G36" s="127">
        <f t="shared" si="0"/>
        <v>0</v>
      </c>
      <c r="H36" s="128"/>
      <c r="I36" s="117">
        <f t="shared" si="4"/>
        <v>0</v>
      </c>
      <c r="J36" s="125"/>
      <c r="K36" s="117"/>
      <c r="L36" s="122">
        <f t="shared" si="1"/>
        <v>0</v>
      </c>
      <c r="M36" s="122">
        <f t="shared" si="2"/>
        <v>0</v>
      </c>
    </row>
    <row r="37" spans="1:13" x14ac:dyDescent="0.2">
      <c r="A37" s="129">
        <v>47</v>
      </c>
      <c r="B37" s="129">
        <v>1860</v>
      </c>
      <c r="C37" s="130" t="s">
        <v>174</v>
      </c>
      <c r="D37" s="117">
        <f t="shared" si="3"/>
        <v>167832</v>
      </c>
      <c r="E37" s="125"/>
      <c r="F37" s="126"/>
      <c r="G37" s="127">
        <f t="shared" si="0"/>
        <v>167832</v>
      </c>
      <c r="H37" s="128"/>
      <c r="I37" s="117">
        <f t="shared" si="4"/>
        <v>0</v>
      </c>
      <c r="J37" s="125"/>
      <c r="K37" s="117"/>
      <c r="L37" s="122">
        <f t="shared" si="1"/>
        <v>0</v>
      </c>
      <c r="M37" s="122">
        <f t="shared" si="2"/>
        <v>167832</v>
      </c>
    </row>
    <row r="38" spans="1:13" x14ac:dyDescent="0.2">
      <c r="A38" s="129" t="s">
        <v>175</v>
      </c>
      <c r="B38" s="129">
        <v>1905</v>
      </c>
      <c r="C38" s="130" t="s">
        <v>176</v>
      </c>
      <c r="D38" s="117">
        <f t="shared" si="3"/>
        <v>127139</v>
      </c>
      <c r="E38" s="125"/>
      <c r="F38" s="126"/>
      <c r="G38" s="127">
        <f t="shared" si="0"/>
        <v>127139</v>
      </c>
      <c r="H38" s="128"/>
      <c r="I38" s="117">
        <f t="shared" si="4"/>
        <v>0</v>
      </c>
      <c r="J38" s="125"/>
      <c r="K38" s="117"/>
      <c r="L38" s="122">
        <f t="shared" si="1"/>
        <v>0</v>
      </c>
      <c r="M38" s="122">
        <f t="shared" si="2"/>
        <v>127139</v>
      </c>
    </row>
    <row r="39" spans="1:13" x14ac:dyDescent="0.2">
      <c r="A39" s="123" t="s">
        <v>152</v>
      </c>
      <c r="B39" s="123">
        <v>1612</v>
      </c>
      <c r="C39" s="124" t="s">
        <v>177</v>
      </c>
      <c r="D39" s="117">
        <f t="shared" si="3"/>
        <v>695389</v>
      </c>
      <c r="E39" s="125"/>
      <c r="F39" s="126"/>
      <c r="G39" s="127">
        <f>D39+E39+F39</f>
        <v>695389</v>
      </c>
      <c r="H39" s="128"/>
      <c r="I39" s="117">
        <f t="shared" si="4"/>
        <v>-280613</v>
      </c>
      <c r="J39" s="125">
        <v>-20720</v>
      </c>
      <c r="K39" s="117"/>
      <c r="L39" s="122">
        <f>I39+J39+K39</f>
        <v>-301333</v>
      </c>
      <c r="M39" s="122">
        <f>G39+L39</f>
        <v>394056</v>
      </c>
    </row>
    <row r="40" spans="1:13" x14ac:dyDescent="0.2">
      <c r="A40" s="123" t="s">
        <v>178</v>
      </c>
      <c r="B40" s="123">
        <v>1908</v>
      </c>
      <c r="C40" s="124" t="s">
        <v>179</v>
      </c>
      <c r="D40" s="117">
        <f t="shared" si="3"/>
        <v>2191968</v>
      </c>
      <c r="E40" s="125"/>
      <c r="F40" s="126"/>
      <c r="G40" s="127">
        <f t="shared" ref="G40:G42" si="5">D40+E40+F40</f>
        <v>2191968</v>
      </c>
      <c r="H40" s="128"/>
      <c r="I40" s="117">
        <f t="shared" si="4"/>
        <v>-519314</v>
      </c>
      <c r="J40" s="125">
        <v>-51730</v>
      </c>
      <c r="K40" s="117"/>
      <c r="L40" s="122">
        <f t="shared" ref="L40:L42" si="6">I40+J40+K40</f>
        <v>-571044</v>
      </c>
      <c r="M40" s="122">
        <f t="shared" ref="M40:M42" si="7">G40+L40</f>
        <v>1620924</v>
      </c>
    </row>
    <row r="41" spans="1:13" x14ac:dyDescent="0.2">
      <c r="A41" s="123">
        <v>8</v>
      </c>
      <c r="B41" s="123">
        <v>1915</v>
      </c>
      <c r="C41" s="124" t="s">
        <v>180</v>
      </c>
      <c r="D41" s="117">
        <f t="shared" si="3"/>
        <v>377813</v>
      </c>
      <c r="E41" s="125">
        <v>5000</v>
      </c>
      <c r="F41" s="126"/>
      <c r="G41" s="127">
        <f t="shared" si="5"/>
        <v>382813</v>
      </c>
      <c r="H41" s="128"/>
      <c r="I41" s="117">
        <f t="shared" si="4"/>
        <v>-283142</v>
      </c>
      <c r="J41" s="125">
        <v>-22864</v>
      </c>
      <c r="K41" s="117"/>
      <c r="L41" s="122">
        <f t="shared" si="6"/>
        <v>-306006</v>
      </c>
      <c r="M41" s="122">
        <f t="shared" si="7"/>
        <v>76807</v>
      </c>
    </row>
    <row r="42" spans="1:13" x14ac:dyDescent="0.2">
      <c r="A42" s="123">
        <v>50</v>
      </c>
      <c r="B42" s="123">
        <v>1920</v>
      </c>
      <c r="C42" s="124" t="s">
        <v>181</v>
      </c>
      <c r="D42" s="117">
        <f t="shared" si="3"/>
        <v>633765</v>
      </c>
      <c r="E42" s="125">
        <v>109344</v>
      </c>
      <c r="F42" s="126"/>
      <c r="G42" s="127">
        <f t="shared" si="5"/>
        <v>743109</v>
      </c>
      <c r="H42" s="128"/>
      <c r="I42" s="117">
        <f t="shared" si="4"/>
        <v>-466066</v>
      </c>
      <c r="J42" s="125">
        <v>-64095</v>
      </c>
      <c r="K42" s="117"/>
      <c r="L42" s="122">
        <f t="shared" si="6"/>
        <v>-530161</v>
      </c>
      <c r="M42" s="122">
        <f t="shared" si="7"/>
        <v>212948</v>
      </c>
    </row>
    <row r="43" spans="1:13" x14ac:dyDescent="0.2">
      <c r="A43" s="123">
        <v>50</v>
      </c>
      <c r="B43" s="123">
        <v>1611</v>
      </c>
      <c r="C43" s="124" t="s">
        <v>182</v>
      </c>
      <c r="D43" s="117">
        <f t="shared" si="3"/>
        <v>2861085</v>
      </c>
      <c r="E43" s="125">
        <v>280645</v>
      </c>
      <c r="F43" s="126"/>
      <c r="G43" s="127">
        <f>D43+E43+F43</f>
        <v>3141730</v>
      </c>
      <c r="H43" s="128"/>
      <c r="I43" s="117">
        <f t="shared" si="4"/>
        <v>-2426969</v>
      </c>
      <c r="J43" s="125">
        <v>-201295</v>
      </c>
      <c r="K43" s="117"/>
      <c r="L43" s="122">
        <f>I43+J43+K43</f>
        <v>-2628264</v>
      </c>
      <c r="M43" s="122">
        <f>G43+L43</f>
        <v>513466</v>
      </c>
    </row>
    <row r="44" spans="1:13" x14ac:dyDescent="0.2">
      <c r="A44" s="123">
        <v>10</v>
      </c>
      <c r="B44" s="123">
        <v>1930</v>
      </c>
      <c r="C44" s="124" t="s">
        <v>183</v>
      </c>
      <c r="D44" s="117">
        <f t="shared" si="3"/>
        <v>1934748</v>
      </c>
      <c r="E44" s="125"/>
      <c r="F44" s="126"/>
      <c r="G44" s="127">
        <f t="shared" ref="G44:G64" si="8">D44+E44+F44</f>
        <v>1934748</v>
      </c>
      <c r="H44" s="128"/>
      <c r="I44" s="117">
        <f t="shared" si="4"/>
        <v>-952321</v>
      </c>
      <c r="J44" s="125">
        <v>-107393</v>
      </c>
      <c r="K44" s="117"/>
      <c r="L44" s="122">
        <f t="shared" ref="L44:L64" si="9">I44+J44+K44</f>
        <v>-1059714</v>
      </c>
      <c r="M44" s="122">
        <f t="shared" ref="M44:M64" si="10">G44+L44</f>
        <v>875034</v>
      </c>
    </row>
    <row r="45" spans="1:13" x14ac:dyDescent="0.2">
      <c r="A45" s="123">
        <v>10</v>
      </c>
      <c r="B45" s="123">
        <v>1930</v>
      </c>
      <c r="C45" s="124" t="s">
        <v>184</v>
      </c>
      <c r="D45" s="117">
        <f t="shared" si="3"/>
        <v>399291</v>
      </c>
      <c r="E45" s="125">
        <v>218400</v>
      </c>
      <c r="F45" s="126"/>
      <c r="G45" s="127">
        <f t="shared" si="8"/>
        <v>617691</v>
      </c>
      <c r="H45" s="128"/>
      <c r="I45" s="117">
        <f t="shared" si="4"/>
        <v>-267464</v>
      </c>
      <c r="J45" s="125">
        <v>-54522</v>
      </c>
      <c r="K45" s="117"/>
      <c r="L45" s="122">
        <f t="shared" si="9"/>
        <v>-321986</v>
      </c>
      <c r="M45" s="122">
        <f t="shared" si="10"/>
        <v>295705</v>
      </c>
    </row>
    <row r="46" spans="1:13" x14ac:dyDescent="0.2">
      <c r="A46" s="123">
        <v>10</v>
      </c>
      <c r="B46" s="123">
        <v>1930</v>
      </c>
      <c r="C46" s="124" t="s">
        <v>185</v>
      </c>
      <c r="D46" s="117">
        <f t="shared" si="3"/>
        <v>83837</v>
      </c>
      <c r="E46" s="125"/>
      <c r="F46" s="126"/>
      <c r="G46" s="127">
        <f t="shared" si="8"/>
        <v>83837</v>
      </c>
      <c r="H46" s="128"/>
      <c r="I46" s="117">
        <f t="shared" si="4"/>
        <v>-53150</v>
      </c>
      <c r="J46" s="125">
        <v>-2000</v>
      </c>
      <c r="K46" s="117"/>
      <c r="L46" s="122">
        <f t="shared" si="9"/>
        <v>-55150</v>
      </c>
      <c r="M46" s="122">
        <f t="shared" si="10"/>
        <v>28687</v>
      </c>
    </row>
    <row r="47" spans="1:13" x14ac:dyDescent="0.2">
      <c r="A47" s="123">
        <v>8</v>
      </c>
      <c r="B47" s="123">
        <v>1940</v>
      </c>
      <c r="C47" s="124" t="s">
        <v>186</v>
      </c>
      <c r="D47" s="117">
        <f t="shared" si="3"/>
        <v>833184</v>
      </c>
      <c r="E47" s="125">
        <v>67250</v>
      </c>
      <c r="F47" s="126"/>
      <c r="G47" s="127">
        <f t="shared" si="8"/>
        <v>900434</v>
      </c>
      <c r="H47" s="128"/>
      <c r="I47" s="117">
        <f t="shared" si="4"/>
        <v>-508823</v>
      </c>
      <c r="J47" s="125">
        <v>-56846</v>
      </c>
      <c r="K47" s="117"/>
      <c r="L47" s="122">
        <f t="shared" si="9"/>
        <v>-565669</v>
      </c>
      <c r="M47" s="122">
        <f t="shared" si="10"/>
        <v>334765</v>
      </c>
    </row>
    <row r="48" spans="1:13" x14ac:dyDescent="0.2">
      <c r="A48" s="123">
        <v>8</v>
      </c>
      <c r="B48" s="123">
        <v>1955</v>
      </c>
      <c r="C48" s="124" t="s">
        <v>187</v>
      </c>
      <c r="D48" s="117">
        <f t="shared" si="3"/>
        <v>68074</v>
      </c>
      <c r="E48" s="125"/>
      <c r="F48" s="126"/>
      <c r="G48" s="127">
        <f t="shared" si="8"/>
        <v>68074</v>
      </c>
      <c r="H48" s="128"/>
      <c r="I48" s="117">
        <f t="shared" si="4"/>
        <v>-61805</v>
      </c>
      <c r="J48" s="125">
        <v>-3861</v>
      </c>
      <c r="K48" s="117"/>
      <c r="L48" s="122">
        <f t="shared" si="9"/>
        <v>-65666</v>
      </c>
      <c r="M48" s="122">
        <f t="shared" si="10"/>
        <v>2408</v>
      </c>
    </row>
    <row r="49" spans="1:13" x14ac:dyDescent="0.2">
      <c r="A49" s="123">
        <v>47</v>
      </c>
      <c r="B49" s="123">
        <v>1995</v>
      </c>
      <c r="C49" s="124" t="s">
        <v>188</v>
      </c>
      <c r="D49" s="117">
        <f t="shared" si="3"/>
        <v>-845112</v>
      </c>
      <c r="E49" s="125">
        <v>-38153</v>
      </c>
      <c r="F49" s="126"/>
      <c r="G49" s="122">
        <f t="shared" si="8"/>
        <v>-883265</v>
      </c>
      <c r="H49" s="128"/>
      <c r="I49" s="117">
        <f t="shared" si="4"/>
        <v>199361</v>
      </c>
      <c r="J49" s="125">
        <v>15135</v>
      </c>
      <c r="K49" s="125"/>
      <c r="L49" s="122">
        <f t="shared" si="9"/>
        <v>214496</v>
      </c>
      <c r="M49" s="122">
        <f t="shared" si="10"/>
        <v>-668769</v>
      </c>
    </row>
    <row r="50" spans="1:13" x14ac:dyDescent="0.2">
      <c r="A50" s="123">
        <v>47</v>
      </c>
      <c r="B50" s="123">
        <v>1995</v>
      </c>
      <c r="C50" s="124" t="s">
        <v>189</v>
      </c>
      <c r="D50" s="117">
        <f t="shared" si="3"/>
        <v>0</v>
      </c>
      <c r="E50" s="125"/>
      <c r="F50" s="126"/>
      <c r="G50" s="122">
        <f t="shared" si="8"/>
        <v>0</v>
      </c>
      <c r="H50" s="128"/>
      <c r="I50" s="117">
        <f t="shared" si="4"/>
        <v>0</v>
      </c>
      <c r="J50" s="125">
        <v>0</v>
      </c>
      <c r="K50" s="125"/>
      <c r="L50" s="122">
        <f t="shared" si="9"/>
        <v>0</v>
      </c>
      <c r="M50" s="122">
        <f t="shared" si="10"/>
        <v>0</v>
      </c>
    </row>
    <row r="51" spans="1:13" x14ac:dyDescent="0.2">
      <c r="A51" s="123">
        <v>47</v>
      </c>
      <c r="B51" s="123">
        <v>1995</v>
      </c>
      <c r="C51" s="124" t="s">
        <v>190</v>
      </c>
      <c r="D51" s="117">
        <f t="shared" si="3"/>
        <v>-217678</v>
      </c>
      <c r="E51" s="125">
        <v>-5254</v>
      </c>
      <c r="F51" s="126"/>
      <c r="G51" s="122">
        <f t="shared" si="8"/>
        <v>-222932</v>
      </c>
      <c r="H51" s="128"/>
      <c r="I51" s="117">
        <f t="shared" si="4"/>
        <v>43670</v>
      </c>
      <c r="J51" s="125">
        <v>3973</v>
      </c>
      <c r="K51" s="125"/>
      <c r="L51" s="122">
        <f t="shared" si="9"/>
        <v>47643</v>
      </c>
      <c r="M51" s="122">
        <f t="shared" si="10"/>
        <v>-175289</v>
      </c>
    </row>
    <row r="52" spans="1:13" x14ac:dyDescent="0.2">
      <c r="A52" s="123">
        <v>47</v>
      </c>
      <c r="B52" s="123">
        <v>1995</v>
      </c>
      <c r="C52" s="124" t="s">
        <v>191</v>
      </c>
      <c r="D52" s="117">
        <f t="shared" si="3"/>
        <v>-8425</v>
      </c>
      <c r="E52" s="125"/>
      <c r="F52" s="126"/>
      <c r="G52" s="122">
        <f t="shared" si="8"/>
        <v>-8425</v>
      </c>
      <c r="H52" s="128"/>
      <c r="I52" s="117">
        <f t="shared" si="4"/>
        <v>1891</v>
      </c>
      <c r="J52" s="125">
        <v>167</v>
      </c>
      <c r="K52" s="125"/>
      <c r="L52" s="122">
        <f t="shared" si="9"/>
        <v>2058</v>
      </c>
      <c r="M52" s="122">
        <f t="shared" si="10"/>
        <v>-6367</v>
      </c>
    </row>
    <row r="53" spans="1:13" x14ac:dyDescent="0.2">
      <c r="A53" s="123">
        <v>47</v>
      </c>
      <c r="B53" s="123">
        <v>1995</v>
      </c>
      <c r="C53" s="124" t="s">
        <v>192</v>
      </c>
      <c r="D53" s="117">
        <f t="shared" si="3"/>
        <v>-7384</v>
      </c>
      <c r="E53" s="125"/>
      <c r="F53" s="126"/>
      <c r="G53" s="122">
        <f t="shared" si="8"/>
        <v>-7384</v>
      </c>
      <c r="H53" s="128"/>
      <c r="I53" s="117">
        <f t="shared" si="4"/>
        <v>1677</v>
      </c>
      <c r="J53" s="125">
        <v>168</v>
      </c>
      <c r="K53" s="125"/>
      <c r="L53" s="122">
        <f t="shared" si="9"/>
        <v>1845</v>
      </c>
      <c r="M53" s="122">
        <f t="shared" si="10"/>
        <v>-5539</v>
      </c>
    </row>
    <row r="54" spans="1:13" x14ac:dyDescent="0.2">
      <c r="A54" s="123">
        <v>47</v>
      </c>
      <c r="B54" s="123">
        <v>1995</v>
      </c>
      <c r="C54" s="124" t="s">
        <v>193</v>
      </c>
      <c r="D54" s="117">
        <f t="shared" si="3"/>
        <v>-364861</v>
      </c>
      <c r="E54" s="125">
        <v>-16303</v>
      </c>
      <c r="F54" s="126"/>
      <c r="G54" s="122">
        <f t="shared" si="8"/>
        <v>-381164</v>
      </c>
      <c r="H54" s="128"/>
      <c r="I54" s="117">
        <f t="shared" si="4"/>
        <v>72097</v>
      </c>
      <c r="J54" s="125">
        <v>6712</v>
      </c>
      <c r="K54" s="125"/>
      <c r="L54" s="122">
        <f t="shared" si="9"/>
        <v>78809</v>
      </c>
      <c r="M54" s="122">
        <f t="shared" si="10"/>
        <v>-302355</v>
      </c>
    </row>
    <row r="55" spans="1:13" x14ac:dyDescent="0.2">
      <c r="A55" s="123">
        <v>47</v>
      </c>
      <c r="B55" s="123">
        <v>1995</v>
      </c>
      <c r="C55" s="124" t="s">
        <v>194</v>
      </c>
      <c r="D55" s="117">
        <f t="shared" si="3"/>
        <v>-1127854</v>
      </c>
      <c r="E55" s="125"/>
      <c r="F55" s="126"/>
      <c r="G55" s="122">
        <f t="shared" si="8"/>
        <v>-1127854</v>
      </c>
      <c r="H55" s="128"/>
      <c r="I55" s="117">
        <f t="shared" si="4"/>
        <v>298441</v>
      </c>
      <c r="J55" s="125">
        <v>36234</v>
      </c>
      <c r="K55" s="125"/>
      <c r="L55" s="122">
        <f t="shared" si="9"/>
        <v>334675</v>
      </c>
      <c r="M55" s="122">
        <f t="shared" si="10"/>
        <v>-793179</v>
      </c>
    </row>
    <row r="56" spans="1:13" x14ac:dyDescent="0.2">
      <c r="A56" s="123">
        <v>47</v>
      </c>
      <c r="B56" s="123">
        <v>1995</v>
      </c>
      <c r="C56" s="124" t="s">
        <v>195</v>
      </c>
      <c r="D56" s="117">
        <f t="shared" si="3"/>
        <v>-803075</v>
      </c>
      <c r="E56" s="125">
        <v>-166761</v>
      </c>
      <c r="F56" s="126"/>
      <c r="G56" s="122">
        <f t="shared" si="8"/>
        <v>-969836</v>
      </c>
      <c r="H56" s="128"/>
      <c r="I56" s="117">
        <f t="shared" si="4"/>
        <v>68554</v>
      </c>
      <c r="J56" s="125">
        <v>21545</v>
      </c>
      <c r="K56" s="125"/>
      <c r="L56" s="122">
        <f t="shared" si="9"/>
        <v>90099</v>
      </c>
      <c r="M56" s="122">
        <f t="shared" si="10"/>
        <v>-879737</v>
      </c>
    </row>
    <row r="57" spans="1:13" x14ac:dyDescent="0.2">
      <c r="A57" s="123">
        <v>47</v>
      </c>
      <c r="B57" s="123">
        <v>1995</v>
      </c>
      <c r="C57" s="124" t="s">
        <v>196</v>
      </c>
      <c r="D57" s="117">
        <f t="shared" si="3"/>
        <v>-725057</v>
      </c>
      <c r="E57" s="125">
        <v>-31658</v>
      </c>
      <c r="F57" s="126"/>
      <c r="G57" s="122">
        <f t="shared" si="8"/>
        <v>-756715</v>
      </c>
      <c r="H57" s="128"/>
      <c r="I57" s="117">
        <f t="shared" si="4"/>
        <v>194987</v>
      </c>
      <c r="J57" s="125">
        <v>16535</v>
      </c>
      <c r="K57" s="125"/>
      <c r="L57" s="122">
        <f t="shared" si="9"/>
        <v>211522</v>
      </c>
      <c r="M57" s="122">
        <f t="shared" si="10"/>
        <v>-545193</v>
      </c>
    </row>
    <row r="58" spans="1:13" x14ac:dyDescent="0.2">
      <c r="A58" s="123">
        <v>47</v>
      </c>
      <c r="B58" s="123">
        <v>1995</v>
      </c>
      <c r="C58" s="124" t="s">
        <v>197</v>
      </c>
      <c r="D58" s="117">
        <f t="shared" si="3"/>
        <v>-352415</v>
      </c>
      <c r="E58" s="125">
        <v>-44297</v>
      </c>
      <c r="F58" s="126"/>
      <c r="G58" s="122">
        <f t="shared" si="8"/>
        <v>-396712</v>
      </c>
      <c r="H58" s="128"/>
      <c r="I58" s="117">
        <f t="shared" si="4"/>
        <v>50295</v>
      </c>
      <c r="J58" s="125">
        <v>8856</v>
      </c>
      <c r="K58" s="125"/>
      <c r="L58" s="122">
        <f t="shared" si="9"/>
        <v>59151</v>
      </c>
      <c r="M58" s="122">
        <f t="shared" si="10"/>
        <v>-337561</v>
      </c>
    </row>
    <row r="59" spans="1:13" x14ac:dyDescent="0.2">
      <c r="A59" s="123">
        <v>47</v>
      </c>
      <c r="B59" s="123">
        <v>1995</v>
      </c>
      <c r="C59" s="124" t="s">
        <v>198</v>
      </c>
      <c r="D59" s="117">
        <f t="shared" si="3"/>
        <v>-23421</v>
      </c>
      <c r="E59" s="125"/>
      <c r="F59" s="126"/>
      <c r="G59" s="122">
        <f t="shared" si="8"/>
        <v>-23421</v>
      </c>
      <c r="H59" s="128"/>
      <c r="I59" s="117">
        <f t="shared" si="4"/>
        <v>6481</v>
      </c>
      <c r="J59" s="125">
        <v>520</v>
      </c>
      <c r="K59" s="125"/>
      <c r="L59" s="122">
        <f t="shared" si="9"/>
        <v>7001</v>
      </c>
      <c r="M59" s="122">
        <f t="shared" si="10"/>
        <v>-16420</v>
      </c>
    </row>
    <row r="60" spans="1:13" x14ac:dyDescent="0.2">
      <c r="A60" s="123">
        <v>47</v>
      </c>
      <c r="B60" s="123">
        <v>1995</v>
      </c>
      <c r="C60" s="124" t="s">
        <v>199</v>
      </c>
      <c r="D60" s="117">
        <f t="shared" si="3"/>
        <v>-150616</v>
      </c>
      <c r="E60" s="125">
        <v>-19639</v>
      </c>
      <c r="F60" s="126"/>
      <c r="G60" s="122">
        <f t="shared" si="8"/>
        <v>-170255</v>
      </c>
      <c r="H60" s="128"/>
      <c r="I60" s="117">
        <f t="shared" si="4"/>
        <v>42164</v>
      </c>
      <c r="J60" s="125">
        <v>2238</v>
      </c>
      <c r="K60" s="125"/>
      <c r="L60" s="122">
        <f t="shared" si="9"/>
        <v>44402</v>
      </c>
      <c r="M60" s="122">
        <f t="shared" si="10"/>
        <v>-125853</v>
      </c>
    </row>
    <row r="61" spans="1:13" x14ac:dyDescent="0.2">
      <c r="A61" s="123">
        <v>47</v>
      </c>
      <c r="B61" s="123">
        <v>1995</v>
      </c>
      <c r="C61" s="124" t="s">
        <v>200</v>
      </c>
      <c r="D61" s="117">
        <f t="shared" si="3"/>
        <v>-259393</v>
      </c>
      <c r="E61" s="125">
        <v>-24179</v>
      </c>
      <c r="F61" s="126"/>
      <c r="G61" s="122">
        <f t="shared" si="8"/>
        <v>-283572</v>
      </c>
      <c r="H61" s="128"/>
      <c r="I61" s="117">
        <f t="shared" si="4"/>
        <v>72786</v>
      </c>
      <c r="J61" s="125">
        <v>7102</v>
      </c>
      <c r="K61" s="125"/>
      <c r="L61" s="122">
        <f t="shared" si="9"/>
        <v>79888</v>
      </c>
      <c r="M61" s="122">
        <f t="shared" si="10"/>
        <v>-203684</v>
      </c>
    </row>
    <row r="62" spans="1:13" x14ac:dyDescent="0.2">
      <c r="A62" s="123">
        <v>47</v>
      </c>
      <c r="B62" s="123">
        <v>1995</v>
      </c>
      <c r="C62" s="124" t="s">
        <v>201</v>
      </c>
      <c r="D62" s="117">
        <f t="shared" si="3"/>
        <v>-156852</v>
      </c>
      <c r="E62" s="125"/>
      <c r="F62" s="126"/>
      <c r="G62" s="122">
        <f t="shared" si="8"/>
        <v>-156852</v>
      </c>
      <c r="H62" s="128"/>
      <c r="I62" s="117">
        <f t="shared" si="4"/>
        <v>30390</v>
      </c>
      <c r="J62" s="125">
        <v>8431</v>
      </c>
      <c r="K62" s="125"/>
      <c r="L62" s="122">
        <f t="shared" si="9"/>
        <v>38821</v>
      </c>
      <c r="M62" s="122">
        <f t="shared" si="10"/>
        <v>-118031</v>
      </c>
    </row>
    <row r="63" spans="1:13" ht="25.5" x14ac:dyDescent="0.2">
      <c r="A63" s="115">
        <v>47</v>
      </c>
      <c r="B63" s="115">
        <v>1995</v>
      </c>
      <c r="C63" s="116" t="s">
        <v>202</v>
      </c>
      <c r="D63" s="117">
        <f t="shared" si="3"/>
        <v>-31625</v>
      </c>
      <c r="E63" s="118">
        <v>-1672</v>
      </c>
      <c r="F63" s="119"/>
      <c r="G63" s="122">
        <f t="shared" si="8"/>
        <v>-33297</v>
      </c>
      <c r="H63" s="121"/>
      <c r="I63" s="117">
        <f t="shared" si="4"/>
        <v>9077</v>
      </c>
      <c r="J63" s="125">
        <v>3009</v>
      </c>
      <c r="K63" s="125"/>
      <c r="L63" s="122">
        <f t="shared" si="9"/>
        <v>12086</v>
      </c>
      <c r="M63" s="122">
        <f t="shared" si="10"/>
        <v>-21211</v>
      </c>
    </row>
    <row r="64" spans="1:13" x14ac:dyDescent="0.2">
      <c r="A64" s="123">
        <v>47</v>
      </c>
      <c r="B64" s="123">
        <v>1995</v>
      </c>
      <c r="C64" s="124" t="s">
        <v>203</v>
      </c>
      <c r="D64" s="117">
        <f t="shared" si="3"/>
        <v>-109350</v>
      </c>
      <c r="E64" s="125">
        <v>-6149</v>
      </c>
      <c r="F64" s="126"/>
      <c r="G64" s="122">
        <f t="shared" si="8"/>
        <v>-115499</v>
      </c>
      <c r="H64" s="128"/>
      <c r="I64" s="117">
        <f t="shared" si="4"/>
        <v>31269</v>
      </c>
      <c r="J64" s="125">
        <v>10404</v>
      </c>
      <c r="K64" s="125"/>
      <c r="L64" s="122">
        <f t="shared" si="9"/>
        <v>41673</v>
      </c>
      <c r="M64" s="122">
        <f t="shared" si="10"/>
        <v>-73826</v>
      </c>
    </row>
    <row r="65" spans="1:14" x14ac:dyDescent="0.2">
      <c r="A65" s="131"/>
      <c r="B65" s="131" t="s">
        <v>204</v>
      </c>
      <c r="C65" s="132"/>
      <c r="D65" s="117"/>
      <c r="E65" s="126"/>
      <c r="F65" s="126"/>
      <c r="G65" s="127"/>
      <c r="H65" s="102"/>
      <c r="I65" s="126"/>
      <c r="J65" s="126"/>
      <c r="K65" s="126"/>
      <c r="L65" s="127"/>
      <c r="M65" s="133"/>
    </row>
    <row r="66" spans="1:14" x14ac:dyDescent="0.2">
      <c r="A66" s="131"/>
      <c r="B66" s="131"/>
      <c r="C66" s="132" t="s">
        <v>51</v>
      </c>
      <c r="D66" s="133">
        <f>SUM(D16:D65)</f>
        <v>73790500</v>
      </c>
      <c r="E66" s="133">
        <f>SUM(E16:E65)</f>
        <v>7120087</v>
      </c>
      <c r="F66" s="134">
        <f>SUM(F16:F65)</f>
        <v>0</v>
      </c>
      <c r="G66" s="133">
        <f>SUM(G16:G65)</f>
        <v>80910587</v>
      </c>
      <c r="H66" s="133"/>
      <c r="I66" s="134">
        <f>SUM(I16:I65)</f>
        <v>-30175394</v>
      </c>
      <c r="J66" s="134">
        <f>SUM(J16:J65)</f>
        <v>-2081873</v>
      </c>
      <c r="K66" s="133">
        <f>SUM(K16:K65)</f>
        <v>0</v>
      </c>
      <c r="L66" s="134">
        <f>SUM(L16:L65)</f>
        <v>-32257267</v>
      </c>
      <c r="M66" s="133">
        <f>SUM(M16:M65)</f>
        <v>48653320</v>
      </c>
    </row>
    <row r="67" spans="1:14" ht="25.5" x14ac:dyDescent="0.2">
      <c r="A67" s="131"/>
      <c r="B67" s="131"/>
      <c r="C67" s="124" t="s">
        <v>205</v>
      </c>
      <c r="D67" s="135"/>
      <c r="E67" s="135"/>
      <c r="F67" s="135"/>
      <c r="G67" s="127">
        <f t="shared" ref="G67:G68" si="11">D67+E67+F67</f>
        <v>0</v>
      </c>
      <c r="H67" s="102"/>
      <c r="I67" s="135"/>
      <c r="J67" s="135"/>
      <c r="K67" s="135"/>
      <c r="L67" s="127">
        <f t="shared" ref="L67:L68" si="12">I67+J67+K67</f>
        <v>0</v>
      </c>
      <c r="M67" s="133">
        <f t="shared" ref="M67:M68" si="13">G67+L67</f>
        <v>0</v>
      </c>
    </row>
    <row r="68" spans="1:14" ht="25.5" x14ac:dyDescent="0.2">
      <c r="A68" s="131"/>
      <c r="B68" s="131"/>
      <c r="C68" s="136" t="s">
        <v>206</v>
      </c>
      <c r="D68" s="135"/>
      <c r="E68" s="135"/>
      <c r="F68" s="135"/>
      <c r="G68" s="127">
        <f t="shared" si="11"/>
        <v>0</v>
      </c>
      <c r="H68" s="102"/>
      <c r="I68" s="135"/>
      <c r="J68" s="135"/>
      <c r="K68" s="135"/>
      <c r="L68" s="127">
        <f t="shared" si="12"/>
        <v>0</v>
      </c>
      <c r="M68" s="133">
        <f t="shared" si="13"/>
        <v>0</v>
      </c>
    </row>
    <row r="69" spans="1:14" x14ac:dyDescent="0.2">
      <c r="A69" s="131"/>
      <c r="B69" s="131"/>
      <c r="C69" s="132" t="s">
        <v>207</v>
      </c>
      <c r="D69" s="133">
        <f>SUM(D66:D68)</f>
        <v>73790500</v>
      </c>
      <c r="E69" s="133">
        <f t="shared" ref="E69:G69" si="14">SUM(E66:E68)</f>
        <v>7120087</v>
      </c>
      <c r="F69" s="134">
        <f t="shared" si="14"/>
        <v>0</v>
      </c>
      <c r="G69" s="133">
        <f t="shared" si="14"/>
        <v>80910587</v>
      </c>
      <c r="H69" s="133"/>
      <c r="I69" s="134">
        <f t="shared" ref="I69:M69" si="15">SUM(I66:I68)</f>
        <v>-30175394</v>
      </c>
      <c r="J69" s="134">
        <f t="shared" si="15"/>
        <v>-2081873</v>
      </c>
      <c r="K69" s="133">
        <f t="shared" si="15"/>
        <v>0</v>
      </c>
      <c r="L69" s="134">
        <f t="shared" si="15"/>
        <v>-32257267</v>
      </c>
      <c r="M69" s="133">
        <f t="shared" si="15"/>
        <v>48653320</v>
      </c>
    </row>
    <row r="70" spans="1:14" x14ac:dyDescent="0.2">
      <c r="C70" s="97"/>
      <c r="D70" s="97"/>
      <c r="E70" s="97"/>
      <c r="F70" s="97"/>
      <c r="G70" s="97"/>
      <c r="H70" s="102"/>
      <c r="I70" s="97"/>
      <c r="J70" s="97"/>
      <c r="K70" s="97"/>
      <c r="L70" s="97"/>
      <c r="M70" s="97"/>
    </row>
    <row r="71" spans="1:14" x14ac:dyDescent="0.2">
      <c r="C71" s="97"/>
      <c r="D71" s="97"/>
      <c r="E71" s="97"/>
      <c r="F71" s="97"/>
      <c r="G71" s="137" t="s">
        <v>208</v>
      </c>
      <c r="H71" s="102"/>
      <c r="I71" s="97"/>
      <c r="J71" s="137"/>
      <c r="K71" s="97"/>
      <c r="L71" s="97"/>
      <c r="M71" s="97"/>
    </row>
    <row r="72" spans="1:14" x14ac:dyDescent="0.2">
      <c r="A72" s="138"/>
      <c r="B72" s="138"/>
      <c r="C72" s="102"/>
      <c r="D72" s="97"/>
      <c r="E72" s="97"/>
      <c r="F72" s="97"/>
      <c r="G72" s="137" t="s">
        <v>209</v>
      </c>
      <c r="H72" s="102"/>
      <c r="I72" s="97"/>
      <c r="J72" s="117">
        <v>916</v>
      </c>
      <c r="K72" s="97"/>
      <c r="L72" s="97"/>
      <c r="M72" s="97"/>
    </row>
    <row r="73" spans="1:14" x14ac:dyDescent="0.2">
      <c r="A73" s="138"/>
      <c r="B73" s="138"/>
      <c r="C73" s="102"/>
      <c r="D73" s="97"/>
      <c r="E73" s="97"/>
      <c r="F73" s="97"/>
      <c r="G73" s="137" t="s">
        <v>210</v>
      </c>
      <c r="H73" s="102"/>
      <c r="I73" s="97"/>
      <c r="J73" s="117">
        <v>405</v>
      </c>
      <c r="K73" s="97"/>
      <c r="L73" s="97"/>
      <c r="M73" s="97"/>
    </row>
    <row r="74" spans="1:14" x14ac:dyDescent="0.2">
      <c r="A74" s="138"/>
      <c r="B74" s="138"/>
      <c r="C74" s="102"/>
      <c r="D74" s="97"/>
      <c r="E74" s="97"/>
      <c r="F74" s="97"/>
      <c r="G74" s="137" t="s">
        <v>211</v>
      </c>
      <c r="H74" s="102"/>
      <c r="I74" s="97"/>
      <c r="J74" s="117">
        <v>1134</v>
      </c>
      <c r="K74" s="97"/>
      <c r="L74" s="97"/>
      <c r="M74" s="97"/>
    </row>
    <row r="75" spans="1:14" x14ac:dyDescent="0.2">
      <c r="A75" s="138"/>
      <c r="B75" s="138"/>
      <c r="C75" s="102"/>
      <c r="D75" s="97"/>
      <c r="E75" s="97"/>
      <c r="F75" s="97"/>
      <c r="G75" s="137" t="s">
        <v>212</v>
      </c>
      <c r="H75" s="102"/>
      <c r="I75" s="97"/>
      <c r="J75" s="117">
        <v>1227</v>
      </c>
      <c r="K75" s="97"/>
      <c r="L75" s="97"/>
      <c r="M75" s="97"/>
    </row>
    <row r="76" spans="1:14" x14ac:dyDescent="0.2">
      <c r="C76" s="97"/>
      <c r="D76" s="97"/>
      <c r="E76" s="97"/>
      <c r="F76" s="97"/>
      <c r="G76" s="139" t="s">
        <v>213</v>
      </c>
      <c r="H76" s="102"/>
      <c r="I76" s="97"/>
      <c r="J76" s="134">
        <f>J69+(J72+J73+J74+J75)</f>
        <v>-2078191</v>
      </c>
      <c r="K76" s="97"/>
      <c r="L76" s="97"/>
      <c r="M76" s="97"/>
    </row>
    <row r="77" spans="1:14" x14ac:dyDescent="0.2">
      <c r="N77" s="140"/>
    </row>
    <row r="78" spans="1:14" x14ac:dyDescent="0.2">
      <c r="A78" s="141" t="s">
        <v>27</v>
      </c>
      <c r="N78" s="140"/>
    </row>
    <row r="80" spans="1:14" x14ac:dyDescent="0.2">
      <c r="A80" s="93">
        <v>1</v>
      </c>
      <c r="B80" s="830" t="s">
        <v>214</v>
      </c>
      <c r="C80" s="830"/>
      <c r="D80" s="830"/>
      <c r="E80" s="830"/>
      <c r="F80" s="830"/>
      <c r="G80" s="830"/>
      <c r="H80" s="830"/>
      <c r="I80" s="830"/>
      <c r="J80" s="830"/>
      <c r="K80" s="830"/>
      <c r="L80" s="830"/>
      <c r="M80" s="830"/>
    </row>
    <row r="81" spans="1:13" x14ac:dyDescent="0.2">
      <c r="B81" s="830"/>
      <c r="C81" s="830"/>
      <c r="D81" s="830"/>
      <c r="E81" s="830"/>
      <c r="F81" s="830"/>
      <c r="G81" s="830"/>
      <c r="H81" s="830"/>
      <c r="I81" s="830"/>
      <c r="J81" s="830"/>
      <c r="K81" s="830"/>
      <c r="L81" s="830"/>
      <c r="M81" s="830"/>
    </row>
    <row r="83" spans="1:13" x14ac:dyDescent="0.2">
      <c r="A83" s="93">
        <v>2</v>
      </c>
      <c r="B83" s="831" t="s">
        <v>215</v>
      </c>
      <c r="C83" s="831"/>
      <c r="D83" s="831"/>
      <c r="E83" s="831"/>
      <c r="F83" s="831"/>
      <c r="G83" s="831"/>
      <c r="H83" s="831"/>
      <c r="I83" s="831"/>
      <c r="J83" s="831"/>
      <c r="K83" s="831"/>
      <c r="L83" s="831"/>
      <c r="M83" s="831"/>
    </row>
    <row r="84" spans="1:13" x14ac:dyDescent="0.2">
      <c r="B84" s="831"/>
      <c r="C84" s="831"/>
      <c r="D84" s="831"/>
      <c r="E84" s="831"/>
      <c r="F84" s="831"/>
      <c r="G84" s="831"/>
      <c r="H84" s="831"/>
      <c r="I84" s="831"/>
      <c r="J84" s="831"/>
      <c r="K84" s="831"/>
      <c r="L84" s="831"/>
      <c r="M84" s="831"/>
    </row>
    <row r="86" spans="1:13" x14ac:dyDescent="0.2">
      <c r="A86" s="93">
        <v>3</v>
      </c>
      <c r="B86" s="832" t="s">
        <v>216</v>
      </c>
      <c r="C86" s="832"/>
      <c r="D86" s="832"/>
      <c r="E86" s="832"/>
      <c r="F86" s="832"/>
      <c r="G86" s="832"/>
      <c r="H86" s="832"/>
      <c r="I86" s="832"/>
      <c r="J86" s="832"/>
      <c r="K86" s="832"/>
      <c r="L86" s="832"/>
      <c r="M86" s="832"/>
    </row>
    <row r="88" spans="1:13" x14ac:dyDescent="0.2">
      <c r="A88" s="93">
        <v>4</v>
      </c>
      <c r="B88" s="142" t="s">
        <v>217</v>
      </c>
      <c r="C88" s="97"/>
    </row>
    <row r="91" spans="1:13" ht="18" x14ac:dyDescent="0.2">
      <c r="A91" s="822" t="s">
        <v>139</v>
      </c>
      <c r="B91" s="822"/>
      <c r="C91" s="822"/>
      <c r="D91" s="822"/>
      <c r="E91" s="822"/>
      <c r="F91" s="822"/>
      <c r="G91" s="822"/>
      <c r="H91" s="822"/>
      <c r="I91" s="822"/>
      <c r="J91" s="822"/>
      <c r="K91" s="822"/>
      <c r="L91" s="822"/>
      <c r="M91" s="822"/>
    </row>
    <row r="92" spans="1:13" ht="18" x14ac:dyDescent="0.2">
      <c r="A92" s="822" t="s">
        <v>140</v>
      </c>
      <c r="B92" s="822"/>
      <c r="C92" s="822"/>
      <c r="D92" s="822"/>
      <c r="E92" s="822"/>
      <c r="F92" s="822"/>
      <c r="G92" s="822"/>
      <c r="H92" s="822"/>
      <c r="I92" s="822"/>
      <c r="J92" s="822"/>
      <c r="K92" s="822"/>
      <c r="L92" s="822"/>
      <c r="M92" s="822"/>
    </row>
    <row r="94" spans="1:13" ht="15" x14ac:dyDescent="0.25">
      <c r="C94" s="97"/>
      <c r="E94" s="98" t="s">
        <v>141</v>
      </c>
      <c r="F94" s="99">
        <v>2013</v>
      </c>
      <c r="G94" s="100" t="s">
        <v>218</v>
      </c>
    </row>
    <row r="96" spans="1:13" x14ac:dyDescent="0.2">
      <c r="A96" s="143"/>
      <c r="B96" s="143"/>
      <c r="C96" s="97"/>
      <c r="D96" s="826" t="s">
        <v>142</v>
      </c>
      <c r="E96" s="827"/>
      <c r="F96" s="827"/>
      <c r="G96" s="828"/>
      <c r="H96" s="102"/>
      <c r="I96" s="103"/>
      <c r="J96" s="104" t="s">
        <v>143</v>
      </c>
      <c r="K96" s="104"/>
      <c r="L96" s="105"/>
      <c r="M96" s="102"/>
    </row>
    <row r="97" spans="1:13" ht="25.5" x14ac:dyDescent="0.2">
      <c r="A97" s="109" t="s">
        <v>144</v>
      </c>
      <c r="B97" s="110" t="s">
        <v>145</v>
      </c>
      <c r="C97" s="108" t="s">
        <v>146</v>
      </c>
      <c r="D97" s="109" t="s">
        <v>147</v>
      </c>
      <c r="E97" s="110" t="s">
        <v>148</v>
      </c>
      <c r="F97" s="110" t="s">
        <v>149</v>
      </c>
      <c r="G97" s="109" t="s">
        <v>150</v>
      </c>
      <c r="H97" s="111"/>
      <c r="I97" s="112" t="s">
        <v>147</v>
      </c>
      <c r="J97" s="113" t="s">
        <v>148</v>
      </c>
      <c r="K97" s="113" t="s">
        <v>149</v>
      </c>
      <c r="L97" s="114" t="s">
        <v>150</v>
      </c>
      <c r="M97" s="109" t="s">
        <v>151</v>
      </c>
    </row>
    <row r="98" spans="1:13" ht="25.5" x14ac:dyDescent="0.2">
      <c r="A98" s="144" t="s">
        <v>152</v>
      </c>
      <c r="B98" s="144">
        <v>1609</v>
      </c>
      <c r="C98" s="116" t="s">
        <v>153</v>
      </c>
      <c r="D98" s="117">
        <v>0</v>
      </c>
      <c r="E98" s="118">
        <v>29835</v>
      </c>
      <c r="F98" s="119"/>
      <c r="G98" s="120">
        <f t="shared" ref="G98:G146" si="16">D98+E98+F98</f>
        <v>29835</v>
      </c>
      <c r="H98" s="121"/>
      <c r="I98" s="117">
        <v>0</v>
      </c>
      <c r="J98" s="117">
        <v>0</v>
      </c>
      <c r="K98" s="117"/>
      <c r="L98" s="122">
        <f t="shared" ref="L98:L146" si="17">I98+J98+K98</f>
        <v>0</v>
      </c>
      <c r="M98" s="122">
        <f t="shared" ref="M98:M146" si="18">G98+L98</f>
        <v>29835</v>
      </c>
    </row>
    <row r="99" spans="1:13" x14ac:dyDescent="0.2">
      <c r="A99" s="145">
        <v>47</v>
      </c>
      <c r="B99" s="145">
        <v>1820</v>
      </c>
      <c r="C99" s="124" t="s">
        <v>154</v>
      </c>
      <c r="D99" s="117">
        <v>466497</v>
      </c>
      <c r="E99" s="125"/>
      <c r="F99" s="126"/>
      <c r="G99" s="127">
        <f t="shared" si="16"/>
        <v>466497</v>
      </c>
      <c r="H99" s="128"/>
      <c r="I99" s="117">
        <v>-185350</v>
      </c>
      <c r="J99" s="125">
        <v>-8031</v>
      </c>
      <c r="K99" s="117"/>
      <c r="L99" s="122">
        <f t="shared" si="17"/>
        <v>-193381</v>
      </c>
      <c r="M99" s="122">
        <f t="shared" si="18"/>
        <v>273116</v>
      </c>
    </row>
    <row r="100" spans="1:13" x14ac:dyDescent="0.2">
      <c r="A100" s="145">
        <v>47</v>
      </c>
      <c r="B100" s="145">
        <v>1830</v>
      </c>
      <c r="C100" s="124" t="s">
        <v>155</v>
      </c>
      <c r="D100" s="117">
        <v>20543025</v>
      </c>
      <c r="E100" s="125">
        <v>1441178</v>
      </c>
      <c r="F100" s="117">
        <v>-30466</v>
      </c>
      <c r="G100" s="127">
        <f t="shared" si="16"/>
        <v>21953737</v>
      </c>
      <c r="H100" s="128"/>
      <c r="I100" s="117">
        <v>-9281040</v>
      </c>
      <c r="J100" s="125">
        <v>-277556</v>
      </c>
      <c r="K100" s="117">
        <v>30409</v>
      </c>
      <c r="L100" s="122">
        <f t="shared" si="17"/>
        <v>-9528187</v>
      </c>
      <c r="M100" s="122">
        <f t="shared" si="18"/>
        <v>12425550</v>
      </c>
    </row>
    <row r="101" spans="1:13" x14ac:dyDescent="0.2">
      <c r="A101" s="145">
        <v>47</v>
      </c>
      <c r="B101" s="145">
        <v>1830</v>
      </c>
      <c r="C101" s="124" t="s">
        <v>156</v>
      </c>
      <c r="D101" s="117">
        <v>84427</v>
      </c>
      <c r="E101" s="125"/>
      <c r="F101" s="126"/>
      <c r="G101" s="127">
        <f t="shared" si="16"/>
        <v>84427</v>
      </c>
      <c r="H101" s="128"/>
      <c r="I101" s="117">
        <v>-44568</v>
      </c>
      <c r="J101" s="125">
        <v>-834</v>
      </c>
      <c r="K101" s="117"/>
      <c r="L101" s="122">
        <f t="shared" si="17"/>
        <v>-45402</v>
      </c>
      <c r="M101" s="122">
        <f t="shared" si="18"/>
        <v>39025</v>
      </c>
    </row>
    <row r="102" spans="1:13" x14ac:dyDescent="0.2">
      <c r="A102" s="145">
        <v>47</v>
      </c>
      <c r="B102" s="145">
        <v>1835</v>
      </c>
      <c r="C102" s="124" t="s">
        <v>157</v>
      </c>
      <c r="D102" s="117">
        <v>12599263</v>
      </c>
      <c r="E102" s="125">
        <v>742157</v>
      </c>
      <c r="F102" s="126"/>
      <c r="G102" s="127">
        <f t="shared" si="16"/>
        <v>13341420</v>
      </c>
      <c r="H102" s="128"/>
      <c r="I102" s="117">
        <v>-3718103</v>
      </c>
      <c r="J102" s="125">
        <v>-204558</v>
      </c>
      <c r="K102" s="117"/>
      <c r="L102" s="122">
        <f t="shared" si="17"/>
        <v>-3922661</v>
      </c>
      <c r="M102" s="122">
        <f t="shared" si="18"/>
        <v>9418759</v>
      </c>
    </row>
    <row r="103" spans="1:13" x14ac:dyDescent="0.2">
      <c r="A103" s="145">
        <v>47</v>
      </c>
      <c r="B103" s="145">
        <v>1835</v>
      </c>
      <c r="C103" s="124" t="s">
        <v>158</v>
      </c>
      <c r="D103" s="117">
        <v>510902</v>
      </c>
      <c r="E103" s="125"/>
      <c r="F103" s="126"/>
      <c r="G103" s="127">
        <f t="shared" si="16"/>
        <v>510902</v>
      </c>
      <c r="H103" s="128"/>
      <c r="I103" s="117">
        <v>-273141</v>
      </c>
      <c r="J103" s="125">
        <v>-7255</v>
      </c>
      <c r="K103" s="117"/>
      <c r="L103" s="122">
        <f t="shared" si="17"/>
        <v>-280396</v>
      </c>
      <c r="M103" s="122">
        <f t="shared" si="18"/>
        <v>230506</v>
      </c>
    </row>
    <row r="104" spans="1:13" x14ac:dyDescent="0.2">
      <c r="A104" s="145">
        <v>47</v>
      </c>
      <c r="B104" s="145">
        <v>1835</v>
      </c>
      <c r="C104" s="124" t="s">
        <v>159</v>
      </c>
      <c r="D104" s="117">
        <v>446811</v>
      </c>
      <c r="E104" s="125"/>
      <c r="F104" s="126"/>
      <c r="G104" s="127">
        <f t="shared" si="16"/>
        <v>446811</v>
      </c>
      <c r="H104" s="128"/>
      <c r="I104" s="117">
        <v>-183166</v>
      </c>
      <c r="J104" s="125">
        <v>-8441</v>
      </c>
      <c r="K104" s="117"/>
      <c r="L104" s="122">
        <f t="shared" si="17"/>
        <v>-191607</v>
      </c>
      <c r="M104" s="122">
        <f t="shared" si="18"/>
        <v>255204</v>
      </c>
    </row>
    <row r="105" spans="1:13" x14ac:dyDescent="0.2">
      <c r="A105" s="145">
        <v>47</v>
      </c>
      <c r="B105" s="145">
        <v>1840</v>
      </c>
      <c r="C105" s="124" t="s">
        <v>160</v>
      </c>
      <c r="D105" s="117">
        <v>1366196</v>
      </c>
      <c r="E105" s="125">
        <v>466277</v>
      </c>
      <c r="F105" s="126"/>
      <c r="G105" s="127">
        <f t="shared" si="16"/>
        <v>1832473</v>
      </c>
      <c r="H105" s="128"/>
      <c r="I105" s="117">
        <v>-147380</v>
      </c>
      <c r="J105" s="125">
        <v>-28910</v>
      </c>
      <c r="K105" s="117"/>
      <c r="L105" s="122">
        <f t="shared" si="17"/>
        <v>-176290</v>
      </c>
      <c r="M105" s="122">
        <f t="shared" si="18"/>
        <v>1656183</v>
      </c>
    </row>
    <row r="106" spans="1:13" x14ac:dyDescent="0.2">
      <c r="A106" s="145">
        <v>47</v>
      </c>
      <c r="B106" s="145">
        <v>1845</v>
      </c>
      <c r="C106" s="124" t="s">
        <v>161</v>
      </c>
      <c r="D106" s="117">
        <v>6219026</v>
      </c>
      <c r="E106" s="125">
        <v>17894</v>
      </c>
      <c r="F106" s="126"/>
      <c r="G106" s="127">
        <f t="shared" si="16"/>
        <v>6236920</v>
      </c>
      <c r="H106" s="128"/>
      <c r="I106" s="117">
        <v>-2961123</v>
      </c>
      <c r="J106" s="125">
        <v>-172435</v>
      </c>
      <c r="K106" s="117"/>
      <c r="L106" s="122">
        <f t="shared" si="17"/>
        <v>-3133558</v>
      </c>
      <c r="M106" s="122">
        <f t="shared" si="18"/>
        <v>3103362</v>
      </c>
    </row>
    <row r="107" spans="1:13" x14ac:dyDescent="0.2">
      <c r="A107" s="145">
        <v>47</v>
      </c>
      <c r="B107" s="145">
        <v>1845</v>
      </c>
      <c r="C107" s="124" t="s">
        <v>162</v>
      </c>
      <c r="D107" s="117">
        <v>1428183</v>
      </c>
      <c r="E107" s="125">
        <v>963360</v>
      </c>
      <c r="F107" s="126"/>
      <c r="G107" s="127">
        <f t="shared" si="16"/>
        <v>2391543</v>
      </c>
      <c r="H107" s="128"/>
      <c r="I107" s="117">
        <v>-682394</v>
      </c>
      <c r="J107" s="125">
        <v>-29162</v>
      </c>
      <c r="K107" s="117"/>
      <c r="L107" s="122">
        <f t="shared" si="17"/>
        <v>-711556</v>
      </c>
      <c r="M107" s="122">
        <f t="shared" si="18"/>
        <v>1679987</v>
      </c>
    </row>
    <row r="108" spans="1:13" x14ac:dyDescent="0.2">
      <c r="A108" s="145">
        <v>47</v>
      </c>
      <c r="B108" s="145">
        <v>1845</v>
      </c>
      <c r="C108" s="124" t="s">
        <v>163</v>
      </c>
      <c r="D108" s="117">
        <v>55043</v>
      </c>
      <c r="E108" s="125">
        <v>24770</v>
      </c>
      <c r="F108" s="126"/>
      <c r="G108" s="127">
        <f t="shared" si="16"/>
        <v>79813</v>
      </c>
      <c r="H108" s="128"/>
      <c r="I108" s="117">
        <v>-22945</v>
      </c>
      <c r="J108" s="125">
        <v>-2164</v>
      </c>
      <c r="K108" s="117"/>
      <c r="L108" s="122">
        <f t="shared" si="17"/>
        <v>-25109</v>
      </c>
      <c r="M108" s="122">
        <f t="shared" si="18"/>
        <v>54704</v>
      </c>
    </row>
    <row r="109" spans="1:13" x14ac:dyDescent="0.2">
      <c r="A109" s="145">
        <v>47</v>
      </c>
      <c r="B109" s="145">
        <v>1850</v>
      </c>
      <c r="C109" s="124" t="s">
        <v>164</v>
      </c>
      <c r="D109" s="117">
        <v>9439683</v>
      </c>
      <c r="E109" s="125">
        <v>431525</v>
      </c>
      <c r="F109" s="126"/>
      <c r="G109" s="127">
        <f t="shared" si="16"/>
        <v>9871208</v>
      </c>
      <c r="H109" s="128"/>
      <c r="I109" s="117">
        <v>-3943726</v>
      </c>
      <c r="J109" s="125">
        <v>-186850</v>
      </c>
      <c r="K109" s="117"/>
      <c r="L109" s="122">
        <f t="shared" si="17"/>
        <v>-4130576</v>
      </c>
      <c r="M109" s="122">
        <f t="shared" si="18"/>
        <v>5740632</v>
      </c>
    </row>
    <row r="110" spans="1:13" x14ac:dyDescent="0.2">
      <c r="A110" s="145">
        <v>47</v>
      </c>
      <c r="B110" s="145">
        <v>1850</v>
      </c>
      <c r="C110" s="124" t="s">
        <v>165</v>
      </c>
      <c r="D110" s="117">
        <v>2420047</v>
      </c>
      <c r="E110" s="125">
        <v>255442</v>
      </c>
      <c r="F110" s="126"/>
      <c r="G110" s="127">
        <f t="shared" si="16"/>
        <v>2675489</v>
      </c>
      <c r="H110" s="128"/>
      <c r="I110" s="117">
        <v>-703172</v>
      </c>
      <c r="J110" s="125">
        <v>-50828</v>
      </c>
      <c r="K110" s="117"/>
      <c r="L110" s="122">
        <f t="shared" si="17"/>
        <v>-754000</v>
      </c>
      <c r="M110" s="122">
        <f t="shared" si="18"/>
        <v>1921489</v>
      </c>
    </row>
    <row r="111" spans="1:13" x14ac:dyDescent="0.2">
      <c r="A111" s="145">
        <v>47</v>
      </c>
      <c r="B111" s="145">
        <v>1850</v>
      </c>
      <c r="C111" s="124" t="s">
        <v>166</v>
      </c>
      <c r="D111" s="117">
        <v>314345</v>
      </c>
      <c r="E111" s="125"/>
      <c r="F111" s="126"/>
      <c r="G111" s="127">
        <f t="shared" si="16"/>
        <v>314345</v>
      </c>
      <c r="H111" s="128"/>
      <c r="I111" s="117">
        <v>-91369</v>
      </c>
      <c r="J111" s="125">
        <v>-6590</v>
      </c>
      <c r="K111" s="117"/>
      <c r="L111" s="122">
        <f t="shared" si="17"/>
        <v>-97959</v>
      </c>
      <c r="M111" s="122">
        <f t="shared" si="18"/>
        <v>216386</v>
      </c>
    </row>
    <row r="112" spans="1:13" x14ac:dyDescent="0.2">
      <c r="A112" s="145">
        <v>47</v>
      </c>
      <c r="B112" s="145">
        <v>1850</v>
      </c>
      <c r="C112" s="124" t="s">
        <v>167</v>
      </c>
      <c r="D112" s="117">
        <v>213830</v>
      </c>
      <c r="E112" s="125">
        <v>64442</v>
      </c>
      <c r="F112" s="126"/>
      <c r="G112" s="127">
        <f t="shared" si="16"/>
        <v>278272</v>
      </c>
      <c r="H112" s="128"/>
      <c r="I112" s="117">
        <v>0</v>
      </c>
      <c r="J112" s="125"/>
      <c r="K112" s="117"/>
      <c r="L112" s="122">
        <f t="shared" si="17"/>
        <v>0</v>
      </c>
      <c r="M112" s="122">
        <f t="shared" si="18"/>
        <v>278272</v>
      </c>
    </row>
    <row r="113" spans="1:13" x14ac:dyDescent="0.2">
      <c r="A113" s="145">
        <v>47</v>
      </c>
      <c r="B113" s="145">
        <v>1855</v>
      </c>
      <c r="C113" s="124" t="s">
        <v>168</v>
      </c>
      <c r="D113" s="117">
        <v>984278</v>
      </c>
      <c r="E113" s="125">
        <v>83868</v>
      </c>
      <c r="F113" s="126"/>
      <c r="G113" s="127">
        <f t="shared" si="16"/>
        <v>1068146</v>
      </c>
      <c r="H113" s="128"/>
      <c r="I113" s="117">
        <v>-294207</v>
      </c>
      <c r="J113" s="125">
        <v>-13586</v>
      </c>
      <c r="K113" s="117"/>
      <c r="L113" s="122">
        <f t="shared" si="17"/>
        <v>-307793</v>
      </c>
      <c r="M113" s="122">
        <f t="shared" si="18"/>
        <v>760353</v>
      </c>
    </row>
    <row r="114" spans="1:13" x14ac:dyDescent="0.2">
      <c r="A114" s="145">
        <v>47</v>
      </c>
      <c r="B114" s="145">
        <v>1855</v>
      </c>
      <c r="C114" s="124" t="s">
        <v>169</v>
      </c>
      <c r="D114" s="117">
        <v>1698814</v>
      </c>
      <c r="E114" s="125">
        <v>244697</v>
      </c>
      <c r="F114" s="126"/>
      <c r="G114" s="127">
        <f t="shared" si="16"/>
        <v>1943511</v>
      </c>
      <c r="H114" s="128"/>
      <c r="I114" s="117">
        <v>-536237</v>
      </c>
      <c r="J114" s="125">
        <v>-44587</v>
      </c>
      <c r="K114" s="117"/>
      <c r="L114" s="122">
        <f t="shared" si="17"/>
        <v>-580824</v>
      </c>
      <c r="M114" s="122">
        <f t="shared" si="18"/>
        <v>1362687</v>
      </c>
    </row>
    <row r="115" spans="1:13" x14ac:dyDescent="0.2">
      <c r="A115" s="145">
        <v>47</v>
      </c>
      <c r="B115" s="145">
        <v>1860</v>
      </c>
      <c r="C115" s="124" t="s">
        <v>170</v>
      </c>
      <c r="D115" s="117">
        <v>129969</v>
      </c>
      <c r="E115" s="125">
        <v>17145</v>
      </c>
      <c r="F115" s="126"/>
      <c r="G115" s="127">
        <f t="shared" si="16"/>
        <v>147114</v>
      </c>
      <c r="H115" s="128"/>
      <c r="I115" s="117">
        <v>-22207</v>
      </c>
      <c r="J115" s="125">
        <v>-6667</v>
      </c>
      <c r="K115" s="117"/>
      <c r="L115" s="122">
        <f t="shared" si="17"/>
        <v>-28874</v>
      </c>
      <c r="M115" s="122">
        <f t="shared" si="18"/>
        <v>118240</v>
      </c>
    </row>
    <row r="116" spans="1:13" x14ac:dyDescent="0.2">
      <c r="A116" s="145">
        <v>47</v>
      </c>
      <c r="B116" s="145">
        <v>1860</v>
      </c>
      <c r="C116" s="124" t="s">
        <v>171</v>
      </c>
      <c r="D116" s="117">
        <v>1142904</v>
      </c>
      <c r="E116" s="125">
        <v>779</v>
      </c>
      <c r="F116" s="126"/>
      <c r="G116" s="127">
        <f t="shared" si="16"/>
        <v>1143683</v>
      </c>
      <c r="H116" s="128"/>
      <c r="I116" s="117">
        <v>-150783</v>
      </c>
      <c r="J116" s="125">
        <v>-217520</v>
      </c>
      <c r="K116" s="117"/>
      <c r="L116" s="122">
        <f t="shared" si="17"/>
        <v>-368303</v>
      </c>
      <c r="M116" s="122">
        <f t="shared" si="18"/>
        <v>775380</v>
      </c>
    </row>
    <row r="117" spans="1:13" x14ac:dyDescent="0.2">
      <c r="A117" s="145">
        <v>47</v>
      </c>
      <c r="B117" s="145">
        <v>1860</v>
      </c>
      <c r="C117" s="124" t="s">
        <v>172</v>
      </c>
      <c r="D117" s="117">
        <v>3724762</v>
      </c>
      <c r="E117" s="125">
        <v>58585</v>
      </c>
      <c r="F117" s="126"/>
      <c r="G117" s="127">
        <f t="shared" si="16"/>
        <v>3783347</v>
      </c>
      <c r="H117" s="128"/>
      <c r="I117" s="117">
        <v>-757661</v>
      </c>
      <c r="J117" s="125">
        <v>-244730</v>
      </c>
      <c r="K117" s="117"/>
      <c r="L117" s="122">
        <f t="shared" si="17"/>
        <v>-1002391</v>
      </c>
      <c r="M117" s="122">
        <f t="shared" si="18"/>
        <v>2780956</v>
      </c>
    </row>
    <row r="118" spans="1:13" x14ac:dyDescent="0.2">
      <c r="A118" s="146">
        <v>47</v>
      </c>
      <c r="B118" s="146">
        <v>1860</v>
      </c>
      <c r="C118" s="130" t="s">
        <v>173</v>
      </c>
      <c r="D118" s="117">
        <v>1666572</v>
      </c>
      <c r="E118" s="125"/>
      <c r="F118" s="125">
        <v>-1666572</v>
      </c>
      <c r="G118" s="127">
        <f t="shared" si="16"/>
        <v>0</v>
      </c>
      <c r="H118" s="128"/>
      <c r="I118" s="117">
        <v>-1140139</v>
      </c>
      <c r="J118" s="125">
        <v>-42501</v>
      </c>
      <c r="K118" s="125">
        <v>1182640</v>
      </c>
      <c r="L118" s="122">
        <f t="shared" si="17"/>
        <v>0</v>
      </c>
      <c r="M118" s="122">
        <f t="shared" si="18"/>
        <v>0</v>
      </c>
    </row>
    <row r="119" spans="1:13" x14ac:dyDescent="0.2">
      <c r="A119" s="146">
        <v>47</v>
      </c>
      <c r="B119" s="146">
        <v>1860</v>
      </c>
      <c r="C119" s="130" t="s">
        <v>174</v>
      </c>
      <c r="D119" s="117">
        <v>94676</v>
      </c>
      <c r="E119" s="125">
        <v>73156</v>
      </c>
      <c r="F119" s="126"/>
      <c r="G119" s="127">
        <f t="shared" si="16"/>
        <v>167832</v>
      </c>
      <c r="H119" s="128"/>
      <c r="I119" s="117">
        <v>0</v>
      </c>
      <c r="J119" s="125"/>
      <c r="K119" s="117"/>
      <c r="L119" s="122">
        <f t="shared" si="17"/>
        <v>0</v>
      </c>
      <c r="M119" s="122">
        <f t="shared" si="18"/>
        <v>167832</v>
      </c>
    </row>
    <row r="120" spans="1:13" x14ac:dyDescent="0.2">
      <c r="A120" s="146" t="s">
        <v>175</v>
      </c>
      <c r="B120" s="146">
        <v>1905</v>
      </c>
      <c r="C120" s="130" t="s">
        <v>176</v>
      </c>
      <c r="D120" s="117">
        <v>127139</v>
      </c>
      <c r="E120" s="125"/>
      <c r="F120" s="126"/>
      <c r="G120" s="127">
        <f t="shared" si="16"/>
        <v>127139</v>
      </c>
      <c r="H120" s="128"/>
      <c r="I120" s="117"/>
      <c r="J120" s="125"/>
      <c r="K120" s="117"/>
      <c r="L120" s="122">
        <f t="shared" si="17"/>
        <v>0</v>
      </c>
      <c r="M120" s="122">
        <f t="shared" si="18"/>
        <v>127139</v>
      </c>
    </row>
    <row r="121" spans="1:13" x14ac:dyDescent="0.2">
      <c r="A121" s="145" t="s">
        <v>152</v>
      </c>
      <c r="B121" s="145">
        <v>1612</v>
      </c>
      <c r="C121" s="124" t="s">
        <v>177</v>
      </c>
      <c r="D121" s="117">
        <v>695389</v>
      </c>
      <c r="E121" s="125"/>
      <c r="F121" s="126"/>
      <c r="G121" s="127">
        <f>D121+E121+F121</f>
        <v>695389</v>
      </c>
      <c r="H121" s="128"/>
      <c r="I121" s="117">
        <v>-259892</v>
      </c>
      <c r="J121" s="125">
        <v>-20721</v>
      </c>
      <c r="K121" s="117"/>
      <c r="L121" s="122">
        <f>I121+J121+K121</f>
        <v>-280613</v>
      </c>
      <c r="M121" s="122">
        <f>G121+L121</f>
        <v>414776</v>
      </c>
    </row>
    <row r="122" spans="1:13" x14ac:dyDescent="0.2">
      <c r="A122" s="145" t="s">
        <v>178</v>
      </c>
      <c r="B122" s="145">
        <v>1908</v>
      </c>
      <c r="C122" s="124" t="s">
        <v>179</v>
      </c>
      <c r="D122" s="117">
        <v>2190518</v>
      </c>
      <c r="E122" s="125">
        <v>1450</v>
      </c>
      <c r="F122" s="126"/>
      <c r="G122" s="127">
        <f t="shared" si="16"/>
        <v>2191968</v>
      </c>
      <c r="H122" s="128"/>
      <c r="I122" s="117">
        <v>-467768</v>
      </c>
      <c r="J122" s="125">
        <v>-51546</v>
      </c>
      <c r="K122" s="117"/>
      <c r="L122" s="122">
        <f t="shared" si="17"/>
        <v>-519314</v>
      </c>
      <c r="M122" s="122">
        <f t="shared" si="18"/>
        <v>1672654</v>
      </c>
    </row>
    <row r="123" spans="1:13" x14ac:dyDescent="0.2">
      <c r="A123" s="145">
        <v>8</v>
      </c>
      <c r="B123" s="145">
        <v>1915</v>
      </c>
      <c r="C123" s="124" t="s">
        <v>180</v>
      </c>
      <c r="D123" s="117">
        <v>365636</v>
      </c>
      <c r="E123" s="125">
        <v>13200</v>
      </c>
      <c r="F123" s="125">
        <v>-1023</v>
      </c>
      <c r="G123" s="127">
        <f t="shared" si="16"/>
        <v>377813</v>
      </c>
      <c r="H123" s="128"/>
      <c r="I123" s="117">
        <v>-261240</v>
      </c>
      <c r="J123" s="125">
        <v>-22925</v>
      </c>
      <c r="K123" s="125">
        <v>1023</v>
      </c>
      <c r="L123" s="122">
        <f t="shared" si="17"/>
        <v>-283142</v>
      </c>
      <c r="M123" s="122">
        <f t="shared" si="18"/>
        <v>94671</v>
      </c>
    </row>
    <row r="124" spans="1:13" x14ac:dyDescent="0.2">
      <c r="A124" s="145">
        <v>50</v>
      </c>
      <c r="B124" s="145">
        <v>1920</v>
      </c>
      <c r="C124" s="124" t="s">
        <v>181</v>
      </c>
      <c r="D124" s="117">
        <v>585095</v>
      </c>
      <c r="E124" s="125">
        <v>48670</v>
      </c>
      <c r="F124" s="126"/>
      <c r="G124" s="127">
        <f t="shared" si="16"/>
        <v>633765</v>
      </c>
      <c r="H124" s="128"/>
      <c r="I124" s="117">
        <v>-395997</v>
      </c>
      <c r="J124" s="125">
        <v>-70069</v>
      </c>
      <c r="K124" s="117"/>
      <c r="L124" s="122">
        <f t="shared" si="17"/>
        <v>-466066</v>
      </c>
      <c r="M124" s="122">
        <f t="shared" si="18"/>
        <v>167699</v>
      </c>
    </row>
    <row r="125" spans="1:13" x14ac:dyDescent="0.2">
      <c r="A125" s="145">
        <v>50</v>
      </c>
      <c r="B125" s="145">
        <v>1611</v>
      </c>
      <c r="C125" s="124" t="s">
        <v>182</v>
      </c>
      <c r="D125" s="117">
        <v>2765069</v>
      </c>
      <c r="E125" s="125">
        <v>96016</v>
      </c>
      <c r="F125" s="126"/>
      <c r="G125" s="127">
        <f>D125+E125+F125</f>
        <v>2861085</v>
      </c>
      <c r="H125" s="128"/>
      <c r="I125" s="117">
        <v>-2101504</v>
      </c>
      <c r="J125" s="125">
        <v>-325465</v>
      </c>
      <c r="K125" s="117"/>
      <c r="L125" s="122">
        <f>I125+J125+K125</f>
        <v>-2426969</v>
      </c>
      <c r="M125" s="122">
        <f>G125+L125</f>
        <v>434116</v>
      </c>
    </row>
    <row r="126" spans="1:13" x14ac:dyDescent="0.2">
      <c r="A126" s="145">
        <v>10</v>
      </c>
      <c r="B126" s="145">
        <v>1930</v>
      </c>
      <c r="C126" s="124" t="s">
        <v>183</v>
      </c>
      <c r="D126" s="117">
        <v>1759603</v>
      </c>
      <c r="E126" s="125">
        <v>225418</v>
      </c>
      <c r="F126" s="125">
        <v>-50273</v>
      </c>
      <c r="G126" s="127">
        <f t="shared" ref="G126:G127" si="19">D126+E126+F126</f>
        <v>1934748</v>
      </c>
      <c r="H126" s="128"/>
      <c r="I126" s="117">
        <v>-904828</v>
      </c>
      <c r="J126" s="125">
        <v>-97766</v>
      </c>
      <c r="K126" s="125">
        <v>50273</v>
      </c>
      <c r="L126" s="122">
        <f t="shared" ref="L126:L127" si="20">I126+J126+K126</f>
        <v>-952321</v>
      </c>
      <c r="M126" s="122">
        <f t="shared" ref="M126:M127" si="21">G126+L126</f>
        <v>982427</v>
      </c>
    </row>
    <row r="127" spans="1:13" x14ac:dyDescent="0.2">
      <c r="A127" s="145">
        <v>10</v>
      </c>
      <c r="B127" s="145">
        <v>1930</v>
      </c>
      <c r="C127" s="124" t="s">
        <v>184</v>
      </c>
      <c r="D127" s="117">
        <v>364206</v>
      </c>
      <c r="E127" s="125">
        <v>35085</v>
      </c>
      <c r="F127" s="126"/>
      <c r="G127" s="127">
        <f t="shared" si="19"/>
        <v>399291</v>
      </c>
      <c r="H127" s="128"/>
      <c r="I127" s="117">
        <v>-227321</v>
      </c>
      <c r="J127" s="125">
        <v>-40143</v>
      </c>
      <c r="K127" s="117"/>
      <c r="L127" s="122">
        <f t="shared" si="20"/>
        <v>-267464</v>
      </c>
      <c r="M127" s="122">
        <f t="shared" si="21"/>
        <v>131827</v>
      </c>
    </row>
    <row r="128" spans="1:13" x14ac:dyDescent="0.2">
      <c r="A128" s="145">
        <v>10</v>
      </c>
      <c r="B128" s="145">
        <v>1930</v>
      </c>
      <c r="C128" s="124" t="s">
        <v>185</v>
      </c>
      <c r="D128" s="117">
        <v>83837</v>
      </c>
      <c r="E128" s="125"/>
      <c r="F128" s="126"/>
      <c r="G128" s="127">
        <f t="shared" si="16"/>
        <v>83837</v>
      </c>
      <c r="H128" s="128"/>
      <c r="I128" s="117">
        <v>-51151</v>
      </c>
      <c r="J128" s="125">
        <v>-1999</v>
      </c>
      <c r="K128" s="117"/>
      <c r="L128" s="122">
        <f t="shared" si="17"/>
        <v>-53150</v>
      </c>
      <c r="M128" s="122">
        <f t="shared" si="18"/>
        <v>30687</v>
      </c>
    </row>
    <row r="129" spans="1:13" x14ac:dyDescent="0.2">
      <c r="A129" s="145">
        <v>8</v>
      </c>
      <c r="B129" s="145">
        <v>1940</v>
      </c>
      <c r="C129" s="124" t="s">
        <v>186</v>
      </c>
      <c r="D129" s="117">
        <v>795038</v>
      </c>
      <c r="E129" s="125">
        <v>38146</v>
      </c>
      <c r="F129" s="126"/>
      <c r="G129" s="127">
        <f t="shared" si="16"/>
        <v>833184</v>
      </c>
      <c r="H129" s="128"/>
      <c r="I129" s="117">
        <v>-451778</v>
      </c>
      <c r="J129" s="125">
        <v>-57045</v>
      </c>
      <c r="K129" s="117"/>
      <c r="L129" s="122">
        <f t="shared" si="17"/>
        <v>-508823</v>
      </c>
      <c r="M129" s="122">
        <f t="shared" si="18"/>
        <v>324361</v>
      </c>
    </row>
    <row r="130" spans="1:13" x14ac:dyDescent="0.2">
      <c r="A130" s="145">
        <v>8</v>
      </c>
      <c r="B130" s="145">
        <v>1955</v>
      </c>
      <c r="C130" s="124" t="s">
        <v>187</v>
      </c>
      <c r="D130" s="117">
        <v>68074</v>
      </c>
      <c r="E130" s="125"/>
      <c r="F130" s="126"/>
      <c r="G130" s="127">
        <f t="shared" si="16"/>
        <v>68074</v>
      </c>
      <c r="H130" s="128"/>
      <c r="I130" s="117">
        <v>-57942</v>
      </c>
      <c r="J130" s="125">
        <v>-3863</v>
      </c>
      <c r="K130" s="117"/>
      <c r="L130" s="122">
        <f t="shared" si="17"/>
        <v>-61805</v>
      </c>
      <c r="M130" s="122">
        <f t="shared" si="18"/>
        <v>6269</v>
      </c>
    </row>
    <row r="131" spans="1:13" x14ac:dyDescent="0.2">
      <c r="A131" s="145">
        <v>47</v>
      </c>
      <c r="B131" s="145">
        <v>1995</v>
      </c>
      <c r="C131" s="124" t="s">
        <v>188</v>
      </c>
      <c r="D131" s="117">
        <v>-739792</v>
      </c>
      <c r="E131" s="125">
        <v>-105320</v>
      </c>
      <c r="F131" s="126"/>
      <c r="G131" s="122">
        <f t="shared" si="16"/>
        <v>-845112</v>
      </c>
      <c r="H131" s="128"/>
      <c r="I131" s="117">
        <v>184802</v>
      </c>
      <c r="J131" s="125">
        <v>14559</v>
      </c>
      <c r="K131" s="125"/>
      <c r="L131" s="122">
        <f t="shared" si="17"/>
        <v>199361</v>
      </c>
      <c r="M131" s="122">
        <f t="shared" si="18"/>
        <v>-645751</v>
      </c>
    </row>
    <row r="132" spans="1:13" x14ac:dyDescent="0.2">
      <c r="A132" s="145">
        <v>47</v>
      </c>
      <c r="B132" s="145">
        <v>1995</v>
      </c>
      <c r="C132" s="124" t="s">
        <v>189</v>
      </c>
      <c r="D132" s="117">
        <v>0</v>
      </c>
      <c r="E132" s="125"/>
      <c r="F132" s="126"/>
      <c r="G132" s="122">
        <f t="shared" si="16"/>
        <v>0</v>
      </c>
      <c r="H132" s="128"/>
      <c r="I132" s="117">
        <v>0</v>
      </c>
      <c r="J132" s="125">
        <v>0</v>
      </c>
      <c r="K132" s="125"/>
      <c r="L132" s="122">
        <f t="shared" si="17"/>
        <v>0</v>
      </c>
      <c r="M132" s="122">
        <f t="shared" si="18"/>
        <v>0</v>
      </c>
    </row>
    <row r="133" spans="1:13" x14ac:dyDescent="0.2">
      <c r="A133" s="145">
        <v>47</v>
      </c>
      <c r="B133" s="145">
        <v>1995</v>
      </c>
      <c r="C133" s="124" t="s">
        <v>190</v>
      </c>
      <c r="D133" s="117">
        <v>-206948</v>
      </c>
      <c r="E133" s="125">
        <v>-10730</v>
      </c>
      <c r="F133" s="126"/>
      <c r="G133" s="122">
        <f t="shared" si="16"/>
        <v>-217678</v>
      </c>
      <c r="H133" s="128"/>
      <c r="I133" s="117">
        <v>39943</v>
      </c>
      <c r="J133" s="125">
        <v>3727</v>
      </c>
      <c r="K133" s="125"/>
      <c r="L133" s="122">
        <f t="shared" si="17"/>
        <v>43670</v>
      </c>
      <c r="M133" s="122">
        <f t="shared" si="18"/>
        <v>-174008</v>
      </c>
    </row>
    <row r="134" spans="1:13" x14ac:dyDescent="0.2">
      <c r="A134" s="145">
        <v>47</v>
      </c>
      <c r="B134" s="145">
        <v>1995</v>
      </c>
      <c r="C134" s="124" t="s">
        <v>191</v>
      </c>
      <c r="D134" s="117">
        <v>-8391</v>
      </c>
      <c r="E134" s="125">
        <v>-34</v>
      </c>
      <c r="F134" s="126"/>
      <c r="G134" s="122">
        <f t="shared" si="16"/>
        <v>-8425</v>
      </c>
      <c r="H134" s="128"/>
      <c r="I134" s="117">
        <v>1722</v>
      </c>
      <c r="J134" s="125">
        <v>169</v>
      </c>
      <c r="K134" s="125"/>
      <c r="L134" s="122">
        <f t="shared" si="17"/>
        <v>1891</v>
      </c>
      <c r="M134" s="122">
        <f t="shared" si="18"/>
        <v>-6534</v>
      </c>
    </row>
    <row r="135" spans="1:13" x14ac:dyDescent="0.2">
      <c r="A135" s="145">
        <v>47</v>
      </c>
      <c r="B135" s="145">
        <v>1995</v>
      </c>
      <c r="C135" s="124" t="s">
        <v>192</v>
      </c>
      <c r="D135" s="117">
        <v>-7345</v>
      </c>
      <c r="E135" s="125">
        <v>-39</v>
      </c>
      <c r="F135" s="126"/>
      <c r="G135" s="122">
        <f t="shared" si="16"/>
        <v>-7384</v>
      </c>
      <c r="H135" s="128"/>
      <c r="I135" s="117">
        <v>1507</v>
      </c>
      <c r="J135" s="125">
        <v>170</v>
      </c>
      <c r="K135" s="125"/>
      <c r="L135" s="122">
        <f t="shared" si="17"/>
        <v>1677</v>
      </c>
      <c r="M135" s="122">
        <f t="shared" si="18"/>
        <v>-5707</v>
      </c>
    </row>
    <row r="136" spans="1:13" x14ac:dyDescent="0.2">
      <c r="A136" s="145">
        <v>47</v>
      </c>
      <c r="B136" s="145">
        <v>1995</v>
      </c>
      <c r="C136" s="124" t="s">
        <v>193</v>
      </c>
      <c r="D136" s="117">
        <v>-303943</v>
      </c>
      <c r="E136" s="125">
        <v>-60918</v>
      </c>
      <c r="F136" s="126"/>
      <c r="G136" s="122">
        <f t="shared" si="16"/>
        <v>-364861</v>
      </c>
      <c r="H136" s="128"/>
      <c r="I136" s="117">
        <v>66336</v>
      </c>
      <c r="J136" s="125">
        <v>5761</v>
      </c>
      <c r="K136" s="125"/>
      <c r="L136" s="122">
        <f t="shared" si="17"/>
        <v>72097</v>
      </c>
      <c r="M136" s="122">
        <f t="shared" si="18"/>
        <v>-292764</v>
      </c>
    </row>
    <row r="137" spans="1:13" x14ac:dyDescent="0.2">
      <c r="A137" s="145">
        <v>47</v>
      </c>
      <c r="B137" s="145">
        <v>1995</v>
      </c>
      <c r="C137" s="124" t="s">
        <v>194</v>
      </c>
      <c r="D137" s="117">
        <v>-1081893</v>
      </c>
      <c r="E137" s="125">
        <v>-45961</v>
      </c>
      <c r="F137" s="126"/>
      <c r="G137" s="122">
        <f t="shared" si="16"/>
        <v>-1127854</v>
      </c>
      <c r="H137" s="128"/>
      <c r="I137" s="117">
        <v>263019</v>
      </c>
      <c r="J137" s="125">
        <v>35422</v>
      </c>
      <c r="K137" s="125"/>
      <c r="L137" s="122">
        <f t="shared" si="17"/>
        <v>298441</v>
      </c>
      <c r="M137" s="122">
        <f t="shared" si="18"/>
        <v>-829413</v>
      </c>
    </row>
    <row r="138" spans="1:13" x14ac:dyDescent="0.2">
      <c r="A138" s="145">
        <v>47</v>
      </c>
      <c r="B138" s="145">
        <v>1995</v>
      </c>
      <c r="C138" s="124" t="s">
        <v>195</v>
      </c>
      <c r="D138" s="117">
        <v>-242982</v>
      </c>
      <c r="E138" s="125">
        <v>-560093</v>
      </c>
      <c r="F138" s="126"/>
      <c r="G138" s="122">
        <f t="shared" si="16"/>
        <v>-803075</v>
      </c>
      <c r="H138" s="128"/>
      <c r="I138" s="117">
        <v>59071</v>
      </c>
      <c r="J138" s="125">
        <v>9483</v>
      </c>
      <c r="K138" s="125"/>
      <c r="L138" s="122">
        <f t="shared" si="17"/>
        <v>68554</v>
      </c>
      <c r="M138" s="122">
        <f t="shared" si="18"/>
        <v>-734521</v>
      </c>
    </row>
    <row r="139" spans="1:13" x14ac:dyDescent="0.2">
      <c r="A139" s="145">
        <v>47</v>
      </c>
      <c r="B139" s="145">
        <v>1995</v>
      </c>
      <c r="C139" s="124" t="s">
        <v>196</v>
      </c>
      <c r="D139" s="117">
        <v>-668018</v>
      </c>
      <c r="E139" s="125">
        <v>-57039</v>
      </c>
      <c r="F139" s="126"/>
      <c r="G139" s="122">
        <f t="shared" si="16"/>
        <v>-725057</v>
      </c>
      <c r="H139" s="128"/>
      <c r="I139" s="117">
        <v>179942</v>
      </c>
      <c r="J139" s="125">
        <v>15045</v>
      </c>
      <c r="K139" s="125"/>
      <c r="L139" s="122">
        <f t="shared" si="17"/>
        <v>194987</v>
      </c>
      <c r="M139" s="122">
        <f t="shared" si="18"/>
        <v>-530070</v>
      </c>
    </row>
    <row r="140" spans="1:13" x14ac:dyDescent="0.2">
      <c r="A140" s="145">
        <v>47</v>
      </c>
      <c r="B140" s="145">
        <v>1995</v>
      </c>
      <c r="C140" s="124" t="s">
        <v>197</v>
      </c>
      <c r="D140" s="117">
        <v>-171269</v>
      </c>
      <c r="E140" s="125">
        <v>-181146</v>
      </c>
      <c r="F140" s="126"/>
      <c r="G140" s="122">
        <f t="shared" si="16"/>
        <v>-352415</v>
      </c>
      <c r="H140" s="128"/>
      <c r="I140" s="117">
        <v>46091</v>
      </c>
      <c r="J140" s="125">
        <v>4204</v>
      </c>
      <c r="K140" s="125"/>
      <c r="L140" s="122">
        <f t="shared" si="17"/>
        <v>50295</v>
      </c>
      <c r="M140" s="122">
        <f t="shared" si="18"/>
        <v>-302120</v>
      </c>
    </row>
    <row r="141" spans="1:13" x14ac:dyDescent="0.2">
      <c r="A141" s="145">
        <v>47</v>
      </c>
      <c r="B141" s="145">
        <v>1995</v>
      </c>
      <c r="C141" s="124" t="s">
        <v>198</v>
      </c>
      <c r="D141" s="117">
        <v>-22227</v>
      </c>
      <c r="E141" s="125">
        <v>-1194</v>
      </c>
      <c r="F141" s="126"/>
      <c r="G141" s="122">
        <f t="shared" si="16"/>
        <v>-23421</v>
      </c>
      <c r="H141" s="128"/>
      <c r="I141" s="117">
        <v>5982</v>
      </c>
      <c r="J141" s="125">
        <v>499</v>
      </c>
      <c r="K141" s="125"/>
      <c r="L141" s="122">
        <f t="shared" si="17"/>
        <v>6481</v>
      </c>
      <c r="M141" s="122">
        <f t="shared" si="18"/>
        <v>-16940</v>
      </c>
    </row>
    <row r="142" spans="1:13" x14ac:dyDescent="0.2">
      <c r="A142" s="145">
        <v>47</v>
      </c>
      <c r="B142" s="145">
        <v>1995</v>
      </c>
      <c r="C142" s="124" t="s">
        <v>199</v>
      </c>
      <c r="D142" s="117">
        <v>-149478</v>
      </c>
      <c r="E142" s="125">
        <v>-1138</v>
      </c>
      <c r="F142" s="126"/>
      <c r="G142" s="122">
        <f t="shared" si="16"/>
        <v>-150616</v>
      </c>
      <c r="H142" s="128"/>
      <c r="I142" s="117">
        <v>40101</v>
      </c>
      <c r="J142" s="125">
        <v>2063</v>
      </c>
      <c r="K142" s="125"/>
      <c r="L142" s="122">
        <f t="shared" si="17"/>
        <v>42164</v>
      </c>
      <c r="M142" s="122">
        <f t="shared" si="18"/>
        <v>-108452</v>
      </c>
    </row>
    <row r="143" spans="1:13" x14ac:dyDescent="0.2">
      <c r="A143" s="145">
        <v>47</v>
      </c>
      <c r="B143" s="145">
        <v>1995</v>
      </c>
      <c r="C143" s="124" t="s">
        <v>200</v>
      </c>
      <c r="D143" s="117">
        <v>-258042</v>
      </c>
      <c r="E143" s="125">
        <v>-1351</v>
      </c>
      <c r="F143" s="126"/>
      <c r="G143" s="122">
        <f t="shared" si="16"/>
        <v>-259393</v>
      </c>
      <c r="H143" s="128"/>
      <c r="I143" s="117">
        <v>69225</v>
      </c>
      <c r="J143" s="125">
        <v>3561</v>
      </c>
      <c r="K143" s="125"/>
      <c r="L143" s="122">
        <f t="shared" si="17"/>
        <v>72786</v>
      </c>
      <c r="M143" s="122">
        <f t="shared" si="18"/>
        <v>-186607</v>
      </c>
    </row>
    <row r="144" spans="1:13" x14ac:dyDescent="0.2">
      <c r="A144" s="145">
        <v>47</v>
      </c>
      <c r="B144" s="145">
        <v>1995</v>
      </c>
      <c r="C144" s="124" t="s">
        <v>201</v>
      </c>
      <c r="D144" s="117">
        <v>-156852</v>
      </c>
      <c r="E144" s="125"/>
      <c r="F144" s="126"/>
      <c r="G144" s="122">
        <f t="shared" si="16"/>
        <v>-156852</v>
      </c>
      <c r="H144" s="128"/>
      <c r="I144" s="117">
        <v>21959</v>
      </c>
      <c r="J144" s="125">
        <v>8431</v>
      </c>
      <c r="K144" s="125"/>
      <c r="L144" s="122">
        <f t="shared" si="17"/>
        <v>30390</v>
      </c>
      <c r="M144" s="122">
        <f t="shared" si="18"/>
        <v>-126462</v>
      </c>
    </row>
    <row r="145" spans="1:14" ht="25.5" x14ac:dyDescent="0.2">
      <c r="A145" s="144">
        <v>47</v>
      </c>
      <c r="B145" s="144">
        <v>1995</v>
      </c>
      <c r="C145" s="116" t="s">
        <v>202</v>
      </c>
      <c r="D145" s="117">
        <v>-28461</v>
      </c>
      <c r="E145" s="118">
        <v>-3164</v>
      </c>
      <c r="F145" s="119"/>
      <c r="G145" s="122">
        <f t="shared" si="16"/>
        <v>-31625</v>
      </c>
      <c r="H145" s="121"/>
      <c r="I145" s="117">
        <v>6242</v>
      </c>
      <c r="J145" s="125">
        <v>2835</v>
      </c>
      <c r="K145" s="125"/>
      <c r="L145" s="122">
        <f t="shared" si="17"/>
        <v>9077</v>
      </c>
      <c r="M145" s="122">
        <f t="shared" si="18"/>
        <v>-22548</v>
      </c>
    </row>
    <row r="146" spans="1:14" x14ac:dyDescent="0.2">
      <c r="A146" s="145">
        <v>47</v>
      </c>
      <c r="B146" s="145">
        <v>1995</v>
      </c>
      <c r="C146" s="124" t="s">
        <v>203</v>
      </c>
      <c r="D146" s="117">
        <v>-98031</v>
      </c>
      <c r="E146" s="125">
        <v>-11319</v>
      </c>
      <c r="F146" s="126"/>
      <c r="G146" s="122">
        <f t="shared" si="16"/>
        <v>-109350</v>
      </c>
      <c r="H146" s="128"/>
      <c r="I146" s="117">
        <v>21501</v>
      </c>
      <c r="J146" s="125">
        <v>9768</v>
      </c>
      <c r="K146" s="125"/>
      <c r="L146" s="122">
        <f t="shared" si="17"/>
        <v>31269</v>
      </c>
      <c r="M146" s="122">
        <f t="shared" si="18"/>
        <v>-78081</v>
      </c>
    </row>
    <row r="147" spans="1:14" x14ac:dyDescent="0.2">
      <c r="A147" s="147"/>
      <c r="B147" s="147" t="s">
        <v>204</v>
      </c>
      <c r="C147" s="132"/>
      <c r="D147" s="117"/>
      <c r="E147" s="126"/>
      <c r="F147" s="126"/>
      <c r="G147" s="127"/>
      <c r="H147" s="102"/>
      <c r="I147" s="126"/>
      <c r="J147" s="126"/>
      <c r="K147" s="126"/>
      <c r="L147" s="127"/>
      <c r="M147" s="133"/>
    </row>
    <row r="148" spans="1:14" x14ac:dyDescent="0.2">
      <c r="A148" s="147"/>
      <c r="B148" s="147"/>
      <c r="C148" s="132" t="s">
        <v>51</v>
      </c>
      <c r="D148" s="133">
        <f>SUM(D98:D147)</f>
        <v>71205185</v>
      </c>
      <c r="E148" s="133">
        <f>SUM(E98:E147)</f>
        <v>4333649</v>
      </c>
      <c r="F148" s="134">
        <f>SUM(F98:F147)</f>
        <v>-1748334</v>
      </c>
      <c r="G148" s="133">
        <f>SUM(G98:G147)</f>
        <v>73790500</v>
      </c>
      <c r="H148" s="133"/>
      <c r="I148" s="134">
        <f>SUM(I98:I147)</f>
        <v>-29310689</v>
      </c>
      <c r="J148" s="134">
        <f>SUM(J98:J147)</f>
        <v>-2129050</v>
      </c>
      <c r="K148" s="133">
        <f>SUM(K98:K147)</f>
        <v>1264345</v>
      </c>
      <c r="L148" s="134">
        <f>SUM(L98:L147)</f>
        <v>-30175394</v>
      </c>
      <c r="M148" s="133">
        <f>SUM(M98:M147)</f>
        <v>43615106</v>
      </c>
    </row>
    <row r="149" spans="1:14" ht="25.5" x14ac:dyDescent="0.2">
      <c r="A149" s="147"/>
      <c r="B149" s="147"/>
      <c r="C149" s="124" t="s">
        <v>205</v>
      </c>
      <c r="D149" s="135"/>
      <c r="E149" s="135"/>
      <c r="F149" s="135"/>
      <c r="G149" s="127">
        <f t="shared" ref="G149:G150" si="22">D149+E149+F149</f>
        <v>0</v>
      </c>
      <c r="H149" s="102"/>
      <c r="I149" s="135"/>
      <c r="J149" s="135"/>
      <c r="K149" s="135"/>
      <c r="L149" s="127">
        <f t="shared" ref="L149:L150" si="23">I149+J149+K149</f>
        <v>0</v>
      </c>
      <c r="M149" s="133">
        <f t="shared" ref="M149:M150" si="24">G149+L149</f>
        <v>0</v>
      </c>
    </row>
    <row r="150" spans="1:14" ht="25.5" x14ac:dyDescent="0.2">
      <c r="A150" s="147"/>
      <c r="B150" s="147"/>
      <c r="C150" s="136" t="s">
        <v>206</v>
      </c>
      <c r="D150" s="135"/>
      <c r="E150" s="135"/>
      <c r="F150" s="135"/>
      <c r="G150" s="127">
        <f t="shared" si="22"/>
        <v>0</v>
      </c>
      <c r="H150" s="102"/>
      <c r="I150" s="135"/>
      <c r="J150" s="135"/>
      <c r="K150" s="135"/>
      <c r="L150" s="127">
        <f t="shared" si="23"/>
        <v>0</v>
      </c>
      <c r="M150" s="133">
        <f t="shared" si="24"/>
        <v>0</v>
      </c>
    </row>
    <row r="151" spans="1:14" x14ac:dyDescent="0.2">
      <c r="A151" s="147"/>
      <c r="B151" s="147"/>
      <c r="C151" s="132" t="s">
        <v>207</v>
      </c>
      <c r="D151" s="133">
        <f>SUM(D148:D150)</f>
        <v>71205185</v>
      </c>
      <c r="E151" s="133">
        <f t="shared" ref="E151:G151" si="25">SUM(E148:E150)</f>
        <v>4333649</v>
      </c>
      <c r="F151" s="134">
        <f t="shared" si="25"/>
        <v>-1748334</v>
      </c>
      <c r="G151" s="133">
        <f t="shared" si="25"/>
        <v>73790500</v>
      </c>
      <c r="H151" s="133"/>
      <c r="I151" s="134">
        <f t="shared" ref="I151:M151" si="26">SUM(I148:I150)</f>
        <v>-29310689</v>
      </c>
      <c r="J151" s="134">
        <f t="shared" si="26"/>
        <v>-2129050</v>
      </c>
      <c r="K151" s="133">
        <f t="shared" si="26"/>
        <v>1264345</v>
      </c>
      <c r="L151" s="134">
        <f t="shared" si="26"/>
        <v>-30175394</v>
      </c>
      <c r="M151" s="133">
        <f t="shared" si="26"/>
        <v>43615106</v>
      </c>
    </row>
    <row r="152" spans="1:14" x14ac:dyDescent="0.2">
      <c r="A152" s="143"/>
      <c r="B152" s="143"/>
      <c r="C152" s="97"/>
      <c r="D152" s="97"/>
      <c r="E152" s="97"/>
      <c r="F152" s="97"/>
      <c r="G152" s="97"/>
      <c r="H152" s="102"/>
      <c r="I152" s="97"/>
      <c r="J152" s="97"/>
      <c r="K152" s="97"/>
      <c r="L152" s="97"/>
      <c r="M152" s="97"/>
    </row>
    <row r="153" spans="1:14" x14ac:dyDescent="0.2">
      <c r="A153" s="143"/>
      <c r="B153" s="143"/>
      <c r="C153" s="97"/>
      <c r="D153" s="97"/>
      <c r="E153" s="148"/>
      <c r="F153" s="97"/>
      <c r="G153" s="137" t="s">
        <v>208</v>
      </c>
      <c r="H153" s="102"/>
      <c r="I153" s="97"/>
      <c r="J153" s="137"/>
      <c r="K153" s="97"/>
      <c r="L153" s="97"/>
      <c r="M153" s="97"/>
    </row>
    <row r="154" spans="1:14" x14ac:dyDescent="0.2">
      <c r="A154" s="149"/>
      <c r="B154" s="149"/>
      <c r="C154" s="102"/>
      <c r="D154" s="97"/>
      <c r="E154" s="97"/>
      <c r="F154" s="97"/>
      <c r="G154" s="137" t="s">
        <v>209</v>
      </c>
      <c r="H154" s="102"/>
      <c r="I154" s="97"/>
      <c r="J154" s="117">
        <v>855</v>
      </c>
      <c r="K154" s="97"/>
      <c r="L154" s="97"/>
      <c r="M154" s="97"/>
    </row>
    <row r="155" spans="1:14" x14ac:dyDescent="0.2">
      <c r="A155" s="149"/>
      <c r="B155" s="149"/>
      <c r="C155" s="102"/>
      <c r="D155" s="97"/>
      <c r="E155" s="97"/>
      <c r="F155" s="97"/>
      <c r="G155" s="137" t="s">
        <v>210</v>
      </c>
      <c r="H155" s="102"/>
      <c r="I155" s="97"/>
      <c r="J155" s="117">
        <v>380</v>
      </c>
      <c r="K155" s="97"/>
      <c r="L155" s="97"/>
      <c r="M155" s="97"/>
    </row>
    <row r="156" spans="1:14" x14ac:dyDescent="0.2">
      <c r="A156" s="149"/>
      <c r="B156" s="149"/>
      <c r="C156" s="102"/>
      <c r="D156" s="97"/>
      <c r="E156" s="97"/>
      <c r="F156" s="97"/>
      <c r="G156" s="137" t="s">
        <v>211</v>
      </c>
      <c r="H156" s="102"/>
      <c r="I156" s="97"/>
      <c r="J156" s="117">
        <v>1163</v>
      </c>
      <c r="K156" s="97"/>
      <c r="L156" s="97"/>
      <c r="M156" s="97"/>
    </row>
    <row r="157" spans="1:14" x14ac:dyDescent="0.2">
      <c r="A157" s="149"/>
      <c r="B157" s="149"/>
      <c r="C157" s="102"/>
      <c r="D157" s="97"/>
      <c r="E157" s="97"/>
      <c r="F157" s="97"/>
      <c r="G157" s="137" t="s">
        <v>212</v>
      </c>
      <c r="H157" s="102"/>
      <c r="I157" s="97"/>
      <c r="J157" s="117">
        <v>1036</v>
      </c>
      <c r="K157" s="97"/>
      <c r="L157" s="97"/>
      <c r="M157" s="97"/>
    </row>
    <row r="158" spans="1:14" x14ac:dyDescent="0.2">
      <c r="A158" s="143"/>
      <c r="B158" s="143"/>
      <c r="C158" s="97"/>
      <c r="D158" s="97"/>
      <c r="E158" s="97"/>
      <c r="F158" s="97"/>
      <c r="G158" s="139" t="s">
        <v>213</v>
      </c>
      <c r="H158" s="102"/>
      <c r="I158" s="97"/>
      <c r="J158" s="134">
        <f>J151+(J154+J155+J156+J157)</f>
        <v>-2125616</v>
      </c>
      <c r="K158" s="97"/>
      <c r="L158" s="97"/>
      <c r="M158" s="97"/>
    </row>
    <row r="159" spans="1:14" x14ac:dyDescent="0.2">
      <c r="A159" s="143"/>
      <c r="B159" s="143"/>
      <c r="C159" s="97"/>
      <c r="D159" s="97"/>
      <c r="E159" s="97"/>
      <c r="F159" s="97"/>
      <c r="G159" s="97"/>
      <c r="H159" s="102"/>
      <c r="I159" s="97"/>
      <c r="J159" s="97"/>
      <c r="K159" s="97"/>
      <c r="L159" s="97"/>
      <c r="M159" s="97"/>
      <c r="N159" s="140"/>
    </row>
    <row r="161" spans="1:13" ht="18" x14ac:dyDescent="0.2">
      <c r="A161" s="822" t="s">
        <v>139</v>
      </c>
      <c r="B161" s="822"/>
      <c r="C161" s="822"/>
      <c r="D161" s="822"/>
      <c r="E161" s="822"/>
      <c r="F161" s="822"/>
      <c r="G161" s="822"/>
      <c r="H161" s="822"/>
      <c r="I161" s="822"/>
      <c r="J161" s="822"/>
      <c r="K161" s="822"/>
      <c r="L161" s="822"/>
      <c r="M161" s="822"/>
    </row>
    <row r="162" spans="1:13" ht="18" x14ac:dyDescent="0.2">
      <c r="A162" s="822" t="s">
        <v>140</v>
      </c>
      <c r="B162" s="822"/>
      <c r="C162" s="822"/>
      <c r="D162" s="822"/>
      <c r="E162" s="822"/>
      <c r="F162" s="822"/>
      <c r="G162" s="822"/>
      <c r="H162" s="822"/>
      <c r="I162" s="822"/>
      <c r="J162" s="822"/>
      <c r="K162" s="822"/>
      <c r="L162" s="822"/>
      <c r="M162" s="822"/>
    </row>
    <row r="164" spans="1:13" ht="15" x14ac:dyDescent="0.25">
      <c r="C164" s="97"/>
      <c r="E164" s="98" t="s">
        <v>141</v>
      </c>
      <c r="F164" s="99">
        <v>2013</v>
      </c>
      <c r="G164" s="100" t="s">
        <v>219</v>
      </c>
    </row>
    <row r="166" spans="1:13" x14ac:dyDescent="0.2">
      <c r="A166" s="143"/>
      <c r="B166" s="143"/>
      <c r="C166" s="97"/>
      <c r="D166" s="826" t="s">
        <v>142</v>
      </c>
      <c r="E166" s="827"/>
      <c r="F166" s="827"/>
      <c r="G166" s="828"/>
      <c r="H166" s="102"/>
      <c r="I166" s="103"/>
      <c r="J166" s="104" t="s">
        <v>143</v>
      </c>
      <c r="K166" s="104"/>
      <c r="L166" s="105"/>
      <c r="M166" s="102"/>
    </row>
    <row r="167" spans="1:13" ht="25.5" x14ac:dyDescent="0.2">
      <c r="A167" s="109" t="s">
        <v>144</v>
      </c>
      <c r="B167" s="110" t="s">
        <v>145</v>
      </c>
      <c r="C167" s="108" t="s">
        <v>146</v>
      </c>
      <c r="D167" s="109" t="s">
        <v>147</v>
      </c>
      <c r="E167" s="110" t="s">
        <v>148</v>
      </c>
      <c r="F167" s="110" t="s">
        <v>149</v>
      </c>
      <c r="G167" s="109" t="s">
        <v>150</v>
      </c>
      <c r="H167" s="111"/>
      <c r="I167" s="112" t="s">
        <v>147</v>
      </c>
      <c r="J167" s="113" t="s">
        <v>148</v>
      </c>
      <c r="K167" s="113" t="s">
        <v>149</v>
      </c>
      <c r="L167" s="114" t="s">
        <v>150</v>
      </c>
      <c r="M167" s="109" t="s">
        <v>151</v>
      </c>
    </row>
    <row r="168" spans="1:13" ht="25.5" x14ac:dyDescent="0.2">
      <c r="A168" s="144" t="s">
        <v>152</v>
      </c>
      <c r="B168" s="144">
        <v>1609</v>
      </c>
      <c r="C168" s="116" t="s">
        <v>153</v>
      </c>
      <c r="D168" s="117">
        <v>0</v>
      </c>
      <c r="E168" s="117">
        <v>29835</v>
      </c>
      <c r="F168" s="117"/>
      <c r="G168" s="122">
        <f t="shared" ref="G168:G187" si="27">D168+E168+F168</f>
        <v>29835</v>
      </c>
      <c r="H168" s="121"/>
      <c r="I168" s="117">
        <v>0</v>
      </c>
      <c r="J168" s="117">
        <v>0</v>
      </c>
      <c r="K168" s="117"/>
      <c r="L168" s="122">
        <f t="shared" ref="L168:L187" si="28">I168+J168+K168</f>
        <v>0</v>
      </c>
      <c r="M168" s="122">
        <f t="shared" ref="M168:M187" si="29">G168+L168</f>
        <v>29835</v>
      </c>
    </row>
    <row r="169" spans="1:13" x14ac:dyDescent="0.2">
      <c r="A169" s="145">
        <v>47</v>
      </c>
      <c r="B169" s="145">
        <v>1820</v>
      </c>
      <c r="C169" s="124" t="s">
        <v>154</v>
      </c>
      <c r="D169" s="117">
        <v>466497</v>
      </c>
      <c r="E169" s="117"/>
      <c r="F169" s="117"/>
      <c r="G169" s="122">
        <f t="shared" si="27"/>
        <v>466497</v>
      </c>
      <c r="H169" s="128"/>
      <c r="I169" s="117">
        <v>-185350</v>
      </c>
      <c r="J169" s="125">
        <v>-17266</v>
      </c>
      <c r="K169" s="117"/>
      <c r="L169" s="122">
        <f t="shared" si="28"/>
        <v>-202616</v>
      </c>
      <c r="M169" s="122">
        <f t="shared" si="29"/>
        <v>263881</v>
      </c>
    </row>
    <row r="170" spans="1:13" x14ac:dyDescent="0.2">
      <c r="A170" s="145">
        <v>47</v>
      </c>
      <c r="B170" s="145">
        <v>1830</v>
      </c>
      <c r="C170" s="124" t="s">
        <v>220</v>
      </c>
      <c r="D170" s="117">
        <v>20627452</v>
      </c>
      <c r="E170" s="125">
        <v>1441178</v>
      </c>
      <c r="F170" s="117">
        <v>-30466</v>
      </c>
      <c r="G170" s="122">
        <f t="shared" si="27"/>
        <v>22038164</v>
      </c>
      <c r="H170" s="128"/>
      <c r="I170" s="117">
        <v>-9325608</v>
      </c>
      <c r="J170" s="125">
        <v>-986083</v>
      </c>
      <c r="K170" s="126">
        <v>30409</v>
      </c>
      <c r="L170" s="122">
        <f t="shared" si="28"/>
        <v>-10281282</v>
      </c>
      <c r="M170" s="122">
        <f t="shared" si="29"/>
        <v>11756882</v>
      </c>
    </row>
    <row r="171" spans="1:13" x14ac:dyDescent="0.2">
      <c r="A171" s="145">
        <v>47</v>
      </c>
      <c r="B171" s="145">
        <v>1835</v>
      </c>
      <c r="C171" s="124" t="s">
        <v>221</v>
      </c>
      <c r="D171" s="117">
        <v>13556975</v>
      </c>
      <c r="E171" s="125">
        <v>742157</v>
      </c>
      <c r="F171" s="126"/>
      <c r="G171" s="122">
        <f t="shared" si="27"/>
        <v>14299132</v>
      </c>
      <c r="H171" s="128"/>
      <c r="I171" s="117">
        <v>-4174410</v>
      </c>
      <c r="J171" s="125">
        <v>-601929</v>
      </c>
      <c r="K171" s="125"/>
      <c r="L171" s="122">
        <f t="shared" si="28"/>
        <v>-4776339</v>
      </c>
      <c r="M171" s="122">
        <f t="shared" si="29"/>
        <v>9522793</v>
      </c>
    </row>
    <row r="172" spans="1:13" x14ac:dyDescent="0.2">
      <c r="A172" s="145">
        <v>47</v>
      </c>
      <c r="B172" s="145">
        <v>1840</v>
      </c>
      <c r="C172" s="124" t="s">
        <v>222</v>
      </c>
      <c r="D172" s="117">
        <v>1366196</v>
      </c>
      <c r="E172" s="125">
        <v>466277</v>
      </c>
      <c r="F172" s="126"/>
      <c r="G172" s="122">
        <f t="shared" si="27"/>
        <v>1832473</v>
      </c>
      <c r="H172" s="128"/>
      <c r="I172" s="117">
        <v>-147380</v>
      </c>
      <c r="J172" s="125">
        <v>-65675</v>
      </c>
      <c r="K172" s="125"/>
      <c r="L172" s="122">
        <f t="shared" si="28"/>
        <v>-213055</v>
      </c>
      <c r="M172" s="122">
        <f t="shared" si="29"/>
        <v>1619418</v>
      </c>
    </row>
    <row r="173" spans="1:13" x14ac:dyDescent="0.2">
      <c r="A173" s="145">
        <v>47</v>
      </c>
      <c r="B173" s="145">
        <v>1845</v>
      </c>
      <c r="C173" s="124" t="s">
        <v>223</v>
      </c>
      <c r="D173" s="117">
        <v>7702253</v>
      </c>
      <c r="E173" s="125">
        <v>1006024</v>
      </c>
      <c r="F173" s="126"/>
      <c r="G173" s="122">
        <f t="shared" si="27"/>
        <v>8708277</v>
      </c>
      <c r="H173" s="128"/>
      <c r="I173" s="117">
        <v>-3666462</v>
      </c>
      <c r="J173" s="125">
        <v>-341852</v>
      </c>
      <c r="K173" s="125"/>
      <c r="L173" s="122">
        <f t="shared" si="28"/>
        <v>-4008314</v>
      </c>
      <c r="M173" s="122">
        <f t="shared" si="29"/>
        <v>4699963</v>
      </c>
    </row>
    <row r="174" spans="1:13" x14ac:dyDescent="0.2">
      <c r="A174" s="145">
        <v>47</v>
      </c>
      <c r="B174" s="145">
        <v>1850</v>
      </c>
      <c r="C174" s="124" t="s">
        <v>224</v>
      </c>
      <c r="D174" s="117">
        <v>12387905</v>
      </c>
      <c r="E174" s="125">
        <v>751409</v>
      </c>
      <c r="F174" s="126"/>
      <c r="G174" s="122">
        <f t="shared" si="27"/>
        <v>13139314</v>
      </c>
      <c r="H174" s="128"/>
      <c r="I174" s="117">
        <v>-4738267</v>
      </c>
      <c r="J174" s="125">
        <v>-517158</v>
      </c>
      <c r="K174" s="125"/>
      <c r="L174" s="122">
        <f t="shared" si="28"/>
        <v>-5255425</v>
      </c>
      <c r="M174" s="122">
        <f t="shared" si="29"/>
        <v>7883889</v>
      </c>
    </row>
    <row r="175" spans="1:13" x14ac:dyDescent="0.2">
      <c r="A175" s="145">
        <v>47</v>
      </c>
      <c r="B175" s="145">
        <v>1855</v>
      </c>
      <c r="C175" s="124" t="s">
        <v>225</v>
      </c>
      <c r="D175" s="117">
        <v>2683092</v>
      </c>
      <c r="E175" s="125">
        <v>328565</v>
      </c>
      <c r="F175" s="126"/>
      <c r="G175" s="122">
        <f t="shared" si="27"/>
        <v>3011657</v>
      </c>
      <c r="H175" s="128"/>
      <c r="I175" s="117">
        <v>-830444</v>
      </c>
      <c r="J175" s="125">
        <v>-114508</v>
      </c>
      <c r="K175" s="125"/>
      <c r="L175" s="122">
        <f t="shared" si="28"/>
        <v>-944952</v>
      </c>
      <c r="M175" s="122">
        <f t="shared" si="29"/>
        <v>2066705</v>
      </c>
    </row>
    <row r="176" spans="1:13" x14ac:dyDescent="0.2">
      <c r="A176" s="145">
        <v>47</v>
      </c>
      <c r="B176" s="145">
        <v>1860</v>
      </c>
      <c r="C176" s="124" t="s">
        <v>47</v>
      </c>
      <c r="D176" s="117">
        <f>6758883-D177</f>
        <v>3034121</v>
      </c>
      <c r="E176" s="125">
        <f>149665-E177</f>
        <v>91080</v>
      </c>
      <c r="F176" s="125">
        <v>-1666572</v>
      </c>
      <c r="G176" s="122">
        <f t="shared" si="27"/>
        <v>1458629</v>
      </c>
      <c r="H176" s="128"/>
      <c r="I176" s="117">
        <f>-2070790-I177</f>
        <v>-1313129</v>
      </c>
      <c r="J176" s="125">
        <f>-368431-J177</f>
        <v>-123701</v>
      </c>
      <c r="K176" s="125">
        <v>1182640</v>
      </c>
      <c r="L176" s="122">
        <f t="shared" si="28"/>
        <v>-254190</v>
      </c>
      <c r="M176" s="122">
        <f t="shared" si="29"/>
        <v>1204439</v>
      </c>
    </row>
    <row r="177" spans="1:13" x14ac:dyDescent="0.2">
      <c r="A177" s="145">
        <v>47</v>
      </c>
      <c r="B177" s="145">
        <v>1860</v>
      </c>
      <c r="C177" s="124" t="s">
        <v>226</v>
      </c>
      <c r="D177" s="117">
        <v>3724762</v>
      </c>
      <c r="E177" s="125">
        <v>58585</v>
      </c>
      <c r="F177" s="117"/>
      <c r="G177" s="122">
        <f t="shared" si="27"/>
        <v>3783347</v>
      </c>
      <c r="H177" s="128"/>
      <c r="I177" s="117">
        <v>-757661</v>
      </c>
      <c r="J177" s="125">
        <v>-244730</v>
      </c>
      <c r="K177" s="117"/>
      <c r="L177" s="122">
        <f t="shared" si="28"/>
        <v>-1002391</v>
      </c>
      <c r="M177" s="122">
        <f t="shared" si="29"/>
        <v>2780956</v>
      </c>
    </row>
    <row r="178" spans="1:13" x14ac:dyDescent="0.2">
      <c r="A178" s="146" t="s">
        <v>175</v>
      </c>
      <c r="B178" s="146">
        <v>1905</v>
      </c>
      <c r="C178" s="130" t="s">
        <v>176</v>
      </c>
      <c r="D178" s="117">
        <v>127139</v>
      </c>
      <c r="E178" s="125"/>
      <c r="F178" s="125"/>
      <c r="G178" s="122">
        <f t="shared" si="27"/>
        <v>127139</v>
      </c>
      <c r="H178" s="128"/>
      <c r="I178" s="117"/>
      <c r="J178" s="125"/>
      <c r="K178" s="125"/>
      <c r="L178" s="122">
        <f t="shared" si="28"/>
        <v>0</v>
      </c>
      <c r="M178" s="122">
        <f t="shared" si="29"/>
        <v>127139</v>
      </c>
    </row>
    <row r="179" spans="1:13" x14ac:dyDescent="0.2">
      <c r="A179" s="145" t="s">
        <v>152</v>
      </c>
      <c r="B179" s="145">
        <v>1612</v>
      </c>
      <c r="C179" s="124" t="s">
        <v>177</v>
      </c>
      <c r="D179" s="117">
        <v>695389</v>
      </c>
      <c r="E179" s="118"/>
      <c r="F179" s="119"/>
      <c r="G179" s="122">
        <f>D179+E179+F179</f>
        <v>695389</v>
      </c>
      <c r="H179" s="121"/>
      <c r="I179" s="117">
        <v>-259892</v>
      </c>
      <c r="J179" s="118">
        <v>-20721</v>
      </c>
      <c r="K179" s="118"/>
      <c r="L179" s="122">
        <f>I179+J179+K179</f>
        <v>-280613</v>
      </c>
      <c r="M179" s="122">
        <f>G179+L179</f>
        <v>414776</v>
      </c>
    </row>
    <row r="180" spans="1:13" x14ac:dyDescent="0.2">
      <c r="A180" s="145" t="s">
        <v>178</v>
      </c>
      <c r="B180" s="145">
        <v>1908</v>
      </c>
      <c r="C180" s="124" t="s">
        <v>179</v>
      </c>
      <c r="D180" s="117">
        <v>2190518</v>
      </c>
      <c r="E180" s="125">
        <v>1450</v>
      </c>
      <c r="F180" s="126"/>
      <c r="G180" s="122">
        <f t="shared" si="27"/>
        <v>2191968</v>
      </c>
      <c r="H180" s="128"/>
      <c r="I180" s="117">
        <v>-467768</v>
      </c>
      <c r="J180" s="125">
        <v>-51546</v>
      </c>
      <c r="K180" s="125"/>
      <c r="L180" s="122">
        <f t="shared" si="28"/>
        <v>-519314</v>
      </c>
      <c r="M180" s="122">
        <f t="shared" si="29"/>
        <v>1672654</v>
      </c>
    </row>
    <row r="181" spans="1:13" x14ac:dyDescent="0.2">
      <c r="A181" s="145">
        <v>8</v>
      </c>
      <c r="B181" s="145">
        <v>1915</v>
      </c>
      <c r="C181" s="124" t="s">
        <v>180</v>
      </c>
      <c r="D181" s="117">
        <v>365636</v>
      </c>
      <c r="E181" s="125">
        <v>13200</v>
      </c>
      <c r="F181" s="125">
        <v>-1023</v>
      </c>
      <c r="G181" s="122">
        <f t="shared" si="27"/>
        <v>377813</v>
      </c>
      <c r="H181" s="128"/>
      <c r="I181" s="117">
        <v>-261240</v>
      </c>
      <c r="J181" s="125">
        <v>-22925</v>
      </c>
      <c r="K181" s="125">
        <v>1023</v>
      </c>
      <c r="L181" s="122">
        <f t="shared" si="28"/>
        <v>-283142</v>
      </c>
      <c r="M181" s="122">
        <f t="shared" si="29"/>
        <v>94671</v>
      </c>
    </row>
    <row r="182" spans="1:13" x14ac:dyDescent="0.2">
      <c r="A182" s="145">
        <v>50</v>
      </c>
      <c r="B182" s="145">
        <v>1920</v>
      </c>
      <c r="C182" s="124" t="s">
        <v>181</v>
      </c>
      <c r="D182" s="117">
        <v>585095</v>
      </c>
      <c r="E182" s="125">
        <v>48670</v>
      </c>
      <c r="F182" s="125"/>
      <c r="G182" s="122">
        <f t="shared" si="27"/>
        <v>633765</v>
      </c>
      <c r="H182" s="128"/>
      <c r="I182" s="117">
        <v>-395997</v>
      </c>
      <c r="J182" s="125">
        <v>-70069</v>
      </c>
      <c r="K182" s="125"/>
      <c r="L182" s="122">
        <f t="shared" si="28"/>
        <v>-466066</v>
      </c>
      <c r="M182" s="122">
        <f t="shared" si="29"/>
        <v>167699</v>
      </c>
    </row>
    <row r="183" spans="1:13" x14ac:dyDescent="0.2">
      <c r="A183" s="145">
        <v>50</v>
      </c>
      <c r="B183" s="145">
        <v>1611</v>
      </c>
      <c r="C183" s="124" t="s">
        <v>182</v>
      </c>
      <c r="D183" s="117">
        <v>2765069</v>
      </c>
      <c r="E183" s="118">
        <v>96016</v>
      </c>
      <c r="F183" s="118"/>
      <c r="G183" s="122">
        <f>D183+E183+F183</f>
        <v>2861085</v>
      </c>
      <c r="H183" s="121"/>
      <c r="I183" s="117">
        <v>-2101504</v>
      </c>
      <c r="J183" s="118">
        <v>-325465</v>
      </c>
      <c r="K183" s="118"/>
      <c r="L183" s="122">
        <f>I183+J183+K183</f>
        <v>-2426969</v>
      </c>
      <c r="M183" s="122">
        <f>G183+L183</f>
        <v>434116</v>
      </c>
    </row>
    <row r="184" spans="1:13" x14ac:dyDescent="0.2">
      <c r="A184" s="145">
        <v>10</v>
      </c>
      <c r="B184" s="145">
        <v>1930</v>
      </c>
      <c r="C184" s="124" t="s">
        <v>227</v>
      </c>
      <c r="D184" s="117">
        <v>2207646</v>
      </c>
      <c r="E184" s="125">
        <v>260503</v>
      </c>
      <c r="F184" s="125">
        <v>-50273</v>
      </c>
      <c r="G184" s="122">
        <f t="shared" si="27"/>
        <v>2417876</v>
      </c>
      <c r="H184" s="128"/>
      <c r="I184" s="117">
        <v>-1183300</v>
      </c>
      <c r="J184" s="125">
        <v>-207032</v>
      </c>
      <c r="K184" s="125">
        <v>50273</v>
      </c>
      <c r="L184" s="122">
        <f t="shared" si="28"/>
        <v>-1340059</v>
      </c>
      <c r="M184" s="122">
        <f t="shared" si="29"/>
        <v>1077817</v>
      </c>
    </row>
    <row r="185" spans="1:13" x14ac:dyDescent="0.2">
      <c r="A185" s="145">
        <v>8</v>
      </c>
      <c r="B185" s="145">
        <v>1940</v>
      </c>
      <c r="C185" s="124" t="s">
        <v>186</v>
      </c>
      <c r="D185" s="117">
        <v>795038</v>
      </c>
      <c r="E185" s="125">
        <v>38146</v>
      </c>
      <c r="F185" s="125"/>
      <c r="G185" s="122">
        <f t="shared" si="27"/>
        <v>833184</v>
      </c>
      <c r="H185" s="128"/>
      <c r="I185" s="117">
        <v>-451778</v>
      </c>
      <c r="J185" s="125">
        <v>-57045</v>
      </c>
      <c r="K185" s="125"/>
      <c r="L185" s="122">
        <f t="shared" si="28"/>
        <v>-508823</v>
      </c>
      <c r="M185" s="122">
        <f t="shared" si="29"/>
        <v>324361</v>
      </c>
    </row>
    <row r="186" spans="1:13" x14ac:dyDescent="0.2">
      <c r="A186" s="145">
        <v>8</v>
      </c>
      <c r="B186" s="145">
        <v>1955</v>
      </c>
      <c r="C186" s="124" t="s">
        <v>187</v>
      </c>
      <c r="D186" s="117">
        <v>68074</v>
      </c>
      <c r="E186" s="125"/>
      <c r="F186" s="125"/>
      <c r="G186" s="122">
        <f t="shared" si="27"/>
        <v>68074</v>
      </c>
      <c r="H186" s="128"/>
      <c r="I186" s="117">
        <v>-57942</v>
      </c>
      <c r="J186" s="125">
        <v>-3863</v>
      </c>
      <c r="K186" s="125"/>
      <c r="L186" s="122">
        <f t="shared" si="28"/>
        <v>-61805</v>
      </c>
      <c r="M186" s="122">
        <f t="shared" si="29"/>
        <v>6269</v>
      </c>
    </row>
    <row r="187" spans="1:13" x14ac:dyDescent="0.2">
      <c r="A187" s="145">
        <v>47</v>
      </c>
      <c r="B187" s="145">
        <v>1995</v>
      </c>
      <c r="C187" s="124" t="s">
        <v>228</v>
      </c>
      <c r="D187" s="117">
        <v>-4143672</v>
      </c>
      <c r="E187" s="125">
        <v>-1039446</v>
      </c>
      <c r="F187" s="125"/>
      <c r="G187" s="122">
        <f t="shared" si="27"/>
        <v>-5183118</v>
      </c>
      <c r="H187" s="128"/>
      <c r="I187" s="117">
        <v>1007443</v>
      </c>
      <c r="J187" s="125">
        <v>182818</v>
      </c>
      <c r="K187" s="125"/>
      <c r="L187" s="122">
        <f t="shared" si="28"/>
        <v>1190261</v>
      </c>
      <c r="M187" s="122">
        <f t="shared" si="29"/>
        <v>-3992857</v>
      </c>
    </row>
    <row r="188" spans="1:13" x14ac:dyDescent="0.2">
      <c r="A188" s="147"/>
      <c r="B188" s="147" t="s">
        <v>204</v>
      </c>
      <c r="C188" s="132"/>
      <c r="D188" s="117"/>
      <c r="E188" s="126"/>
      <c r="F188" s="126"/>
      <c r="G188" s="122"/>
      <c r="H188" s="102"/>
      <c r="I188" s="126"/>
      <c r="J188" s="125"/>
      <c r="K188" s="125"/>
      <c r="L188" s="127"/>
      <c r="M188" s="133"/>
    </row>
    <row r="189" spans="1:13" x14ac:dyDescent="0.2">
      <c r="A189" s="147"/>
      <c r="B189" s="147"/>
      <c r="C189" s="132" t="s">
        <v>51</v>
      </c>
      <c r="D189" s="133">
        <f>SUM(D168:D188)</f>
        <v>71205185</v>
      </c>
      <c r="E189" s="133">
        <f>SUM(E168:E188)</f>
        <v>4333649</v>
      </c>
      <c r="F189" s="134">
        <f>SUM(F168:F188)</f>
        <v>-1748334</v>
      </c>
      <c r="G189" s="133">
        <f>SUM(G168:G188)</f>
        <v>73790500</v>
      </c>
      <c r="H189" s="133"/>
      <c r="I189" s="134">
        <f>SUM(I168:I188)</f>
        <v>-29310689</v>
      </c>
      <c r="J189" s="134">
        <f>SUM(J168:J188)</f>
        <v>-3588750</v>
      </c>
      <c r="K189" s="133">
        <f>SUM(K168:K188)</f>
        <v>1264345</v>
      </c>
      <c r="L189" s="134">
        <f>SUM(L168:L188)</f>
        <v>-31635094</v>
      </c>
      <c r="M189" s="133">
        <f>SUM(M168:M188)</f>
        <v>42155406</v>
      </c>
    </row>
    <row r="190" spans="1:13" ht="25.5" x14ac:dyDescent="0.2">
      <c r="A190" s="147"/>
      <c r="B190" s="147"/>
      <c r="C190" s="124" t="s">
        <v>205</v>
      </c>
      <c r="D190" s="135"/>
      <c r="E190" s="135"/>
      <c r="F190" s="135"/>
      <c r="G190" s="127">
        <f t="shared" ref="G190:G191" si="30">D190+E190+F190</f>
        <v>0</v>
      </c>
      <c r="H190" s="102"/>
      <c r="I190" s="135"/>
      <c r="J190" s="135"/>
      <c r="K190" s="135"/>
      <c r="L190" s="127">
        <f t="shared" ref="L190:L191" si="31">I190+J190+K190</f>
        <v>0</v>
      </c>
      <c r="M190" s="133">
        <f t="shared" ref="M190:M191" si="32">G190+L190</f>
        <v>0</v>
      </c>
    </row>
    <row r="191" spans="1:13" ht="25.5" x14ac:dyDescent="0.2">
      <c r="A191" s="147"/>
      <c r="B191" s="147"/>
      <c r="C191" s="136" t="s">
        <v>206</v>
      </c>
      <c r="D191" s="135"/>
      <c r="E191" s="135"/>
      <c r="F191" s="135"/>
      <c r="G191" s="127">
        <f t="shared" si="30"/>
        <v>0</v>
      </c>
      <c r="H191" s="102"/>
      <c r="I191" s="135"/>
      <c r="J191" s="135"/>
      <c r="K191" s="135"/>
      <c r="L191" s="127">
        <f t="shared" si="31"/>
        <v>0</v>
      </c>
      <c r="M191" s="133">
        <f t="shared" si="32"/>
        <v>0</v>
      </c>
    </row>
    <row r="192" spans="1:13" x14ac:dyDescent="0.2">
      <c r="A192" s="147"/>
      <c r="B192" s="147"/>
      <c r="C192" s="132" t="s">
        <v>207</v>
      </c>
      <c r="D192" s="133">
        <f>SUM(D189:D191)</f>
        <v>71205185</v>
      </c>
      <c r="E192" s="133">
        <f t="shared" ref="E192:G192" si="33">SUM(E189:E191)</f>
        <v>4333649</v>
      </c>
      <c r="F192" s="134">
        <f t="shared" si="33"/>
        <v>-1748334</v>
      </c>
      <c r="G192" s="133">
        <f t="shared" si="33"/>
        <v>73790500</v>
      </c>
      <c r="H192" s="133"/>
      <c r="I192" s="134">
        <f t="shared" ref="I192:M192" si="34">SUM(I189:I191)</f>
        <v>-29310689</v>
      </c>
      <c r="J192" s="134">
        <f t="shared" si="34"/>
        <v>-3588750</v>
      </c>
      <c r="K192" s="133">
        <f t="shared" si="34"/>
        <v>1264345</v>
      </c>
      <c r="L192" s="134">
        <f t="shared" si="34"/>
        <v>-31635094</v>
      </c>
      <c r="M192" s="133">
        <f t="shared" si="34"/>
        <v>42155406</v>
      </c>
    </row>
    <row r="193" spans="1:13" x14ac:dyDescent="0.2">
      <c r="A193" s="143"/>
      <c r="B193" s="143"/>
      <c r="C193" s="97"/>
      <c r="D193" s="97"/>
      <c r="E193" s="97"/>
      <c r="F193" s="97"/>
      <c r="G193" s="97"/>
      <c r="H193" s="102"/>
      <c r="I193" s="97"/>
      <c r="J193" s="97"/>
      <c r="K193" s="97"/>
      <c r="L193" s="97"/>
      <c r="M193" s="97"/>
    </row>
    <row r="194" spans="1:13" x14ac:dyDescent="0.2">
      <c r="A194" s="143"/>
      <c r="B194" s="143"/>
      <c r="C194" s="97"/>
      <c r="D194" s="97"/>
      <c r="E194" s="97"/>
      <c r="F194" s="97"/>
      <c r="G194" s="137" t="s">
        <v>208</v>
      </c>
      <c r="H194" s="102"/>
      <c r="I194" s="97"/>
      <c r="J194" s="137"/>
      <c r="K194" s="97"/>
      <c r="L194" s="97"/>
      <c r="M194" s="97"/>
    </row>
    <row r="195" spans="1:13" x14ac:dyDescent="0.2">
      <c r="A195" s="149"/>
      <c r="B195" s="149"/>
      <c r="C195" s="102"/>
      <c r="D195" s="97"/>
      <c r="E195" s="97"/>
      <c r="F195" s="97"/>
      <c r="G195" s="137" t="s">
        <v>209</v>
      </c>
      <c r="H195" s="102"/>
      <c r="I195" s="97"/>
      <c r="J195" s="117">
        <v>855</v>
      </c>
      <c r="K195" s="97"/>
      <c r="L195" s="97"/>
      <c r="M195" s="97"/>
    </row>
    <row r="196" spans="1:13" x14ac:dyDescent="0.2">
      <c r="A196" s="149"/>
      <c r="B196" s="149"/>
      <c r="C196" s="102"/>
      <c r="D196" s="97"/>
      <c r="E196" s="97"/>
      <c r="F196" s="97"/>
      <c r="G196" s="137" t="s">
        <v>210</v>
      </c>
      <c r="H196" s="102"/>
      <c r="I196" s="97"/>
      <c r="J196" s="117">
        <v>380</v>
      </c>
      <c r="K196" s="97"/>
      <c r="L196" s="97"/>
      <c r="M196" s="97"/>
    </row>
    <row r="197" spans="1:13" x14ac:dyDescent="0.2">
      <c r="A197" s="149"/>
      <c r="B197" s="149"/>
      <c r="C197" s="102"/>
      <c r="D197" s="97"/>
      <c r="E197" s="97"/>
      <c r="F197" s="97"/>
      <c r="G197" s="137" t="s">
        <v>211</v>
      </c>
      <c r="H197" s="102"/>
      <c r="I197" s="97"/>
      <c r="J197" s="117">
        <v>1163</v>
      </c>
      <c r="K197" s="97"/>
      <c r="L197" s="97"/>
      <c r="M197" s="97"/>
    </row>
    <row r="198" spans="1:13" x14ac:dyDescent="0.2">
      <c r="A198" s="149"/>
      <c r="B198" s="149"/>
      <c r="C198" s="102"/>
      <c r="D198" s="97"/>
      <c r="E198" s="97"/>
      <c r="F198" s="97"/>
      <c r="G198" s="137" t="s">
        <v>212</v>
      </c>
      <c r="H198" s="102"/>
      <c r="I198" s="97"/>
      <c r="J198" s="117">
        <v>1036</v>
      </c>
      <c r="K198" s="97"/>
      <c r="L198" s="97"/>
      <c r="M198" s="97"/>
    </row>
    <row r="199" spans="1:13" x14ac:dyDescent="0.2">
      <c r="A199" s="143"/>
      <c r="B199" s="143"/>
      <c r="C199" s="97"/>
      <c r="D199" s="97"/>
      <c r="E199" s="97"/>
      <c r="F199" s="97"/>
      <c r="G199" s="139" t="s">
        <v>213</v>
      </c>
      <c r="H199" s="102"/>
      <c r="I199" s="97"/>
      <c r="J199" s="134">
        <f>J192+(J195+J196+J197+J198)</f>
        <v>-3585316</v>
      </c>
      <c r="K199" s="97"/>
      <c r="L199" s="97"/>
      <c r="M199" s="97"/>
    </row>
    <row r="200" spans="1:13" x14ac:dyDescent="0.2">
      <c r="A200" s="143"/>
      <c r="B200" s="143"/>
      <c r="C200" s="97"/>
      <c r="D200" s="97"/>
      <c r="E200" s="97"/>
      <c r="F200" s="97"/>
      <c r="G200" s="97"/>
      <c r="H200" s="102"/>
      <c r="I200" s="97"/>
      <c r="J200" s="97"/>
      <c r="K200" s="97"/>
      <c r="L200" s="97"/>
      <c r="M200" s="97"/>
    </row>
    <row r="202" spans="1:13" ht="18" x14ac:dyDescent="0.2">
      <c r="A202" s="822" t="s">
        <v>139</v>
      </c>
      <c r="B202" s="822"/>
      <c r="C202" s="822"/>
      <c r="D202" s="822"/>
      <c r="E202" s="822"/>
      <c r="F202" s="822"/>
      <c r="G202" s="822"/>
      <c r="H202" s="822"/>
      <c r="I202" s="822"/>
      <c r="J202" s="822"/>
      <c r="K202" s="822"/>
      <c r="L202" s="822"/>
      <c r="M202" s="822"/>
    </row>
    <row r="203" spans="1:13" ht="18" x14ac:dyDescent="0.2">
      <c r="A203" s="822" t="s">
        <v>140</v>
      </c>
      <c r="B203" s="822"/>
      <c r="C203" s="822"/>
      <c r="D203" s="822"/>
      <c r="E203" s="822"/>
      <c r="F203" s="822"/>
      <c r="G203" s="822"/>
      <c r="H203" s="822"/>
      <c r="I203" s="822"/>
      <c r="J203" s="822"/>
      <c r="K203" s="822"/>
      <c r="L203" s="822"/>
      <c r="M203" s="822"/>
    </row>
    <row r="205" spans="1:13" ht="15" x14ac:dyDescent="0.25">
      <c r="C205" s="97"/>
      <c r="E205" s="98" t="s">
        <v>141</v>
      </c>
      <c r="F205" s="99">
        <v>2012</v>
      </c>
      <c r="G205" s="150"/>
    </row>
    <row r="207" spans="1:13" x14ac:dyDescent="0.2">
      <c r="D207" s="823" t="s">
        <v>142</v>
      </c>
      <c r="E207" s="824"/>
      <c r="F207" s="824"/>
      <c r="G207" s="825"/>
      <c r="I207" s="151"/>
      <c r="J207" s="152" t="s">
        <v>143</v>
      </c>
      <c r="K207" s="152"/>
      <c r="L207" s="153"/>
      <c r="M207" s="101"/>
    </row>
    <row r="208" spans="1:13" ht="25.5" x14ac:dyDescent="0.2">
      <c r="A208" s="106" t="s">
        <v>144</v>
      </c>
      <c r="B208" s="107" t="s">
        <v>145</v>
      </c>
      <c r="C208" s="154" t="s">
        <v>146</v>
      </c>
      <c r="D208" s="106" t="s">
        <v>147</v>
      </c>
      <c r="E208" s="107" t="s">
        <v>148</v>
      </c>
      <c r="F208" s="107" t="s">
        <v>149</v>
      </c>
      <c r="G208" s="106" t="s">
        <v>150</v>
      </c>
      <c r="H208" s="155"/>
      <c r="I208" s="156" t="s">
        <v>147</v>
      </c>
      <c r="J208" s="157" t="s">
        <v>148</v>
      </c>
      <c r="K208" s="157" t="s">
        <v>149</v>
      </c>
      <c r="L208" s="158" t="s">
        <v>150</v>
      </c>
      <c r="M208" s="106" t="s">
        <v>151</v>
      </c>
    </row>
    <row r="209" spans="1:13" ht="15" x14ac:dyDescent="0.2">
      <c r="A209" s="123">
        <v>47</v>
      </c>
      <c r="B209" s="123">
        <v>1820</v>
      </c>
      <c r="C209" s="124" t="s">
        <v>154</v>
      </c>
      <c r="D209" s="159">
        <v>466497</v>
      </c>
      <c r="E209" s="159"/>
      <c r="F209" s="159"/>
      <c r="G209" s="160">
        <f t="shared" ref="G209:G227" si="35">D209+E209+F209</f>
        <v>466497</v>
      </c>
      <c r="H209" s="161"/>
      <c r="I209" s="159">
        <v>-168055</v>
      </c>
      <c r="J209" s="159">
        <v>-17295</v>
      </c>
      <c r="K209" s="159"/>
      <c r="L209" s="160">
        <f t="shared" ref="L209:L227" si="36">I209+J209+K209</f>
        <v>-185350</v>
      </c>
      <c r="M209" s="160">
        <f t="shared" ref="M209:M227" si="37">G209+L209</f>
        <v>281147</v>
      </c>
    </row>
    <row r="210" spans="1:13" ht="15" x14ac:dyDescent="0.2">
      <c r="A210" s="123">
        <v>47</v>
      </c>
      <c r="B210" s="123">
        <v>1830</v>
      </c>
      <c r="C210" s="162" t="s">
        <v>220</v>
      </c>
      <c r="D210" s="159">
        <v>19408683</v>
      </c>
      <c r="E210" s="163">
        <v>1218769</v>
      </c>
      <c r="F210" s="164"/>
      <c r="G210" s="160">
        <f t="shared" si="35"/>
        <v>20627452</v>
      </c>
      <c r="H210" s="161"/>
      <c r="I210" s="159">
        <v>-8403354</v>
      </c>
      <c r="J210" s="163">
        <v>-922254</v>
      </c>
      <c r="K210" s="164"/>
      <c r="L210" s="160">
        <f t="shared" si="36"/>
        <v>-9325608</v>
      </c>
      <c r="M210" s="160">
        <f t="shared" si="37"/>
        <v>11301844</v>
      </c>
    </row>
    <row r="211" spans="1:13" ht="15" x14ac:dyDescent="0.2">
      <c r="A211" s="123">
        <v>47</v>
      </c>
      <c r="B211" s="123">
        <v>1835</v>
      </c>
      <c r="C211" s="162" t="s">
        <v>221</v>
      </c>
      <c r="D211" s="159">
        <v>11757488</v>
      </c>
      <c r="E211" s="163">
        <v>1799487</v>
      </c>
      <c r="F211" s="164"/>
      <c r="G211" s="160">
        <f t="shared" si="35"/>
        <v>13556975</v>
      </c>
      <c r="H211" s="161"/>
      <c r="I211" s="159">
        <v>-3618951</v>
      </c>
      <c r="J211" s="163">
        <v>-555459</v>
      </c>
      <c r="K211" s="163"/>
      <c r="L211" s="160">
        <f t="shared" si="36"/>
        <v>-4174410</v>
      </c>
      <c r="M211" s="160">
        <f t="shared" si="37"/>
        <v>9382565</v>
      </c>
    </row>
    <row r="212" spans="1:13" ht="15" x14ac:dyDescent="0.2">
      <c r="A212" s="123">
        <v>47</v>
      </c>
      <c r="B212" s="123">
        <v>1840</v>
      </c>
      <c r="C212" s="162" t="s">
        <v>222</v>
      </c>
      <c r="D212" s="159">
        <v>633781</v>
      </c>
      <c r="E212" s="163">
        <v>732415</v>
      </c>
      <c r="F212" s="164"/>
      <c r="G212" s="160">
        <f t="shared" si="35"/>
        <v>1366196</v>
      </c>
      <c r="H212" s="161"/>
      <c r="I212" s="159">
        <v>-118996</v>
      </c>
      <c r="J212" s="163">
        <v>-28384</v>
      </c>
      <c r="K212" s="163"/>
      <c r="L212" s="160">
        <f t="shared" si="36"/>
        <v>-147380</v>
      </c>
      <c r="M212" s="160">
        <f t="shared" si="37"/>
        <v>1218816</v>
      </c>
    </row>
    <row r="213" spans="1:13" ht="15" x14ac:dyDescent="0.2">
      <c r="A213" s="123">
        <v>47</v>
      </c>
      <c r="B213" s="123">
        <v>1845</v>
      </c>
      <c r="C213" s="162" t="s">
        <v>223</v>
      </c>
      <c r="D213" s="159">
        <v>7292189</v>
      </c>
      <c r="E213" s="163">
        <v>410064</v>
      </c>
      <c r="F213" s="164"/>
      <c r="G213" s="160">
        <f t="shared" si="35"/>
        <v>7702253</v>
      </c>
      <c r="H213" s="161"/>
      <c r="I213" s="159">
        <v>-3352501</v>
      </c>
      <c r="J213" s="163">
        <v>-313961</v>
      </c>
      <c r="K213" s="163"/>
      <c r="L213" s="160">
        <f t="shared" si="36"/>
        <v>-3666462</v>
      </c>
      <c r="M213" s="160">
        <f t="shared" si="37"/>
        <v>4035791</v>
      </c>
    </row>
    <row r="214" spans="1:13" ht="15" x14ac:dyDescent="0.2">
      <c r="A214" s="123">
        <v>47</v>
      </c>
      <c r="B214" s="123">
        <v>1850</v>
      </c>
      <c r="C214" s="162" t="s">
        <v>224</v>
      </c>
      <c r="D214" s="159">
        <v>11614068</v>
      </c>
      <c r="E214" s="163">
        <v>773837</v>
      </c>
      <c r="F214" s="164"/>
      <c r="G214" s="160">
        <f t="shared" si="35"/>
        <v>12387905</v>
      </c>
      <c r="H214" s="161"/>
      <c r="I214" s="159">
        <v>-4246092</v>
      </c>
      <c r="J214" s="163">
        <v>-492175</v>
      </c>
      <c r="K214" s="163"/>
      <c r="L214" s="160">
        <f t="shared" si="36"/>
        <v>-4738267</v>
      </c>
      <c r="M214" s="160">
        <f t="shared" si="37"/>
        <v>7649638</v>
      </c>
    </row>
    <row r="215" spans="1:13" ht="15" x14ac:dyDescent="0.2">
      <c r="A215" s="123">
        <v>47</v>
      </c>
      <c r="B215" s="123">
        <v>1855</v>
      </c>
      <c r="C215" s="162" t="s">
        <v>225</v>
      </c>
      <c r="D215" s="159">
        <v>2551801</v>
      </c>
      <c r="E215" s="163">
        <v>131291</v>
      </c>
      <c r="F215" s="164"/>
      <c r="G215" s="160">
        <f t="shared" si="35"/>
        <v>2683092</v>
      </c>
      <c r="H215" s="161"/>
      <c r="I215" s="159">
        <v>-724980</v>
      </c>
      <c r="J215" s="163">
        <v>-105464</v>
      </c>
      <c r="K215" s="163"/>
      <c r="L215" s="160">
        <f t="shared" si="36"/>
        <v>-830444</v>
      </c>
      <c r="M215" s="160">
        <f t="shared" si="37"/>
        <v>1852648</v>
      </c>
    </row>
    <row r="216" spans="1:13" ht="15" x14ac:dyDescent="0.2">
      <c r="A216" s="123">
        <v>47</v>
      </c>
      <c r="B216" s="123">
        <v>1860</v>
      </c>
      <c r="C216" s="162" t="s">
        <v>47</v>
      </c>
      <c r="D216" s="159">
        <v>3131706</v>
      </c>
      <c r="E216" s="163">
        <f>3628828-E217</f>
        <v>-95933</v>
      </c>
      <c r="F216" s="159">
        <v>-1651</v>
      </c>
      <c r="G216" s="160">
        <f t="shared" si="35"/>
        <v>3034122</v>
      </c>
      <c r="H216" s="161"/>
      <c r="I216" s="159">
        <v>-1196056</v>
      </c>
      <c r="J216" s="163">
        <f>-875448-J217</f>
        <v>-117787</v>
      </c>
      <c r="K216" s="159">
        <v>714</v>
      </c>
      <c r="L216" s="160">
        <f t="shared" si="36"/>
        <v>-1313129</v>
      </c>
      <c r="M216" s="160">
        <f t="shared" si="37"/>
        <v>1720993</v>
      </c>
    </row>
    <row r="217" spans="1:13" ht="15" x14ac:dyDescent="0.2">
      <c r="A217" s="123">
        <v>47</v>
      </c>
      <c r="B217" s="123">
        <v>1860</v>
      </c>
      <c r="C217" s="165" t="s">
        <v>226</v>
      </c>
      <c r="D217" s="159">
        <v>0</v>
      </c>
      <c r="E217" s="163">
        <v>3724761</v>
      </c>
      <c r="F217" s="159"/>
      <c r="G217" s="160">
        <f t="shared" si="35"/>
        <v>3724761</v>
      </c>
      <c r="H217" s="161"/>
      <c r="I217" s="159">
        <v>0</v>
      </c>
      <c r="J217" s="163">
        <v>-757661</v>
      </c>
      <c r="K217" s="159"/>
      <c r="L217" s="160">
        <f t="shared" si="36"/>
        <v>-757661</v>
      </c>
      <c r="M217" s="160">
        <f t="shared" si="37"/>
        <v>2967100</v>
      </c>
    </row>
    <row r="218" spans="1:13" ht="15" x14ac:dyDescent="0.2">
      <c r="A218" s="129" t="s">
        <v>175</v>
      </c>
      <c r="B218" s="129">
        <v>1905</v>
      </c>
      <c r="C218" s="165" t="s">
        <v>176</v>
      </c>
      <c r="D218" s="159">
        <v>131279</v>
      </c>
      <c r="E218" s="163"/>
      <c r="F218" s="163">
        <v>-4140</v>
      </c>
      <c r="G218" s="160">
        <f t="shared" si="35"/>
        <v>127139</v>
      </c>
      <c r="H218" s="161"/>
      <c r="I218" s="159"/>
      <c r="J218" s="163"/>
      <c r="K218" s="163"/>
      <c r="L218" s="160">
        <f t="shared" si="36"/>
        <v>0</v>
      </c>
      <c r="M218" s="160">
        <f t="shared" si="37"/>
        <v>127139</v>
      </c>
    </row>
    <row r="219" spans="1:13" ht="15" x14ac:dyDescent="0.2">
      <c r="A219" s="123" t="s">
        <v>152</v>
      </c>
      <c r="B219" s="123">
        <v>1612</v>
      </c>
      <c r="C219" s="124" t="s">
        <v>177</v>
      </c>
      <c r="D219" s="159">
        <v>695389</v>
      </c>
      <c r="E219" s="166"/>
      <c r="F219" s="167"/>
      <c r="G219" s="160">
        <f>D219+E219+F219</f>
        <v>695389</v>
      </c>
      <c r="H219" s="168"/>
      <c r="I219" s="159">
        <v>-239115</v>
      </c>
      <c r="J219" s="166">
        <v>-20777</v>
      </c>
      <c r="K219" s="166"/>
      <c r="L219" s="160">
        <f>I219+J219+K219</f>
        <v>-259892</v>
      </c>
      <c r="M219" s="160">
        <f>G219+L219</f>
        <v>435497</v>
      </c>
    </row>
    <row r="220" spans="1:13" ht="15" x14ac:dyDescent="0.2">
      <c r="A220" s="123" t="s">
        <v>178</v>
      </c>
      <c r="B220" s="123">
        <v>1908</v>
      </c>
      <c r="C220" s="162" t="s">
        <v>179</v>
      </c>
      <c r="D220" s="159">
        <v>2168016</v>
      </c>
      <c r="E220" s="163">
        <v>22502</v>
      </c>
      <c r="F220" s="164"/>
      <c r="G220" s="160">
        <f t="shared" si="35"/>
        <v>2190518</v>
      </c>
      <c r="H220" s="161"/>
      <c r="I220" s="159">
        <v>-416248</v>
      </c>
      <c r="J220" s="163">
        <v>-51520</v>
      </c>
      <c r="K220" s="163"/>
      <c r="L220" s="160">
        <f t="shared" si="36"/>
        <v>-467768</v>
      </c>
      <c r="M220" s="160">
        <f t="shared" si="37"/>
        <v>1722750</v>
      </c>
    </row>
    <row r="221" spans="1:13" ht="15" x14ac:dyDescent="0.2">
      <c r="A221" s="123">
        <v>8</v>
      </c>
      <c r="B221" s="123">
        <v>1915</v>
      </c>
      <c r="C221" s="162" t="s">
        <v>180</v>
      </c>
      <c r="D221" s="159">
        <v>363142</v>
      </c>
      <c r="E221" s="163">
        <v>4711</v>
      </c>
      <c r="F221" s="163">
        <v>-2217</v>
      </c>
      <c r="G221" s="160">
        <f t="shared" si="35"/>
        <v>365636</v>
      </c>
      <c r="H221" s="161"/>
      <c r="I221" s="159">
        <v>-233220</v>
      </c>
      <c r="J221" s="163">
        <v>-29830</v>
      </c>
      <c r="K221" s="163">
        <v>1810</v>
      </c>
      <c r="L221" s="160">
        <f t="shared" si="36"/>
        <v>-261240</v>
      </c>
      <c r="M221" s="160">
        <f t="shared" si="37"/>
        <v>104396</v>
      </c>
    </row>
    <row r="222" spans="1:13" ht="15" x14ac:dyDescent="0.2">
      <c r="A222" s="123">
        <v>50</v>
      </c>
      <c r="B222" s="123">
        <v>1920</v>
      </c>
      <c r="C222" s="162" t="s">
        <v>181</v>
      </c>
      <c r="D222" s="159">
        <v>517537</v>
      </c>
      <c r="E222" s="163">
        <v>118989</v>
      </c>
      <c r="F222" s="163">
        <v>-51431</v>
      </c>
      <c r="G222" s="160">
        <f t="shared" si="35"/>
        <v>585095</v>
      </c>
      <c r="H222" s="161"/>
      <c r="I222" s="159">
        <v>-366498</v>
      </c>
      <c r="J222" s="163">
        <v>-79968</v>
      </c>
      <c r="K222" s="163">
        <v>50469</v>
      </c>
      <c r="L222" s="160">
        <f t="shared" si="36"/>
        <v>-395997</v>
      </c>
      <c r="M222" s="160">
        <f t="shared" si="37"/>
        <v>189098</v>
      </c>
    </row>
    <row r="223" spans="1:13" ht="15" x14ac:dyDescent="0.2">
      <c r="A223" s="123">
        <v>50</v>
      </c>
      <c r="B223" s="123">
        <v>1611</v>
      </c>
      <c r="C223" s="124" t="s">
        <v>182</v>
      </c>
      <c r="D223" s="159">
        <v>2584483</v>
      </c>
      <c r="E223" s="166">
        <v>231088</v>
      </c>
      <c r="F223" s="166">
        <v>-50502</v>
      </c>
      <c r="G223" s="160">
        <f>D223+E223+F223</f>
        <v>2765069</v>
      </c>
      <c r="H223" s="168"/>
      <c r="I223" s="159">
        <v>-1790777</v>
      </c>
      <c r="J223" s="166">
        <v>-360638</v>
      </c>
      <c r="K223" s="166">
        <v>49911</v>
      </c>
      <c r="L223" s="160">
        <f>I223+J223+K223</f>
        <v>-2101504</v>
      </c>
      <c r="M223" s="160">
        <f>G223+L223</f>
        <v>663565</v>
      </c>
    </row>
    <row r="224" spans="1:13" ht="15" x14ac:dyDescent="0.2">
      <c r="A224" s="123">
        <v>10</v>
      </c>
      <c r="B224" s="123">
        <v>1930</v>
      </c>
      <c r="C224" s="162" t="s">
        <v>227</v>
      </c>
      <c r="D224" s="159">
        <v>2087570</v>
      </c>
      <c r="E224" s="163">
        <v>186784</v>
      </c>
      <c r="F224" s="163">
        <v>-66708</v>
      </c>
      <c r="G224" s="160">
        <f t="shared" si="35"/>
        <v>2207646</v>
      </c>
      <c r="H224" s="161"/>
      <c r="I224" s="159">
        <v>-1061751</v>
      </c>
      <c r="J224" s="163">
        <v>-188244</v>
      </c>
      <c r="K224" s="163">
        <v>66695</v>
      </c>
      <c r="L224" s="160">
        <f t="shared" si="36"/>
        <v>-1183300</v>
      </c>
      <c r="M224" s="160">
        <f t="shared" si="37"/>
        <v>1024346</v>
      </c>
    </row>
    <row r="225" spans="1:13" ht="15" x14ac:dyDescent="0.2">
      <c r="A225" s="123">
        <v>8</v>
      </c>
      <c r="B225" s="123">
        <v>1940</v>
      </c>
      <c r="C225" s="162" t="s">
        <v>186</v>
      </c>
      <c r="D225" s="159">
        <v>707839</v>
      </c>
      <c r="E225" s="163">
        <v>87199</v>
      </c>
      <c r="F225" s="163"/>
      <c r="G225" s="160">
        <f t="shared" si="35"/>
        <v>795038</v>
      </c>
      <c r="H225" s="161"/>
      <c r="I225" s="159">
        <v>-395186</v>
      </c>
      <c r="J225" s="163">
        <v>-56592</v>
      </c>
      <c r="K225" s="163"/>
      <c r="L225" s="160">
        <f t="shared" si="36"/>
        <v>-451778</v>
      </c>
      <c r="M225" s="160">
        <f t="shared" si="37"/>
        <v>343260</v>
      </c>
    </row>
    <row r="226" spans="1:13" ht="15" x14ac:dyDescent="0.2">
      <c r="A226" s="123">
        <v>8</v>
      </c>
      <c r="B226" s="123">
        <v>1955</v>
      </c>
      <c r="C226" s="162" t="s">
        <v>187</v>
      </c>
      <c r="D226" s="159">
        <v>68074</v>
      </c>
      <c r="E226" s="163"/>
      <c r="F226" s="163"/>
      <c r="G226" s="160">
        <f t="shared" si="35"/>
        <v>68074</v>
      </c>
      <c r="H226" s="161"/>
      <c r="I226" s="159">
        <v>-54081</v>
      </c>
      <c r="J226" s="163">
        <v>-3861</v>
      </c>
      <c r="K226" s="163"/>
      <c r="L226" s="160">
        <f t="shared" si="36"/>
        <v>-57942</v>
      </c>
      <c r="M226" s="160">
        <f t="shared" si="37"/>
        <v>10132</v>
      </c>
    </row>
    <row r="227" spans="1:13" ht="15" x14ac:dyDescent="0.2">
      <c r="A227" s="123">
        <v>47</v>
      </c>
      <c r="B227" s="123">
        <v>1995</v>
      </c>
      <c r="C227" s="162" t="s">
        <v>228</v>
      </c>
      <c r="D227" s="159">
        <v>-3953284</v>
      </c>
      <c r="E227" s="163">
        <v>-190388</v>
      </c>
      <c r="F227" s="163"/>
      <c r="G227" s="160">
        <f t="shared" si="35"/>
        <v>-4143672</v>
      </c>
      <c r="H227" s="161"/>
      <c r="I227" s="159">
        <v>846180</v>
      </c>
      <c r="J227" s="163">
        <v>161263</v>
      </c>
      <c r="K227" s="163"/>
      <c r="L227" s="160">
        <f t="shared" si="36"/>
        <v>1007443</v>
      </c>
      <c r="M227" s="160">
        <f t="shared" si="37"/>
        <v>-3136229</v>
      </c>
    </row>
    <row r="228" spans="1:13" ht="15" x14ac:dyDescent="0.2">
      <c r="A228" s="131"/>
      <c r="B228" s="131" t="s">
        <v>204</v>
      </c>
      <c r="C228" s="169"/>
      <c r="D228" s="159"/>
      <c r="E228" s="164"/>
      <c r="F228" s="164"/>
      <c r="G228" s="160"/>
      <c r="I228" s="164"/>
      <c r="J228" s="163"/>
      <c r="K228" s="163"/>
      <c r="L228" s="170"/>
      <c r="M228" s="171"/>
    </row>
    <row r="229" spans="1:13" x14ac:dyDescent="0.2">
      <c r="A229" s="131"/>
      <c r="B229" s="131"/>
      <c r="C229" s="172" t="s">
        <v>51</v>
      </c>
      <c r="D229" s="173">
        <f>SUM(D209:D228)</f>
        <v>62226258</v>
      </c>
      <c r="E229" s="173">
        <f>SUM(E209:E228)</f>
        <v>9155576</v>
      </c>
      <c r="F229" s="174">
        <f>SUM(F209:F228)</f>
        <v>-176649</v>
      </c>
      <c r="G229" s="173">
        <f>SUM(G209:G228)</f>
        <v>71205185</v>
      </c>
      <c r="H229" s="173"/>
      <c r="I229" s="174">
        <f>SUM(I209:I228)</f>
        <v>-25539681</v>
      </c>
      <c r="J229" s="174">
        <f>SUM(J209:J228)</f>
        <v>-3940607</v>
      </c>
      <c r="K229" s="173">
        <f>SUM(K209:K228)</f>
        <v>169599</v>
      </c>
      <c r="L229" s="174">
        <f>SUM(L209:L228)</f>
        <v>-29310689</v>
      </c>
      <c r="M229" s="173">
        <f>SUM(M209:M228)</f>
        <v>41894496</v>
      </c>
    </row>
    <row r="230" spans="1:13" ht="25.5" x14ac:dyDescent="0.2">
      <c r="A230" s="131"/>
      <c r="B230" s="131"/>
      <c r="C230" s="175" t="s">
        <v>205</v>
      </c>
      <c r="D230" s="176"/>
      <c r="E230" s="176"/>
      <c r="F230" s="176"/>
      <c r="G230" s="170">
        <f t="shared" ref="G230:G231" si="38">D230+E230+F230</f>
        <v>0</v>
      </c>
      <c r="I230" s="176"/>
      <c r="J230" s="176"/>
      <c r="K230" s="176"/>
      <c r="L230" s="170">
        <f t="shared" ref="L230:L231" si="39">I230+J230+K230</f>
        <v>0</v>
      </c>
      <c r="M230" s="173">
        <f t="shared" ref="M230:M231" si="40">G230+L230</f>
        <v>0</v>
      </c>
    </row>
    <row r="231" spans="1:13" ht="25.5" x14ac:dyDescent="0.2">
      <c r="A231" s="131"/>
      <c r="B231" s="131"/>
      <c r="C231" s="177" t="s">
        <v>206</v>
      </c>
      <c r="D231" s="176"/>
      <c r="E231" s="176"/>
      <c r="F231" s="176"/>
      <c r="G231" s="170">
        <f t="shared" si="38"/>
        <v>0</v>
      </c>
      <c r="I231" s="176"/>
      <c r="J231" s="176"/>
      <c r="K231" s="176"/>
      <c r="L231" s="170">
        <f t="shared" si="39"/>
        <v>0</v>
      </c>
      <c r="M231" s="173">
        <f t="shared" si="40"/>
        <v>0</v>
      </c>
    </row>
    <row r="232" spans="1:13" x14ac:dyDescent="0.2">
      <c r="A232" s="131"/>
      <c r="B232" s="131"/>
      <c r="C232" s="172" t="s">
        <v>207</v>
      </c>
      <c r="D232" s="173">
        <f>SUM(D229:D231)</f>
        <v>62226258</v>
      </c>
      <c r="E232" s="173">
        <f t="shared" ref="E232:G232" si="41">SUM(E229:E231)</f>
        <v>9155576</v>
      </c>
      <c r="F232" s="174">
        <f t="shared" si="41"/>
        <v>-176649</v>
      </c>
      <c r="G232" s="173">
        <f t="shared" si="41"/>
        <v>71205185</v>
      </c>
      <c r="H232" s="173"/>
      <c r="I232" s="174">
        <f t="shared" ref="I232:M232" si="42">SUM(I229:I231)</f>
        <v>-25539681</v>
      </c>
      <c r="J232" s="174">
        <f t="shared" si="42"/>
        <v>-3940607</v>
      </c>
      <c r="K232" s="173">
        <f t="shared" si="42"/>
        <v>169599</v>
      </c>
      <c r="L232" s="174">
        <f t="shared" si="42"/>
        <v>-29310689</v>
      </c>
      <c r="M232" s="173">
        <f t="shared" si="42"/>
        <v>41894496</v>
      </c>
    </row>
    <row r="234" spans="1:13" x14ac:dyDescent="0.2">
      <c r="G234" s="137" t="s">
        <v>208</v>
      </c>
      <c r="J234" s="178"/>
    </row>
    <row r="235" spans="1:13" ht="15" x14ac:dyDescent="0.2">
      <c r="A235" s="138"/>
      <c r="B235" s="138"/>
      <c r="C235" s="101"/>
      <c r="G235" s="178" t="s">
        <v>209</v>
      </c>
      <c r="J235" s="159">
        <v>927</v>
      </c>
    </row>
    <row r="236" spans="1:13" ht="15" x14ac:dyDescent="0.2">
      <c r="A236" s="138"/>
      <c r="B236" s="138"/>
      <c r="C236" s="101"/>
      <c r="G236" s="178" t="s">
        <v>210</v>
      </c>
      <c r="J236" s="159">
        <v>537</v>
      </c>
    </row>
    <row r="237" spans="1:13" ht="15" x14ac:dyDescent="0.2">
      <c r="A237" s="138"/>
      <c r="B237" s="138"/>
      <c r="C237" s="101"/>
      <c r="G237" s="178" t="s">
        <v>211</v>
      </c>
      <c r="J237" s="159">
        <v>1435</v>
      </c>
    </row>
    <row r="238" spans="1:13" ht="15" x14ac:dyDescent="0.2">
      <c r="A238" s="138"/>
      <c r="B238" s="138"/>
      <c r="C238" s="101"/>
      <c r="G238" s="178" t="s">
        <v>212</v>
      </c>
      <c r="J238" s="159">
        <v>1431</v>
      </c>
    </row>
    <row r="239" spans="1:13" x14ac:dyDescent="0.2">
      <c r="G239" s="179" t="s">
        <v>213</v>
      </c>
      <c r="J239" s="174">
        <f>J232+(J235+J236+J237+J238)</f>
        <v>-3936277</v>
      </c>
    </row>
    <row r="242" spans="1:13" ht="18" x14ac:dyDescent="0.2">
      <c r="A242" s="822" t="s">
        <v>139</v>
      </c>
      <c r="B242" s="822"/>
      <c r="C242" s="822"/>
      <c r="D242" s="822"/>
      <c r="E242" s="822"/>
      <c r="F242" s="822"/>
      <c r="G242" s="822"/>
      <c r="H242" s="822"/>
      <c r="I242" s="822"/>
      <c r="J242" s="822"/>
      <c r="K242" s="822"/>
      <c r="L242" s="822"/>
      <c r="M242" s="822"/>
    </row>
    <row r="243" spans="1:13" ht="18" x14ac:dyDescent="0.2">
      <c r="A243" s="822" t="s">
        <v>140</v>
      </c>
      <c r="B243" s="822"/>
      <c r="C243" s="822"/>
      <c r="D243" s="822"/>
      <c r="E243" s="822"/>
      <c r="F243" s="822"/>
      <c r="G243" s="822"/>
      <c r="H243" s="822"/>
      <c r="I243" s="822"/>
      <c r="J243" s="822"/>
      <c r="K243" s="822"/>
      <c r="L243" s="822"/>
      <c r="M243" s="822"/>
    </row>
    <row r="245" spans="1:13" ht="15" x14ac:dyDescent="0.25">
      <c r="C245" s="97"/>
      <c r="E245" s="98" t="s">
        <v>141</v>
      </c>
      <c r="F245" s="99">
        <v>2011</v>
      </c>
      <c r="G245" s="150"/>
    </row>
    <row r="247" spans="1:13" x14ac:dyDescent="0.2">
      <c r="D247" s="823" t="s">
        <v>142</v>
      </c>
      <c r="E247" s="824"/>
      <c r="F247" s="824"/>
      <c r="G247" s="825"/>
      <c r="I247" s="151"/>
      <c r="J247" s="152" t="s">
        <v>143</v>
      </c>
      <c r="K247" s="152"/>
      <c r="L247" s="153"/>
      <c r="M247" s="101"/>
    </row>
    <row r="248" spans="1:13" ht="25.5" x14ac:dyDescent="0.2">
      <c r="A248" s="106" t="s">
        <v>144</v>
      </c>
      <c r="B248" s="107" t="s">
        <v>145</v>
      </c>
      <c r="C248" s="154" t="s">
        <v>146</v>
      </c>
      <c r="D248" s="106" t="s">
        <v>147</v>
      </c>
      <c r="E248" s="107" t="s">
        <v>148</v>
      </c>
      <c r="F248" s="107" t="s">
        <v>149</v>
      </c>
      <c r="G248" s="106" t="s">
        <v>150</v>
      </c>
      <c r="H248" s="155"/>
      <c r="I248" s="156" t="s">
        <v>147</v>
      </c>
      <c r="J248" s="157" t="s">
        <v>148</v>
      </c>
      <c r="K248" s="157" t="s">
        <v>149</v>
      </c>
      <c r="L248" s="158" t="s">
        <v>150</v>
      </c>
      <c r="M248" s="106" t="s">
        <v>151</v>
      </c>
    </row>
    <row r="249" spans="1:13" ht="15" x14ac:dyDescent="0.2">
      <c r="A249" s="123">
        <v>47</v>
      </c>
      <c r="B249" s="123">
        <v>1820</v>
      </c>
      <c r="C249" s="124" t="s">
        <v>154</v>
      </c>
      <c r="D249" s="159">
        <v>466497</v>
      </c>
      <c r="E249" s="159">
        <v>0</v>
      </c>
      <c r="F249" s="159"/>
      <c r="G249" s="160">
        <f t="shared" ref="G249:G266" si="43">D249+E249+F249</f>
        <v>466497</v>
      </c>
      <c r="H249" s="161"/>
      <c r="I249" s="159">
        <v>-150789</v>
      </c>
      <c r="J249" s="159">
        <v>-17266</v>
      </c>
      <c r="K249" s="159"/>
      <c r="L249" s="160">
        <f t="shared" ref="L249:L266" si="44">I249+J249+K249</f>
        <v>-168055</v>
      </c>
      <c r="M249" s="160">
        <f t="shared" ref="M249:M266" si="45">G249+L249</f>
        <v>298442</v>
      </c>
    </row>
    <row r="250" spans="1:13" ht="15" x14ac:dyDescent="0.2">
      <c r="A250" s="123">
        <v>47</v>
      </c>
      <c r="B250" s="123">
        <v>1830</v>
      </c>
      <c r="C250" s="162" t="s">
        <v>220</v>
      </c>
      <c r="D250" s="159">
        <v>17784446</v>
      </c>
      <c r="E250" s="163">
        <v>1624237</v>
      </c>
      <c r="F250" s="164"/>
      <c r="G250" s="160">
        <f t="shared" si="43"/>
        <v>19408683</v>
      </c>
      <c r="H250" s="161"/>
      <c r="I250" s="159">
        <v>-7539480</v>
      </c>
      <c r="J250" s="163">
        <v>-863874</v>
      </c>
      <c r="K250" s="164"/>
      <c r="L250" s="160">
        <f t="shared" si="44"/>
        <v>-8403354</v>
      </c>
      <c r="M250" s="160">
        <f t="shared" si="45"/>
        <v>11005329</v>
      </c>
    </row>
    <row r="251" spans="1:13" ht="15" x14ac:dyDescent="0.2">
      <c r="A251" s="123">
        <v>47</v>
      </c>
      <c r="B251" s="123">
        <v>1835</v>
      </c>
      <c r="C251" s="162" t="s">
        <v>221</v>
      </c>
      <c r="D251" s="159">
        <v>10250948</v>
      </c>
      <c r="E251" s="163">
        <v>1506540</v>
      </c>
      <c r="F251" s="164"/>
      <c r="G251" s="160">
        <f t="shared" si="43"/>
        <v>11757488</v>
      </c>
      <c r="H251" s="161"/>
      <c r="I251" s="159">
        <v>-3132494</v>
      </c>
      <c r="J251" s="163">
        <v>-486457</v>
      </c>
      <c r="K251" s="163"/>
      <c r="L251" s="160">
        <f t="shared" si="44"/>
        <v>-3618951</v>
      </c>
      <c r="M251" s="160">
        <f t="shared" si="45"/>
        <v>8138537</v>
      </c>
    </row>
    <row r="252" spans="1:13" ht="15" x14ac:dyDescent="0.2">
      <c r="A252" s="123">
        <v>47</v>
      </c>
      <c r="B252" s="123">
        <v>1840</v>
      </c>
      <c r="C252" s="162" t="s">
        <v>222</v>
      </c>
      <c r="D252" s="159">
        <v>515163</v>
      </c>
      <c r="E252" s="163">
        <v>118618</v>
      </c>
      <c r="F252" s="164"/>
      <c r="G252" s="160">
        <f t="shared" si="43"/>
        <v>633781</v>
      </c>
      <c r="H252" s="161"/>
      <c r="I252" s="159">
        <v>-98553</v>
      </c>
      <c r="J252" s="163">
        <v>-20443</v>
      </c>
      <c r="K252" s="163"/>
      <c r="L252" s="160">
        <f t="shared" si="44"/>
        <v>-118996</v>
      </c>
      <c r="M252" s="160">
        <f t="shared" si="45"/>
        <v>514785</v>
      </c>
    </row>
    <row r="253" spans="1:13" ht="15" x14ac:dyDescent="0.2">
      <c r="A253" s="123">
        <v>47</v>
      </c>
      <c r="B253" s="123">
        <v>1845</v>
      </c>
      <c r="C253" s="162" t="s">
        <v>223</v>
      </c>
      <c r="D253" s="159">
        <v>7130436</v>
      </c>
      <c r="E253" s="163">
        <v>161753</v>
      </c>
      <c r="F253" s="164"/>
      <c r="G253" s="160">
        <f t="shared" si="43"/>
        <v>7292189</v>
      </c>
      <c r="H253" s="161"/>
      <c r="I253" s="159">
        <v>-3024236</v>
      </c>
      <c r="J253" s="163">
        <v>-328265</v>
      </c>
      <c r="K253" s="163"/>
      <c r="L253" s="160">
        <f t="shared" si="44"/>
        <v>-3352501</v>
      </c>
      <c r="M253" s="160">
        <f t="shared" si="45"/>
        <v>3939688</v>
      </c>
    </row>
    <row r="254" spans="1:13" ht="15" x14ac:dyDescent="0.2">
      <c r="A254" s="123">
        <v>47</v>
      </c>
      <c r="B254" s="123">
        <v>1850</v>
      </c>
      <c r="C254" s="162" t="s">
        <v>224</v>
      </c>
      <c r="D254" s="159">
        <v>10962029</v>
      </c>
      <c r="E254" s="163">
        <v>652039</v>
      </c>
      <c r="F254" s="164"/>
      <c r="G254" s="160">
        <f t="shared" si="43"/>
        <v>11614068</v>
      </c>
      <c r="H254" s="161"/>
      <c r="I254" s="159">
        <v>-3781751</v>
      </c>
      <c r="J254" s="163">
        <v>-464341</v>
      </c>
      <c r="K254" s="163"/>
      <c r="L254" s="160">
        <f t="shared" si="44"/>
        <v>-4246092</v>
      </c>
      <c r="M254" s="160">
        <f t="shared" si="45"/>
        <v>7367976</v>
      </c>
    </row>
    <row r="255" spans="1:13" ht="15" x14ac:dyDescent="0.2">
      <c r="A255" s="123">
        <v>47</v>
      </c>
      <c r="B255" s="123">
        <v>1855</v>
      </c>
      <c r="C255" s="162" t="s">
        <v>225</v>
      </c>
      <c r="D255" s="159">
        <v>2379217</v>
      </c>
      <c r="E255" s="163">
        <v>172584</v>
      </c>
      <c r="F255" s="164"/>
      <c r="G255" s="160">
        <f t="shared" si="43"/>
        <v>2551801</v>
      </c>
      <c r="H255" s="161"/>
      <c r="I255" s="159">
        <v>-626213</v>
      </c>
      <c r="J255" s="163">
        <v>-98767</v>
      </c>
      <c r="K255" s="163"/>
      <c r="L255" s="160">
        <f t="shared" si="44"/>
        <v>-724980</v>
      </c>
      <c r="M255" s="160">
        <f t="shared" si="45"/>
        <v>1826821</v>
      </c>
    </row>
    <row r="256" spans="1:13" ht="15" x14ac:dyDescent="0.2">
      <c r="A256" s="123">
        <v>47</v>
      </c>
      <c r="B256" s="123">
        <v>1860</v>
      </c>
      <c r="C256" s="162" t="s">
        <v>47</v>
      </c>
      <c r="D256" s="159">
        <v>2949488</v>
      </c>
      <c r="E256" s="163">
        <v>182218</v>
      </c>
      <c r="F256" s="164"/>
      <c r="G256" s="160">
        <f t="shared" si="43"/>
        <v>3131706</v>
      </c>
      <c r="H256" s="161"/>
      <c r="I256" s="159">
        <v>-1077708</v>
      </c>
      <c r="J256" s="163">
        <v>-118348</v>
      </c>
      <c r="K256" s="163"/>
      <c r="L256" s="160">
        <f t="shared" si="44"/>
        <v>-1196056</v>
      </c>
      <c r="M256" s="160">
        <f t="shared" si="45"/>
        <v>1935650</v>
      </c>
    </row>
    <row r="257" spans="1:13" ht="15" x14ac:dyDescent="0.2">
      <c r="A257" s="129" t="s">
        <v>175</v>
      </c>
      <c r="B257" s="129">
        <v>1905</v>
      </c>
      <c r="C257" s="165" t="s">
        <v>176</v>
      </c>
      <c r="D257" s="159">
        <v>139071</v>
      </c>
      <c r="E257" s="163"/>
      <c r="F257" s="159">
        <v>-7792</v>
      </c>
      <c r="G257" s="160">
        <f t="shared" si="43"/>
        <v>131279</v>
      </c>
      <c r="H257" s="161"/>
      <c r="I257" s="159"/>
      <c r="J257" s="163"/>
      <c r="K257" s="163"/>
      <c r="L257" s="160">
        <f t="shared" si="44"/>
        <v>0</v>
      </c>
      <c r="M257" s="160">
        <f t="shared" si="45"/>
        <v>131279</v>
      </c>
    </row>
    <row r="258" spans="1:13" ht="15" x14ac:dyDescent="0.2">
      <c r="A258" s="123" t="s">
        <v>152</v>
      </c>
      <c r="B258" s="123">
        <v>1612</v>
      </c>
      <c r="C258" s="124" t="s">
        <v>177</v>
      </c>
      <c r="D258" s="159">
        <v>695389</v>
      </c>
      <c r="E258" s="166"/>
      <c r="F258" s="167"/>
      <c r="G258" s="160">
        <f>D258+E258+F258</f>
        <v>695389</v>
      </c>
      <c r="H258" s="168"/>
      <c r="I258" s="159">
        <v>-218394</v>
      </c>
      <c r="J258" s="166">
        <v>-20721</v>
      </c>
      <c r="K258" s="166"/>
      <c r="L258" s="160">
        <f>I258+J258+K258</f>
        <v>-239115</v>
      </c>
      <c r="M258" s="160">
        <f>G258+L258</f>
        <v>456274</v>
      </c>
    </row>
    <row r="259" spans="1:13" ht="15" x14ac:dyDescent="0.2">
      <c r="A259" s="123" t="s">
        <v>178</v>
      </c>
      <c r="B259" s="123">
        <v>1908</v>
      </c>
      <c r="C259" s="162" t="s">
        <v>179</v>
      </c>
      <c r="D259" s="159">
        <v>2029926</v>
      </c>
      <c r="E259" s="163">
        <v>138090</v>
      </c>
      <c r="F259" s="164"/>
      <c r="G259" s="160">
        <f t="shared" si="43"/>
        <v>2168016</v>
      </c>
      <c r="H259" s="161"/>
      <c r="I259" s="159">
        <v>-365792</v>
      </c>
      <c r="J259" s="163">
        <v>-50456</v>
      </c>
      <c r="K259" s="163"/>
      <c r="L259" s="160">
        <f t="shared" si="44"/>
        <v>-416248</v>
      </c>
      <c r="M259" s="160">
        <f t="shared" si="45"/>
        <v>1751768</v>
      </c>
    </row>
    <row r="260" spans="1:13" ht="15" x14ac:dyDescent="0.2">
      <c r="A260" s="123">
        <v>8</v>
      </c>
      <c r="B260" s="123">
        <v>1915</v>
      </c>
      <c r="C260" s="162" t="s">
        <v>180</v>
      </c>
      <c r="D260" s="159">
        <v>346626</v>
      </c>
      <c r="E260" s="163">
        <v>17332</v>
      </c>
      <c r="F260" s="163">
        <v>-816</v>
      </c>
      <c r="G260" s="160">
        <f t="shared" si="43"/>
        <v>363142</v>
      </c>
      <c r="H260" s="161"/>
      <c r="I260" s="159">
        <v>-202862</v>
      </c>
      <c r="J260" s="163">
        <v>-30691</v>
      </c>
      <c r="K260" s="163">
        <v>333</v>
      </c>
      <c r="L260" s="160">
        <f t="shared" si="44"/>
        <v>-233220</v>
      </c>
      <c r="M260" s="160">
        <f t="shared" si="45"/>
        <v>129922</v>
      </c>
    </row>
    <row r="261" spans="1:13" ht="15" x14ac:dyDescent="0.2">
      <c r="A261" s="123">
        <v>50</v>
      </c>
      <c r="B261" s="123">
        <v>1920</v>
      </c>
      <c r="C261" s="162" t="s">
        <v>181</v>
      </c>
      <c r="D261" s="159">
        <v>538923</v>
      </c>
      <c r="E261" s="163">
        <v>75941</v>
      </c>
      <c r="F261" s="163">
        <v>-97327</v>
      </c>
      <c r="G261" s="160">
        <f t="shared" si="43"/>
        <v>517537</v>
      </c>
      <c r="H261" s="161"/>
      <c r="I261" s="159">
        <v>-403950</v>
      </c>
      <c r="J261" s="163">
        <v>-57281</v>
      </c>
      <c r="K261" s="163">
        <v>94733</v>
      </c>
      <c r="L261" s="160">
        <f t="shared" si="44"/>
        <v>-366498</v>
      </c>
      <c r="M261" s="160">
        <f t="shared" si="45"/>
        <v>151039</v>
      </c>
    </row>
    <row r="262" spans="1:13" ht="15" x14ac:dyDescent="0.2">
      <c r="A262" s="123">
        <v>50</v>
      </c>
      <c r="B262" s="123">
        <v>1611</v>
      </c>
      <c r="C262" s="124" t="s">
        <v>182</v>
      </c>
      <c r="D262" s="159">
        <v>2460020</v>
      </c>
      <c r="E262" s="166">
        <v>124463</v>
      </c>
      <c r="F262" s="166"/>
      <c r="G262" s="160">
        <f>D262+E262+F262</f>
        <v>2584483</v>
      </c>
      <c r="H262" s="168"/>
      <c r="I262" s="159">
        <v>-1435984</v>
      </c>
      <c r="J262" s="166">
        <v>-354793</v>
      </c>
      <c r="K262" s="166"/>
      <c r="L262" s="160">
        <f>I262+J262+K262</f>
        <v>-1790777</v>
      </c>
      <c r="M262" s="160">
        <f>G262+L262</f>
        <v>793706</v>
      </c>
    </row>
    <row r="263" spans="1:13" ht="15" x14ac:dyDescent="0.2">
      <c r="A263" s="123">
        <v>10</v>
      </c>
      <c r="B263" s="123">
        <v>1930</v>
      </c>
      <c r="C263" s="162" t="s">
        <v>227</v>
      </c>
      <c r="D263" s="159">
        <v>1870374</v>
      </c>
      <c r="E263" s="163">
        <v>258266</v>
      </c>
      <c r="F263" s="163">
        <v>-41070</v>
      </c>
      <c r="G263" s="160">
        <f t="shared" si="43"/>
        <v>2087570</v>
      </c>
      <c r="H263" s="161"/>
      <c r="I263" s="159">
        <v>-940305</v>
      </c>
      <c r="J263" s="163">
        <v>-162393</v>
      </c>
      <c r="K263" s="163">
        <v>40947</v>
      </c>
      <c r="L263" s="160">
        <f t="shared" si="44"/>
        <v>-1061751</v>
      </c>
      <c r="M263" s="160">
        <f t="shared" si="45"/>
        <v>1025819</v>
      </c>
    </row>
    <row r="264" spans="1:13" ht="15" x14ac:dyDescent="0.2">
      <c r="A264" s="123">
        <v>8</v>
      </c>
      <c r="B264" s="123">
        <v>1940</v>
      </c>
      <c r="C264" s="162" t="s">
        <v>186</v>
      </c>
      <c r="D264" s="159">
        <v>649122</v>
      </c>
      <c r="E264" s="163">
        <v>58717</v>
      </c>
      <c r="F264" s="163"/>
      <c r="G264" s="160">
        <f t="shared" si="43"/>
        <v>707839</v>
      </c>
      <c r="H264" s="161"/>
      <c r="I264" s="159">
        <v>-340134</v>
      </c>
      <c r="J264" s="163">
        <v>-55052</v>
      </c>
      <c r="K264" s="163"/>
      <c r="L264" s="160">
        <f t="shared" si="44"/>
        <v>-395186</v>
      </c>
      <c r="M264" s="160">
        <f t="shared" si="45"/>
        <v>312653</v>
      </c>
    </row>
    <row r="265" spans="1:13" ht="15" x14ac:dyDescent="0.2">
      <c r="A265" s="123">
        <v>8</v>
      </c>
      <c r="B265" s="123">
        <v>1955</v>
      </c>
      <c r="C265" s="162" t="s">
        <v>187</v>
      </c>
      <c r="D265" s="159">
        <v>64709</v>
      </c>
      <c r="E265" s="163">
        <v>3365</v>
      </c>
      <c r="F265" s="163"/>
      <c r="G265" s="160">
        <f t="shared" si="43"/>
        <v>68074</v>
      </c>
      <c r="H265" s="161"/>
      <c r="I265" s="159">
        <v>-50570</v>
      </c>
      <c r="J265" s="163">
        <v>-3511</v>
      </c>
      <c r="K265" s="163"/>
      <c r="L265" s="160">
        <f t="shared" si="44"/>
        <v>-54081</v>
      </c>
      <c r="M265" s="160">
        <f t="shared" si="45"/>
        <v>13993</v>
      </c>
    </row>
    <row r="266" spans="1:13" ht="15" x14ac:dyDescent="0.2">
      <c r="A266" s="123">
        <v>47</v>
      </c>
      <c r="B266" s="123">
        <v>1995</v>
      </c>
      <c r="C266" s="162" t="s">
        <v>228</v>
      </c>
      <c r="D266" s="159">
        <v>-3786815</v>
      </c>
      <c r="E266" s="163">
        <v>-166469</v>
      </c>
      <c r="F266" s="163"/>
      <c r="G266" s="160">
        <f t="shared" si="43"/>
        <v>-3953284</v>
      </c>
      <c r="H266" s="161"/>
      <c r="I266" s="159">
        <v>691354</v>
      </c>
      <c r="J266" s="163">
        <v>154826</v>
      </c>
      <c r="K266" s="163"/>
      <c r="L266" s="160">
        <f t="shared" si="44"/>
        <v>846180</v>
      </c>
      <c r="M266" s="160">
        <f t="shared" si="45"/>
        <v>-3107104</v>
      </c>
    </row>
    <row r="267" spans="1:13" ht="15" x14ac:dyDescent="0.2">
      <c r="A267" s="131"/>
      <c r="B267" s="131" t="s">
        <v>204</v>
      </c>
      <c r="C267" s="169"/>
      <c r="D267" s="159"/>
      <c r="E267" s="164"/>
      <c r="F267" s="164"/>
      <c r="G267" s="160"/>
      <c r="I267" s="164"/>
      <c r="J267" s="163"/>
      <c r="K267" s="163"/>
      <c r="L267" s="170"/>
      <c r="M267" s="171"/>
    </row>
    <row r="268" spans="1:13" x14ac:dyDescent="0.2">
      <c r="A268" s="131"/>
      <c r="B268" s="131"/>
      <c r="C268" s="172" t="s">
        <v>51</v>
      </c>
      <c r="D268" s="173">
        <f>SUM(D249:D267)</f>
        <v>57445569</v>
      </c>
      <c r="E268" s="173">
        <f>SUM(E249:E267)</f>
        <v>4927694</v>
      </c>
      <c r="F268" s="174">
        <f>SUM(F249:F267)</f>
        <v>-147005</v>
      </c>
      <c r="G268" s="173">
        <f>SUM(G249:G267)</f>
        <v>62226258</v>
      </c>
      <c r="H268" s="173"/>
      <c r="I268" s="174">
        <f>SUM(I249:I267)</f>
        <v>-22697861</v>
      </c>
      <c r="J268" s="174">
        <f>SUM(J249:J267)</f>
        <v>-2977833</v>
      </c>
      <c r="K268" s="173">
        <f>SUM(K249:K267)</f>
        <v>136013</v>
      </c>
      <c r="L268" s="174">
        <f>SUM(L249:L267)</f>
        <v>-25539681</v>
      </c>
      <c r="M268" s="173">
        <f>SUM(M249:M267)</f>
        <v>36686577</v>
      </c>
    </row>
    <row r="269" spans="1:13" ht="25.5" x14ac:dyDescent="0.2">
      <c r="A269" s="131"/>
      <c r="B269" s="131"/>
      <c r="C269" s="175" t="s">
        <v>205</v>
      </c>
      <c r="D269" s="176"/>
      <c r="E269" s="176"/>
      <c r="F269" s="176"/>
      <c r="G269" s="170">
        <f t="shared" ref="G269:G270" si="46">D269+E269+F269</f>
        <v>0</v>
      </c>
      <c r="I269" s="176"/>
      <c r="J269" s="176"/>
      <c r="K269" s="176"/>
      <c r="L269" s="170">
        <f t="shared" ref="L269:L270" si="47">I269+J269+K269</f>
        <v>0</v>
      </c>
      <c r="M269" s="173">
        <f t="shared" ref="M269:M270" si="48">G269+L269</f>
        <v>0</v>
      </c>
    </row>
    <row r="270" spans="1:13" ht="25.5" x14ac:dyDescent="0.2">
      <c r="A270" s="131"/>
      <c r="B270" s="131"/>
      <c r="C270" s="177" t="s">
        <v>206</v>
      </c>
      <c r="D270" s="176"/>
      <c r="E270" s="176"/>
      <c r="F270" s="176"/>
      <c r="G270" s="170">
        <f t="shared" si="46"/>
        <v>0</v>
      </c>
      <c r="I270" s="176"/>
      <c r="J270" s="176"/>
      <c r="K270" s="176"/>
      <c r="L270" s="170">
        <f t="shared" si="47"/>
        <v>0</v>
      </c>
      <c r="M270" s="173">
        <f t="shared" si="48"/>
        <v>0</v>
      </c>
    </row>
    <row r="271" spans="1:13" x14ac:dyDescent="0.2">
      <c r="A271" s="131"/>
      <c r="B271" s="131"/>
      <c r="C271" s="172" t="s">
        <v>207</v>
      </c>
      <c r="D271" s="173">
        <f>SUM(D268:D270)</f>
        <v>57445569</v>
      </c>
      <c r="E271" s="173">
        <f t="shared" ref="E271:G271" si="49">SUM(E268:E270)</f>
        <v>4927694</v>
      </c>
      <c r="F271" s="174">
        <f t="shared" si="49"/>
        <v>-147005</v>
      </c>
      <c r="G271" s="173">
        <f t="shared" si="49"/>
        <v>62226258</v>
      </c>
      <c r="H271" s="173"/>
      <c r="I271" s="174">
        <f t="shared" ref="I271:M271" si="50">SUM(I268:I270)</f>
        <v>-22697861</v>
      </c>
      <c r="J271" s="174">
        <f t="shared" si="50"/>
        <v>-2977833</v>
      </c>
      <c r="K271" s="173">
        <f t="shared" si="50"/>
        <v>136013</v>
      </c>
      <c r="L271" s="174">
        <f t="shared" si="50"/>
        <v>-25539681</v>
      </c>
      <c r="M271" s="173">
        <f t="shared" si="50"/>
        <v>36686577</v>
      </c>
    </row>
    <row r="273" spans="1:13" x14ac:dyDescent="0.2">
      <c r="G273" s="137" t="s">
        <v>208</v>
      </c>
      <c r="J273" s="178"/>
    </row>
    <row r="274" spans="1:13" ht="15" x14ac:dyDescent="0.2">
      <c r="A274" s="138"/>
      <c r="B274" s="138"/>
      <c r="C274" s="101"/>
      <c r="G274" s="178" t="s">
        <v>209</v>
      </c>
      <c r="J274" s="159">
        <v>925</v>
      </c>
    </row>
    <row r="275" spans="1:13" ht="15" x14ac:dyDescent="0.2">
      <c r="A275" s="138"/>
      <c r="B275" s="138"/>
      <c r="C275" s="101"/>
      <c r="G275" s="178" t="s">
        <v>210</v>
      </c>
      <c r="J275" s="159">
        <v>563</v>
      </c>
    </row>
    <row r="276" spans="1:13" ht="15" x14ac:dyDescent="0.2">
      <c r="A276" s="138"/>
      <c r="B276" s="138"/>
      <c r="C276" s="101"/>
      <c r="G276" s="178" t="s">
        <v>211</v>
      </c>
      <c r="J276" s="159">
        <v>1050</v>
      </c>
    </row>
    <row r="277" spans="1:13" ht="15" x14ac:dyDescent="0.2">
      <c r="A277" s="138"/>
      <c r="B277" s="138"/>
      <c r="C277" s="101"/>
      <c r="G277" s="178" t="s">
        <v>212</v>
      </c>
      <c r="J277" s="159">
        <v>1106</v>
      </c>
    </row>
    <row r="278" spans="1:13" x14ac:dyDescent="0.2">
      <c r="G278" s="179" t="s">
        <v>213</v>
      </c>
      <c r="J278" s="174">
        <f>J271+(J274+J275+J276+J277)</f>
        <v>-2974189</v>
      </c>
    </row>
    <row r="281" spans="1:13" ht="18" x14ac:dyDescent="0.2">
      <c r="A281" s="822" t="s">
        <v>139</v>
      </c>
      <c r="B281" s="822"/>
      <c r="C281" s="822"/>
      <c r="D281" s="822"/>
      <c r="E281" s="822"/>
      <c r="F281" s="822"/>
      <c r="G281" s="822"/>
      <c r="H281" s="822"/>
      <c r="I281" s="822"/>
      <c r="J281" s="822"/>
      <c r="K281" s="822"/>
      <c r="L281" s="822"/>
      <c r="M281" s="822"/>
    </row>
    <row r="282" spans="1:13" ht="18" x14ac:dyDescent="0.2">
      <c r="A282" s="822" t="s">
        <v>140</v>
      </c>
      <c r="B282" s="822"/>
      <c r="C282" s="822"/>
      <c r="D282" s="822"/>
      <c r="E282" s="822"/>
      <c r="F282" s="822"/>
      <c r="G282" s="822"/>
      <c r="H282" s="822"/>
      <c r="I282" s="822"/>
      <c r="J282" s="822"/>
      <c r="K282" s="822"/>
      <c r="L282" s="822"/>
      <c r="M282" s="822"/>
    </row>
    <row r="284" spans="1:13" ht="15" x14ac:dyDescent="0.25">
      <c r="C284" s="97"/>
      <c r="E284" s="98" t="s">
        <v>141</v>
      </c>
      <c r="F284" s="99">
        <v>2010</v>
      </c>
      <c r="G284" s="150"/>
    </row>
    <row r="286" spans="1:13" x14ac:dyDescent="0.2">
      <c r="D286" s="823" t="s">
        <v>142</v>
      </c>
      <c r="E286" s="824"/>
      <c r="F286" s="824"/>
      <c r="G286" s="825"/>
      <c r="I286" s="151"/>
      <c r="J286" s="152" t="s">
        <v>143</v>
      </c>
      <c r="K286" s="152"/>
      <c r="L286" s="153"/>
      <c r="M286" s="101"/>
    </row>
    <row r="287" spans="1:13" ht="25.5" x14ac:dyDescent="0.2">
      <c r="A287" s="106" t="s">
        <v>144</v>
      </c>
      <c r="B287" s="107" t="s">
        <v>145</v>
      </c>
      <c r="C287" s="154" t="s">
        <v>146</v>
      </c>
      <c r="D287" s="106" t="s">
        <v>147</v>
      </c>
      <c r="E287" s="107" t="s">
        <v>148</v>
      </c>
      <c r="F287" s="107" t="s">
        <v>149</v>
      </c>
      <c r="G287" s="106" t="s">
        <v>150</v>
      </c>
      <c r="H287" s="155"/>
      <c r="I287" s="156" t="s">
        <v>147</v>
      </c>
      <c r="J287" s="157" t="s">
        <v>148</v>
      </c>
      <c r="K287" s="157" t="s">
        <v>149</v>
      </c>
      <c r="L287" s="158" t="s">
        <v>150</v>
      </c>
      <c r="M287" s="106" t="s">
        <v>151</v>
      </c>
    </row>
    <row r="288" spans="1:13" ht="15" x14ac:dyDescent="0.2">
      <c r="A288" s="123">
        <v>47</v>
      </c>
      <c r="B288" s="123">
        <v>1820</v>
      </c>
      <c r="C288" s="124" t="s">
        <v>154</v>
      </c>
      <c r="D288" s="159">
        <v>580903</v>
      </c>
      <c r="E288" s="159">
        <v>0</v>
      </c>
      <c r="F288" s="159">
        <v>-114406</v>
      </c>
      <c r="G288" s="160">
        <f t="shared" ref="G288:G305" si="51">D288+E288+F288</f>
        <v>466497</v>
      </c>
      <c r="H288" s="161"/>
      <c r="I288" s="159">
        <v>-235437</v>
      </c>
      <c r="J288" s="159">
        <v>-23512</v>
      </c>
      <c r="K288" s="159">
        <v>108160</v>
      </c>
      <c r="L288" s="160">
        <f t="shared" ref="L288:L305" si="52">I288+J288+K288</f>
        <v>-150789</v>
      </c>
      <c r="M288" s="160">
        <f t="shared" ref="M288:M305" si="53">G288+L288</f>
        <v>315708</v>
      </c>
    </row>
    <row r="289" spans="1:13" ht="15" x14ac:dyDescent="0.2">
      <c r="A289" s="123">
        <v>47</v>
      </c>
      <c r="B289" s="123">
        <v>1830</v>
      </c>
      <c r="C289" s="162" t="s">
        <v>220</v>
      </c>
      <c r="D289" s="159">
        <v>16869155</v>
      </c>
      <c r="E289" s="163">
        <v>915291</v>
      </c>
      <c r="F289" s="164"/>
      <c r="G289" s="160">
        <f t="shared" si="51"/>
        <v>17784446</v>
      </c>
      <c r="H289" s="161"/>
      <c r="I289" s="159">
        <v>-6713775</v>
      </c>
      <c r="J289" s="163">
        <v>-825705</v>
      </c>
      <c r="K289" s="164"/>
      <c r="L289" s="160">
        <f t="shared" si="52"/>
        <v>-7539480</v>
      </c>
      <c r="M289" s="160">
        <f t="shared" si="53"/>
        <v>10244966</v>
      </c>
    </row>
    <row r="290" spans="1:13" ht="15" x14ac:dyDescent="0.2">
      <c r="A290" s="123">
        <v>47</v>
      </c>
      <c r="B290" s="123">
        <v>1835</v>
      </c>
      <c r="C290" s="162" t="s">
        <v>221</v>
      </c>
      <c r="D290" s="159">
        <v>9355782</v>
      </c>
      <c r="E290" s="163">
        <v>895166</v>
      </c>
      <c r="F290" s="164"/>
      <c r="G290" s="160">
        <f t="shared" si="51"/>
        <v>10250948</v>
      </c>
      <c r="H290" s="161"/>
      <c r="I290" s="159">
        <v>-2685749</v>
      </c>
      <c r="J290" s="163">
        <v>-446745</v>
      </c>
      <c r="K290" s="163"/>
      <c r="L290" s="160">
        <f t="shared" si="52"/>
        <v>-3132494</v>
      </c>
      <c r="M290" s="160">
        <f t="shared" si="53"/>
        <v>7118454</v>
      </c>
    </row>
    <row r="291" spans="1:13" ht="15" x14ac:dyDescent="0.2">
      <c r="A291" s="123">
        <v>47</v>
      </c>
      <c r="B291" s="123">
        <v>1840</v>
      </c>
      <c r="C291" s="162" t="s">
        <v>222</v>
      </c>
      <c r="D291" s="159">
        <f>700000-225655-23475</f>
        <v>450870</v>
      </c>
      <c r="E291" s="163">
        <f>-184837+225655+23475</f>
        <v>64293</v>
      </c>
      <c r="F291" s="164"/>
      <c r="G291" s="160">
        <f t="shared" si="51"/>
        <v>515163</v>
      </c>
      <c r="H291" s="161"/>
      <c r="I291" s="159">
        <v>-80810</v>
      </c>
      <c r="J291" s="163">
        <v>-17743</v>
      </c>
      <c r="K291" s="163"/>
      <c r="L291" s="160">
        <f t="shared" si="52"/>
        <v>-98553</v>
      </c>
      <c r="M291" s="160">
        <f t="shared" si="53"/>
        <v>416610</v>
      </c>
    </row>
    <row r="292" spans="1:13" ht="15" x14ac:dyDescent="0.2">
      <c r="A292" s="123">
        <v>47</v>
      </c>
      <c r="B292" s="123">
        <v>1845</v>
      </c>
      <c r="C292" s="162" t="s">
        <v>223</v>
      </c>
      <c r="D292" s="159">
        <f>6620742+225655+23475</f>
        <v>6869872</v>
      </c>
      <c r="E292" s="163">
        <f>509694-225655-23475</f>
        <v>260564</v>
      </c>
      <c r="F292" s="164"/>
      <c r="G292" s="160">
        <f t="shared" si="51"/>
        <v>7130436</v>
      </c>
      <c r="H292" s="161"/>
      <c r="I292" s="159">
        <v>-2706020</v>
      </c>
      <c r="J292" s="163">
        <v>-318216</v>
      </c>
      <c r="K292" s="163"/>
      <c r="L292" s="160">
        <f t="shared" si="52"/>
        <v>-3024236</v>
      </c>
      <c r="M292" s="160">
        <f t="shared" si="53"/>
        <v>4106200</v>
      </c>
    </row>
    <row r="293" spans="1:13" ht="15" x14ac:dyDescent="0.2">
      <c r="A293" s="123">
        <v>47</v>
      </c>
      <c r="B293" s="123">
        <v>1850</v>
      </c>
      <c r="C293" s="162" t="s">
        <v>224</v>
      </c>
      <c r="D293" s="159">
        <v>10478535</v>
      </c>
      <c r="E293" s="163">
        <v>483494</v>
      </c>
      <c r="F293" s="164"/>
      <c r="G293" s="160">
        <f t="shared" si="51"/>
        <v>10962029</v>
      </c>
      <c r="H293" s="161"/>
      <c r="I293" s="159">
        <v>-3340570</v>
      </c>
      <c r="J293" s="163">
        <v>-441181</v>
      </c>
      <c r="K293" s="163"/>
      <c r="L293" s="160">
        <f t="shared" si="52"/>
        <v>-3781751</v>
      </c>
      <c r="M293" s="160">
        <f t="shared" si="53"/>
        <v>7180278</v>
      </c>
    </row>
    <row r="294" spans="1:13" ht="15" x14ac:dyDescent="0.2">
      <c r="A294" s="123">
        <v>47</v>
      </c>
      <c r="B294" s="123">
        <v>1855</v>
      </c>
      <c r="C294" s="162" t="s">
        <v>225</v>
      </c>
      <c r="D294" s="159">
        <v>2254254</v>
      </c>
      <c r="E294" s="163">
        <v>124963</v>
      </c>
      <c r="F294" s="164"/>
      <c r="G294" s="160">
        <f t="shared" si="51"/>
        <v>2379217</v>
      </c>
      <c r="H294" s="161"/>
      <c r="I294" s="159">
        <v>-533527</v>
      </c>
      <c r="J294" s="163">
        <v>-92686</v>
      </c>
      <c r="K294" s="163"/>
      <c r="L294" s="160">
        <f t="shared" si="52"/>
        <v>-626213</v>
      </c>
      <c r="M294" s="160">
        <f t="shared" si="53"/>
        <v>1753004</v>
      </c>
    </row>
    <row r="295" spans="1:13" ht="15" x14ac:dyDescent="0.2">
      <c r="A295" s="123">
        <v>47</v>
      </c>
      <c r="B295" s="123">
        <v>1860</v>
      </c>
      <c r="C295" s="162" t="s">
        <v>47</v>
      </c>
      <c r="D295" s="159">
        <v>2931270</v>
      </c>
      <c r="E295" s="163">
        <v>18218</v>
      </c>
      <c r="F295" s="164"/>
      <c r="G295" s="160">
        <f t="shared" si="51"/>
        <v>2949488</v>
      </c>
      <c r="H295" s="161"/>
      <c r="I295" s="159">
        <v>-962753</v>
      </c>
      <c r="J295" s="163">
        <v>-114955</v>
      </c>
      <c r="K295" s="163"/>
      <c r="L295" s="160">
        <f t="shared" si="52"/>
        <v>-1077708</v>
      </c>
      <c r="M295" s="160">
        <f t="shared" si="53"/>
        <v>1871780</v>
      </c>
    </row>
    <row r="296" spans="1:13" ht="15" x14ac:dyDescent="0.2">
      <c r="A296" s="129" t="s">
        <v>175</v>
      </c>
      <c r="B296" s="129">
        <v>1905</v>
      </c>
      <c r="C296" s="165" t="s">
        <v>176</v>
      </c>
      <c r="D296" s="159">
        <v>139071</v>
      </c>
      <c r="E296" s="163"/>
      <c r="F296" s="164"/>
      <c r="G296" s="160">
        <f t="shared" si="51"/>
        <v>139071</v>
      </c>
      <c r="H296" s="161"/>
      <c r="I296" s="159"/>
      <c r="J296" s="163"/>
      <c r="K296" s="163"/>
      <c r="L296" s="160">
        <f t="shared" si="52"/>
        <v>0</v>
      </c>
      <c r="M296" s="160">
        <f t="shared" si="53"/>
        <v>139071</v>
      </c>
    </row>
    <row r="297" spans="1:13" ht="15" x14ac:dyDescent="0.2">
      <c r="A297" s="115" t="s">
        <v>152</v>
      </c>
      <c r="B297" s="115">
        <v>1612</v>
      </c>
      <c r="C297" s="116" t="s">
        <v>177</v>
      </c>
      <c r="D297" s="159">
        <v>695389</v>
      </c>
      <c r="E297" s="166"/>
      <c r="F297" s="167"/>
      <c r="G297" s="160">
        <f>D297+E297+F297</f>
        <v>695389</v>
      </c>
      <c r="H297" s="168"/>
      <c r="I297" s="159">
        <v>-197673</v>
      </c>
      <c r="J297" s="166">
        <v>-20721</v>
      </c>
      <c r="K297" s="166"/>
      <c r="L297" s="160">
        <f>I297+J297+K297</f>
        <v>-218394</v>
      </c>
      <c r="M297" s="160">
        <f>G297+L297</f>
        <v>476995</v>
      </c>
    </row>
    <row r="298" spans="1:13" ht="15" x14ac:dyDescent="0.2">
      <c r="A298" s="123" t="s">
        <v>178</v>
      </c>
      <c r="B298" s="123">
        <v>1908</v>
      </c>
      <c r="C298" s="162" t="s">
        <v>179</v>
      </c>
      <c r="D298" s="159">
        <v>1997893</v>
      </c>
      <c r="E298" s="163">
        <v>32033</v>
      </c>
      <c r="F298" s="164"/>
      <c r="G298" s="160">
        <f t="shared" si="51"/>
        <v>2029926</v>
      </c>
      <c r="H298" s="161"/>
      <c r="I298" s="159">
        <v>-317590</v>
      </c>
      <c r="J298" s="163">
        <v>-48202</v>
      </c>
      <c r="K298" s="163"/>
      <c r="L298" s="160">
        <f t="shared" si="52"/>
        <v>-365792</v>
      </c>
      <c r="M298" s="160">
        <f t="shared" si="53"/>
        <v>1664134</v>
      </c>
    </row>
    <row r="299" spans="1:13" ht="15" x14ac:dyDescent="0.2">
      <c r="A299" s="123">
        <v>8</v>
      </c>
      <c r="B299" s="123">
        <v>1915</v>
      </c>
      <c r="C299" s="162" t="s">
        <v>180</v>
      </c>
      <c r="D299" s="159">
        <v>341917</v>
      </c>
      <c r="E299" s="163">
        <v>4925</v>
      </c>
      <c r="F299" s="163">
        <v>-216</v>
      </c>
      <c r="G299" s="160">
        <f t="shared" si="51"/>
        <v>346626</v>
      </c>
      <c r="H299" s="161"/>
      <c r="I299" s="159">
        <v>-172293</v>
      </c>
      <c r="J299" s="163">
        <v>-30742</v>
      </c>
      <c r="K299" s="163">
        <v>173</v>
      </c>
      <c r="L299" s="160">
        <f t="shared" si="52"/>
        <v>-202862</v>
      </c>
      <c r="M299" s="160">
        <f t="shared" si="53"/>
        <v>143764</v>
      </c>
    </row>
    <row r="300" spans="1:13" ht="15" x14ac:dyDescent="0.2">
      <c r="A300" s="123">
        <v>50</v>
      </c>
      <c r="B300" s="123">
        <v>1920</v>
      </c>
      <c r="C300" s="162" t="s">
        <v>181</v>
      </c>
      <c r="D300" s="159">
        <v>515292</v>
      </c>
      <c r="E300" s="163">
        <v>69180</v>
      </c>
      <c r="F300" s="163">
        <v>-45549</v>
      </c>
      <c r="G300" s="160">
        <f t="shared" si="51"/>
        <v>538923</v>
      </c>
      <c r="H300" s="161"/>
      <c r="I300" s="159">
        <v>-396699</v>
      </c>
      <c r="J300" s="163">
        <v>-52405</v>
      </c>
      <c r="K300" s="163">
        <v>45154</v>
      </c>
      <c r="L300" s="160">
        <f t="shared" si="52"/>
        <v>-403950</v>
      </c>
      <c r="M300" s="160">
        <f t="shared" si="53"/>
        <v>134973</v>
      </c>
    </row>
    <row r="301" spans="1:13" ht="15" x14ac:dyDescent="0.2">
      <c r="A301" s="115">
        <v>50</v>
      </c>
      <c r="B301" s="115">
        <v>1611</v>
      </c>
      <c r="C301" s="116" t="s">
        <v>182</v>
      </c>
      <c r="D301" s="159">
        <v>2174830</v>
      </c>
      <c r="E301" s="166">
        <v>285190</v>
      </c>
      <c r="F301" s="166"/>
      <c r="G301" s="160">
        <f>D301+E301+F301</f>
        <v>2460020</v>
      </c>
      <c r="H301" s="168"/>
      <c r="I301" s="159">
        <v>-1111596</v>
      </c>
      <c r="J301" s="166">
        <v>-324388</v>
      </c>
      <c r="K301" s="166">
        <v>164220</v>
      </c>
      <c r="L301" s="160">
        <f>I301+J301+K301</f>
        <v>-1271764</v>
      </c>
      <c r="M301" s="160">
        <f>G301+L301</f>
        <v>1188256</v>
      </c>
    </row>
    <row r="302" spans="1:13" ht="15" x14ac:dyDescent="0.2">
      <c r="A302" s="123">
        <v>10</v>
      </c>
      <c r="B302" s="123">
        <v>1930</v>
      </c>
      <c r="C302" s="162" t="s">
        <v>227</v>
      </c>
      <c r="D302" s="159">
        <v>1703282</v>
      </c>
      <c r="E302" s="163">
        <v>332199</v>
      </c>
      <c r="F302" s="163">
        <v>-165107</v>
      </c>
      <c r="G302" s="160">
        <f t="shared" si="51"/>
        <v>1870374</v>
      </c>
      <c r="H302" s="161"/>
      <c r="I302" s="159">
        <v>-938973</v>
      </c>
      <c r="J302" s="163">
        <v>-165552</v>
      </c>
      <c r="K302" s="163"/>
      <c r="L302" s="160">
        <f t="shared" si="52"/>
        <v>-1104525</v>
      </c>
      <c r="M302" s="160">
        <f t="shared" si="53"/>
        <v>765849</v>
      </c>
    </row>
    <row r="303" spans="1:13" ht="15" x14ac:dyDescent="0.2">
      <c r="A303" s="123">
        <v>8</v>
      </c>
      <c r="B303" s="123">
        <v>1940</v>
      </c>
      <c r="C303" s="162" t="s">
        <v>186</v>
      </c>
      <c r="D303" s="159">
        <v>558803</v>
      </c>
      <c r="E303" s="163">
        <v>90319</v>
      </c>
      <c r="F303" s="163"/>
      <c r="G303" s="160">
        <f t="shared" si="51"/>
        <v>649122</v>
      </c>
      <c r="H303" s="161"/>
      <c r="I303" s="159">
        <v>-291656</v>
      </c>
      <c r="J303" s="163">
        <v>-48478</v>
      </c>
      <c r="K303" s="163"/>
      <c r="L303" s="160">
        <f t="shared" si="52"/>
        <v>-340134</v>
      </c>
      <c r="M303" s="160">
        <f t="shared" si="53"/>
        <v>308988</v>
      </c>
    </row>
    <row r="304" spans="1:13" ht="15" x14ac:dyDescent="0.2">
      <c r="A304" s="123">
        <v>8</v>
      </c>
      <c r="B304" s="123">
        <v>1955</v>
      </c>
      <c r="C304" s="162" t="s">
        <v>187</v>
      </c>
      <c r="D304" s="159">
        <v>70790</v>
      </c>
      <c r="E304" s="163">
        <v>11430</v>
      </c>
      <c r="F304" s="163">
        <v>-17511</v>
      </c>
      <c r="G304" s="160">
        <f t="shared" si="51"/>
        <v>64709</v>
      </c>
      <c r="H304" s="161"/>
      <c r="I304" s="159">
        <v>-66281</v>
      </c>
      <c r="J304" s="163">
        <v>-1800</v>
      </c>
      <c r="K304" s="163">
        <v>17511</v>
      </c>
      <c r="L304" s="160">
        <f t="shared" si="52"/>
        <v>-50570</v>
      </c>
      <c r="M304" s="160">
        <f t="shared" si="53"/>
        <v>14139</v>
      </c>
    </row>
    <row r="305" spans="1:13" ht="15" x14ac:dyDescent="0.2">
      <c r="A305" s="123">
        <v>47</v>
      </c>
      <c r="B305" s="123">
        <v>1995</v>
      </c>
      <c r="C305" s="162" t="s">
        <v>228</v>
      </c>
      <c r="D305" s="159">
        <v>-3456315</v>
      </c>
      <c r="E305" s="163">
        <v>-330500</v>
      </c>
      <c r="F305" s="163"/>
      <c r="G305" s="160">
        <f t="shared" si="51"/>
        <v>-3786815</v>
      </c>
      <c r="H305" s="161"/>
      <c r="I305" s="159">
        <v>546789</v>
      </c>
      <c r="J305" s="163">
        <v>144565</v>
      </c>
      <c r="K305" s="163"/>
      <c r="L305" s="160">
        <f t="shared" si="52"/>
        <v>691354</v>
      </c>
      <c r="M305" s="160">
        <f t="shared" si="53"/>
        <v>-3095461</v>
      </c>
    </row>
    <row r="306" spans="1:13" ht="15" x14ac:dyDescent="0.2">
      <c r="A306" s="131"/>
      <c r="B306" s="131" t="s">
        <v>204</v>
      </c>
      <c r="C306" s="169"/>
      <c r="D306" s="159"/>
      <c r="E306" s="164"/>
      <c r="F306" s="164"/>
      <c r="G306" s="160"/>
      <c r="I306" s="164"/>
      <c r="J306" s="163"/>
      <c r="K306" s="163"/>
      <c r="L306" s="170"/>
      <c r="M306" s="171"/>
    </row>
    <row r="307" spans="1:13" x14ac:dyDescent="0.2">
      <c r="A307" s="131"/>
      <c r="B307" s="131"/>
      <c r="C307" s="172" t="s">
        <v>51</v>
      </c>
      <c r="D307" s="173">
        <f>SUM(D288:D306)</f>
        <v>54531593</v>
      </c>
      <c r="E307" s="173">
        <f>SUM(E288:E306)</f>
        <v>3256765</v>
      </c>
      <c r="F307" s="174">
        <f>SUM(F288:F306)</f>
        <v>-342789</v>
      </c>
      <c r="G307" s="173">
        <f>SUM(G288:G306)</f>
        <v>57445569</v>
      </c>
      <c r="H307" s="173"/>
      <c r="I307" s="174">
        <f>SUM(I288:I306)</f>
        <v>-20204613</v>
      </c>
      <c r="J307" s="174">
        <f>SUM(J288:J306)</f>
        <v>-2828466</v>
      </c>
      <c r="K307" s="173">
        <f>SUM(K288:K306)</f>
        <v>335218</v>
      </c>
      <c r="L307" s="174">
        <f>SUM(L288:L306)</f>
        <v>-22697861</v>
      </c>
      <c r="M307" s="173">
        <f>SUM(M288:M306)</f>
        <v>34747708</v>
      </c>
    </row>
    <row r="308" spans="1:13" ht="25.5" x14ac:dyDescent="0.2">
      <c r="A308" s="131"/>
      <c r="B308" s="131"/>
      <c r="C308" s="175" t="s">
        <v>205</v>
      </c>
      <c r="D308" s="176"/>
      <c r="E308" s="176"/>
      <c r="F308" s="176"/>
      <c r="G308" s="170">
        <f t="shared" ref="G308:G309" si="54">D308+E308+F308</f>
        <v>0</v>
      </c>
      <c r="I308" s="176"/>
      <c r="J308" s="176"/>
      <c r="K308" s="176"/>
      <c r="L308" s="170">
        <f t="shared" ref="L308:L309" si="55">I308+J308+K308</f>
        <v>0</v>
      </c>
      <c r="M308" s="173">
        <f t="shared" ref="M308:M309" si="56">G308+L308</f>
        <v>0</v>
      </c>
    </row>
    <row r="309" spans="1:13" ht="25.5" x14ac:dyDescent="0.2">
      <c r="A309" s="131"/>
      <c r="B309" s="131"/>
      <c r="C309" s="177" t="s">
        <v>206</v>
      </c>
      <c r="D309" s="176"/>
      <c r="E309" s="176"/>
      <c r="F309" s="176"/>
      <c r="G309" s="170">
        <f t="shared" si="54"/>
        <v>0</v>
      </c>
      <c r="I309" s="176"/>
      <c r="J309" s="176"/>
      <c r="K309" s="176"/>
      <c r="L309" s="170">
        <f t="shared" si="55"/>
        <v>0</v>
      </c>
      <c r="M309" s="173">
        <f t="shared" si="56"/>
        <v>0</v>
      </c>
    </row>
    <row r="310" spans="1:13" x14ac:dyDescent="0.2">
      <c r="A310" s="131"/>
      <c r="B310" s="131"/>
      <c r="C310" s="172" t="s">
        <v>207</v>
      </c>
      <c r="D310" s="173">
        <f>SUM(D307:D309)</f>
        <v>54531593</v>
      </c>
      <c r="E310" s="173">
        <f t="shared" ref="E310:G310" si="57">SUM(E307:E309)</f>
        <v>3256765</v>
      </c>
      <c r="F310" s="174">
        <f t="shared" si="57"/>
        <v>-342789</v>
      </c>
      <c r="G310" s="173">
        <f t="shared" si="57"/>
        <v>57445569</v>
      </c>
      <c r="H310" s="173"/>
      <c r="I310" s="174">
        <f t="shared" ref="I310:M310" si="58">SUM(I307:I309)</f>
        <v>-20204613</v>
      </c>
      <c r="J310" s="174">
        <f t="shared" si="58"/>
        <v>-2828466</v>
      </c>
      <c r="K310" s="173">
        <f t="shared" si="58"/>
        <v>335218</v>
      </c>
      <c r="L310" s="174">
        <f t="shared" si="58"/>
        <v>-22697861</v>
      </c>
      <c r="M310" s="173">
        <f t="shared" si="58"/>
        <v>34747708</v>
      </c>
    </row>
  </sheetData>
  <mergeCells count="21">
    <mergeCell ref="D166:G166"/>
    <mergeCell ref="A9:M9"/>
    <mergeCell ref="A10:M10"/>
    <mergeCell ref="D14:G14"/>
    <mergeCell ref="B80:M81"/>
    <mergeCell ref="B83:M84"/>
    <mergeCell ref="B86:M86"/>
    <mergeCell ref="A91:M91"/>
    <mergeCell ref="A92:M92"/>
    <mergeCell ref="D96:G96"/>
    <mergeCell ref="A161:M161"/>
    <mergeCell ref="A162:M162"/>
    <mergeCell ref="A281:M281"/>
    <mergeCell ref="A282:M282"/>
    <mergeCell ref="D286:G286"/>
    <mergeCell ref="A202:M202"/>
    <mergeCell ref="A203:M203"/>
    <mergeCell ref="D207:G207"/>
    <mergeCell ref="A242:M242"/>
    <mergeCell ref="A243:M243"/>
    <mergeCell ref="D247:G2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C16" workbookViewId="0">
      <selection activeCell="L49" sqref="L49"/>
    </sheetView>
  </sheetViews>
  <sheetFormatPr defaultRowHeight="15" x14ac:dyDescent="0.2"/>
  <cols>
    <col min="2" max="2" width="38.33203125" customWidth="1"/>
    <col min="3" max="3" width="12" bestFit="1" customWidth="1"/>
    <col min="4" max="4" width="11" bestFit="1" customWidth="1"/>
    <col min="5" max="5" width="11.5546875" customWidth="1"/>
    <col min="6" max="6" width="7.44140625" customWidth="1"/>
    <col min="7" max="8" width="9.5546875" customWidth="1"/>
    <col min="9" max="9" width="11.109375" customWidth="1"/>
    <col min="10" max="10" width="10" customWidth="1"/>
    <col min="11" max="11" width="14" customWidth="1"/>
    <col min="12" max="12" width="11" customWidth="1"/>
    <col min="13" max="13" width="9.5546875" bestFit="1" customWidth="1"/>
    <col min="14" max="14" width="13.6640625" customWidth="1"/>
    <col min="15" max="15" width="12.21875" customWidth="1"/>
  </cols>
  <sheetData>
    <row r="1" spans="1:15" x14ac:dyDescent="0.2">
      <c r="A1" s="2"/>
      <c r="B1" s="2"/>
      <c r="C1" s="2"/>
      <c r="D1" s="2"/>
      <c r="E1" s="2"/>
      <c r="F1" s="2"/>
      <c r="G1" s="2"/>
      <c r="H1" s="2"/>
      <c r="I1" s="2"/>
      <c r="J1" s="2"/>
      <c r="K1" s="2"/>
      <c r="L1" s="2"/>
      <c r="M1" s="2"/>
      <c r="N1" s="180" t="s">
        <v>106</v>
      </c>
      <c r="O1" s="181" t="str">
        <f>EBNUMBER</f>
        <v>EB-2013-0134</v>
      </c>
    </row>
    <row r="2" spans="1:15" x14ac:dyDescent="0.2">
      <c r="A2" s="2"/>
      <c r="B2" s="2"/>
      <c r="C2" s="2"/>
      <c r="D2" s="2"/>
      <c r="E2" s="2"/>
      <c r="F2" s="2"/>
      <c r="G2" s="2"/>
      <c r="H2" s="2"/>
      <c r="I2" s="2"/>
      <c r="J2" s="2"/>
      <c r="K2" s="2"/>
      <c r="L2" s="2"/>
      <c r="M2" s="2"/>
      <c r="N2" s="180" t="s">
        <v>107</v>
      </c>
      <c r="O2" s="182">
        <v>4</v>
      </c>
    </row>
    <row r="3" spans="1:15" x14ac:dyDescent="0.2">
      <c r="A3" s="2"/>
      <c r="B3" s="2"/>
      <c r="C3" s="2"/>
      <c r="D3" s="2"/>
      <c r="E3" s="2"/>
      <c r="F3" s="2"/>
      <c r="G3" s="2"/>
      <c r="H3" s="2"/>
      <c r="I3" s="2"/>
      <c r="J3" s="2"/>
      <c r="K3" s="2"/>
      <c r="L3" s="2"/>
      <c r="M3" s="2"/>
      <c r="N3" s="180" t="s">
        <v>108</v>
      </c>
      <c r="O3" s="182">
        <v>3</v>
      </c>
    </row>
    <row r="4" spans="1:15" x14ac:dyDescent="0.2">
      <c r="A4" s="2"/>
      <c r="B4" s="2"/>
      <c r="C4" s="2"/>
      <c r="D4" s="2"/>
      <c r="E4" s="2"/>
      <c r="F4" s="2"/>
      <c r="G4" s="2"/>
      <c r="H4" s="2"/>
      <c r="I4" s="2"/>
      <c r="J4" s="2"/>
      <c r="K4" s="2"/>
      <c r="L4" s="2"/>
      <c r="M4" s="2"/>
      <c r="N4" s="180" t="s">
        <v>109</v>
      </c>
      <c r="O4" s="182">
        <v>2</v>
      </c>
    </row>
    <row r="5" spans="1:15" x14ac:dyDescent="0.2">
      <c r="A5" s="2"/>
      <c r="B5" s="2"/>
      <c r="C5" s="2"/>
      <c r="D5" s="2"/>
      <c r="E5" s="2"/>
      <c r="F5" s="2"/>
      <c r="G5" s="2"/>
      <c r="H5" s="2"/>
      <c r="I5" s="2"/>
      <c r="J5" s="2"/>
      <c r="K5" s="2"/>
      <c r="L5" s="2"/>
      <c r="M5" s="2"/>
      <c r="N5" s="180" t="s">
        <v>110</v>
      </c>
      <c r="O5" s="183">
        <v>6</v>
      </c>
    </row>
    <row r="6" spans="1:15" x14ac:dyDescent="0.2">
      <c r="A6" s="2"/>
      <c r="B6" s="2"/>
      <c r="C6" s="2"/>
      <c r="D6" s="2"/>
      <c r="E6" s="2"/>
      <c r="F6" s="2"/>
      <c r="G6" s="2"/>
      <c r="H6" s="2"/>
      <c r="I6" s="2"/>
      <c r="J6" s="2"/>
      <c r="K6" s="2"/>
      <c r="L6" s="2"/>
      <c r="M6" s="2"/>
      <c r="N6" s="180"/>
      <c r="O6" s="181"/>
    </row>
    <row r="7" spans="1:15" x14ac:dyDescent="0.2">
      <c r="A7" s="2"/>
      <c r="B7" s="2"/>
      <c r="C7" s="2"/>
      <c r="D7" s="2"/>
      <c r="E7" s="2"/>
      <c r="F7" s="2"/>
      <c r="G7" s="2"/>
      <c r="H7" s="2"/>
      <c r="I7" s="2"/>
      <c r="J7" s="2"/>
      <c r="K7" s="2"/>
      <c r="L7" s="2"/>
      <c r="M7" s="2"/>
      <c r="N7" s="180" t="s">
        <v>112</v>
      </c>
      <c r="O7" s="184">
        <v>41702</v>
      </c>
    </row>
    <row r="8" spans="1:15" x14ac:dyDescent="0.2">
      <c r="A8" s="2"/>
      <c r="B8" s="2"/>
      <c r="C8" s="2"/>
      <c r="D8" s="2"/>
      <c r="E8" s="2"/>
      <c r="F8" s="2"/>
      <c r="G8" s="2"/>
      <c r="H8" s="2"/>
      <c r="I8" s="2"/>
      <c r="J8" s="2"/>
      <c r="K8" s="2"/>
      <c r="L8" s="2"/>
      <c r="M8" s="2"/>
      <c r="N8" s="2"/>
      <c r="O8" s="2"/>
    </row>
    <row r="9" spans="1:15" ht="18" x14ac:dyDescent="0.2">
      <c r="A9" s="836" t="s">
        <v>229</v>
      </c>
      <c r="B9" s="836"/>
      <c r="C9" s="836"/>
      <c r="D9" s="836"/>
      <c r="E9" s="836"/>
      <c r="F9" s="836"/>
      <c r="G9" s="836"/>
      <c r="H9" s="836"/>
      <c r="I9" s="836"/>
      <c r="J9" s="836"/>
      <c r="K9" s="836"/>
      <c r="L9" s="836"/>
      <c r="M9" s="836"/>
      <c r="N9" s="836"/>
      <c r="O9" s="836"/>
    </row>
    <row r="10" spans="1:15" ht="18" x14ac:dyDescent="0.2">
      <c r="A10" s="837" t="s">
        <v>230</v>
      </c>
      <c r="B10" s="837"/>
      <c r="C10" s="837"/>
      <c r="D10" s="837"/>
      <c r="E10" s="837"/>
      <c r="F10" s="837"/>
      <c r="G10" s="837"/>
      <c r="H10" s="837"/>
      <c r="I10" s="837"/>
      <c r="J10" s="837"/>
      <c r="K10" s="837"/>
      <c r="L10" s="837"/>
      <c r="M10" s="837"/>
      <c r="N10" s="837"/>
      <c r="O10" s="837"/>
    </row>
    <row r="11" spans="1:15" x14ac:dyDescent="0.2">
      <c r="A11" s="838" t="s">
        <v>2</v>
      </c>
      <c r="B11" s="838"/>
      <c r="C11" s="838"/>
      <c r="D11" s="838"/>
      <c r="E11" s="838"/>
      <c r="F11" s="838"/>
      <c r="G11" s="838"/>
      <c r="H11" s="838"/>
      <c r="I11" s="838"/>
      <c r="J11" s="838"/>
      <c r="K11" s="838"/>
      <c r="L11" s="838"/>
      <c r="M11" s="838"/>
      <c r="N11" s="838"/>
      <c r="O11" s="838"/>
    </row>
    <row r="12" spans="1:15" ht="18" x14ac:dyDescent="0.25">
      <c r="A12" s="185"/>
      <c r="B12" s="185"/>
      <c r="C12" s="186" t="s">
        <v>231</v>
      </c>
      <c r="D12" s="186">
        <v>2013</v>
      </c>
      <c r="E12" s="187" t="s">
        <v>232</v>
      </c>
      <c r="F12" s="185"/>
      <c r="G12" s="185"/>
      <c r="H12" s="185"/>
      <c r="I12" s="185"/>
      <c r="J12" s="185"/>
      <c r="K12" s="185"/>
      <c r="L12" s="185"/>
      <c r="M12" s="2"/>
      <c r="N12" s="2"/>
      <c r="O12" s="2"/>
    </row>
    <row r="13" spans="1:15" ht="15.75" thickBot="1" x14ac:dyDescent="0.25">
      <c r="A13" s="2"/>
      <c r="B13" s="2"/>
      <c r="C13" s="2"/>
      <c r="D13" s="2"/>
      <c r="E13" s="2"/>
      <c r="F13" s="2"/>
      <c r="G13" s="2"/>
      <c r="H13" s="2"/>
      <c r="I13" s="2"/>
      <c r="J13" s="2"/>
      <c r="K13" s="2"/>
      <c r="L13" s="2"/>
      <c r="M13" s="2"/>
      <c r="N13" s="2"/>
      <c r="O13" s="2"/>
    </row>
    <row r="14" spans="1:15" ht="63.75" x14ac:dyDescent="0.2">
      <c r="A14" s="839" t="s">
        <v>233</v>
      </c>
      <c r="B14" s="841" t="s">
        <v>146</v>
      </c>
      <c r="C14" s="188" t="s">
        <v>234</v>
      </c>
      <c r="D14" s="188" t="s">
        <v>148</v>
      </c>
      <c r="E14" s="188" t="s">
        <v>235</v>
      </c>
      <c r="F14" s="188" t="s">
        <v>236</v>
      </c>
      <c r="G14" s="188" t="s">
        <v>237</v>
      </c>
      <c r="H14" s="189" t="s">
        <v>238</v>
      </c>
      <c r="I14" s="190" t="s">
        <v>239</v>
      </c>
      <c r="J14" s="190" t="s">
        <v>240</v>
      </c>
      <c r="K14" s="843" t="s">
        <v>241</v>
      </c>
      <c r="L14" s="190" t="s">
        <v>242</v>
      </c>
      <c r="M14" s="190" t="s">
        <v>243</v>
      </c>
      <c r="N14" s="843" t="s">
        <v>244</v>
      </c>
      <c r="O14" s="190" t="s">
        <v>245</v>
      </c>
    </row>
    <row r="15" spans="1:15" ht="15.75" thickBot="1" x14ac:dyDescent="0.25">
      <c r="A15" s="840"/>
      <c r="B15" s="842"/>
      <c r="C15" s="191" t="s">
        <v>246</v>
      </c>
      <c r="D15" s="191" t="s">
        <v>247</v>
      </c>
      <c r="E15" s="192" t="s">
        <v>248</v>
      </c>
      <c r="F15" s="191" t="s">
        <v>249</v>
      </c>
      <c r="G15" s="191" t="s">
        <v>250</v>
      </c>
      <c r="H15" s="193" t="s">
        <v>251</v>
      </c>
      <c r="I15" s="194" t="s">
        <v>252</v>
      </c>
      <c r="J15" s="195" t="s">
        <v>253</v>
      </c>
      <c r="K15" s="844"/>
      <c r="L15" s="194" t="s">
        <v>254</v>
      </c>
      <c r="M15" s="194" t="s">
        <v>255</v>
      </c>
      <c r="N15" s="845"/>
      <c r="O15" s="195" t="s">
        <v>256</v>
      </c>
    </row>
    <row r="16" spans="1:15" ht="25.5" x14ac:dyDescent="0.2">
      <c r="A16" s="196">
        <v>1609</v>
      </c>
      <c r="B16" s="197" t="s">
        <v>257</v>
      </c>
      <c r="C16" s="198">
        <v>0</v>
      </c>
      <c r="D16" s="198">
        <v>29835</v>
      </c>
      <c r="E16" s="199"/>
      <c r="F16" s="199">
        <v>45</v>
      </c>
      <c r="G16" s="200">
        <f t="shared" ref="G16:G63" si="0">IF(F16=0,0,1/F16)</f>
        <v>2.2222222222222223E-2</v>
      </c>
      <c r="H16" s="201">
        <f t="shared" ref="H16:H63" si="1">IF(E16=0,0,+C16/E16)</f>
        <v>0</v>
      </c>
      <c r="I16" s="201">
        <f t="shared" ref="I16:I63" si="2">IF(F16=0,0,+(D16*0.5)/F16)</f>
        <v>331.5</v>
      </c>
      <c r="J16" s="201">
        <f t="shared" ref="J16:J63" si="3">IF(ISERROR(+H16+I16), 0, +H16+I16)</f>
        <v>331.5</v>
      </c>
      <c r="K16" s="198">
        <v>0</v>
      </c>
      <c r="L16" s="201">
        <f t="shared" ref="L16:L63" si="4">IF(ISERROR(+J16-K16), 0, +J16-K16)</f>
        <v>331.5</v>
      </c>
      <c r="M16" s="201">
        <f t="shared" ref="M16:M63" si="5">IF(F16=0,0,+(D16)/F16)</f>
        <v>663</v>
      </c>
      <c r="N16" s="198"/>
      <c r="O16" s="201">
        <f t="shared" ref="O16:O63" si="6">IF(ISERROR(+M16+H16-N16), 0, +M16+H16-N16)</f>
        <v>663</v>
      </c>
    </row>
    <row r="17" spans="1:15" x14ac:dyDescent="0.2">
      <c r="A17" s="202">
        <v>1820</v>
      </c>
      <c r="B17" s="124" t="s">
        <v>154</v>
      </c>
      <c r="C17" s="203">
        <f>466497-185350</f>
        <v>281147</v>
      </c>
      <c r="D17" s="203"/>
      <c r="E17" s="204">
        <f>ROUND(C17/8035,0)</f>
        <v>35</v>
      </c>
      <c r="F17" s="204">
        <v>45</v>
      </c>
      <c r="G17" s="205">
        <f t="shared" si="0"/>
        <v>2.2222222222222223E-2</v>
      </c>
      <c r="H17" s="206">
        <f t="shared" si="1"/>
        <v>8032.7714285714283</v>
      </c>
      <c r="I17" s="206">
        <f t="shared" si="2"/>
        <v>0</v>
      </c>
      <c r="J17" s="206">
        <f t="shared" si="3"/>
        <v>8032.7714285714283</v>
      </c>
      <c r="K17" s="203">
        <v>8031</v>
      </c>
      <c r="L17" s="206">
        <f t="shared" si="4"/>
        <v>1.7714285714282596</v>
      </c>
      <c r="M17" s="206">
        <f t="shared" si="5"/>
        <v>0</v>
      </c>
      <c r="N17" s="203"/>
      <c r="O17" s="206">
        <f t="shared" si="6"/>
        <v>8032.7714285714283</v>
      </c>
    </row>
    <row r="18" spans="1:15" x14ac:dyDescent="0.2">
      <c r="A18" s="202">
        <v>1830</v>
      </c>
      <c r="B18" s="162" t="s">
        <v>155</v>
      </c>
      <c r="C18" s="203">
        <f>20543025-9281040</f>
        <v>11261985</v>
      </c>
      <c r="D18" s="203">
        <v>1441178</v>
      </c>
      <c r="E18" s="204">
        <f>ROUND(C18/277556,0)</f>
        <v>41</v>
      </c>
      <c r="F18" s="204">
        <v>50</v>
      </c>
      <c r="G18" s="205">
        <f t="shared" si="0"/>
        <v>0.02</v>
      </c>
      <c r="H18" s="206">
        <f t="shared" si="1"/>
        <v>274682.56097560975</v>
      </c>
      <c r="I18" s="206">
        <f t="shared" si="2"/>
        <v>14411.78</v>
      </c>
      <c r="J18" s="206">
        <f t="shared" si="3"/>
        <v>289094.34097560978</v>
      </c>
      <c r="K18" s="203">
        <v>277556</v>
      </c>
      <c r="L18" s="206">
        <f t="shared" si="4"/>
        <v>11538.340975609783</v>
      </c>
      <c r="M18" s="206">
        <f t="shared" si="5"/>
        <v>28823.56</v>
      </c>
      <c r="N18" s="203"/>
      <c r="O18" s="206">
        <f t="shared" si="6"/>
        <v>303506.12097560975</v>
      </c>
    </row>
    <row r="19" spans="1:15" x14ac:dyDescent="0.2">
      <c r="A19" s="202">
        <v>1830</v>
      </c>
      <c r="B19" s="162" t="s">
        <v>156</v>
      </c>
      <c r="C19" s="203">
        <f>84427-44568</f>
        <v>39859</v>
      </c>
      <c r="D19" s="203"/>
      <c r="E19" s="204">
        <f>ROUND(C19/834,0)</f>
        <v>48</v>
      </c>
      <c r="F19" s="204">
        <v>60</v>
      </c>
      <c r="G19" s="205">
        <f t="shared" si="0"/>
        <v>1.6666666666666666E-2</v>
      </c>
      <c r="H19" s="206">
        <f t="shared" si="1"/>
        <v>830.39583333333337</v>
      </c>
      <c r="I19" s="206">
        <f t="shared" si="2"/>
        <v>0</v>
      </c>
      <c r="J19" s="206">
        <f t="shared" si="3"/>
        <v>830.39583333333337</v>
      </c>
      <c r="K19" s="203">
        <v>834</v>
      </c>
      <c r="L19" s="206">
        <f t="shared" si="4"/>
        <v>-3.6041666666666288</v>
      </c>
      <c r="M19" s="206">
        <f t="shared" si="5"/>
        <v>0</v>
      </c>
      <c r="N19" s="203"/>
      <c r="O19" s="206">
        <f t="shared" si="6"/>
        <v>830.39583333333337</v>
      </c>
    </row>
    <row r="20" spans="1:15" x14ac:dyDescent="0.2">
      <c r="A20" s="202">
        <v>1835</v>
      </c>
      <c r="B20" s="162" t="s">
        <v>157</v>
      </c>
      <c r="C20" s="203">
        <f>12599263-3718103</f>
        <v>8881160</v>
      </c>
      <c r="D20" s="203">
        <v>742157</v>
      </c>
      <c r="E20" s="204">
        <f>ROUND(C20/204558,0)</f>
        <v>43</v>
      </c>
      <c r="F20" s="204">
        <v>50</v>
      </c>
      <c r="G20" s="205">
        <f t="shared" si="0"/>
        <v>0.02</v>
      </c>
      <c r="H20" s="206">
        <f t="shared" si="1"/>
        <v>206538.60465116278</v>
      </c>
      <c r="I20" s="206">
        <f t="shared" si="2"/>
        <v>7421.57</v>
      </c>
      <c r="J20" s="206">
        <f t="shared" si="3"/>
        <v>213960.17465116279</v>
      </c>
      <c r="K20" s="203">
        <v>204558</v>
      </c>
      <c r="L20" s="206">
        <f t="shared" si="4"/>
        <v>9402.1746511627862</v>
      </c>
      <c r="M20" s="206">
        <f t="shared" si="5"/>
        <v>14843.14</v>
      </c>
      <c r="N20" s="203"/>
      <c r="O20" s="206">
        <f t="shared" si="6"/>
        <v>221381.74465116276</v>
      </c>
    </row>
    <row r="21" spans="1:15" x14ac:dyDescent="0.2">
      <c r="A21" s="202">
        <v>1835</v>
      </c>
      <c r="B21" s="162" t="s">
        <v>258</v>
      </c>
      <c r="C21" s="203">
        <f>510902-273141</f>
        <v>237761</v>
      </c>
      <c r="D21" s="203"/>
      <c r="E21" s="204">
        <f>ROUND(C21/7255,0)</f>
        <v>33</v>
      </c>
      <c r="F21" s="204">
        <v>45</v>
      </c>
      <c r="G21" s="205">
        <f t="shared" si="0"/>
        <v>2.2222222222222223E-2</v>
      </c>
      <c r="H21" s="206">
        <f t="shared" si="1"/>
        <v>7204.878787878788</v>
      </c>
      <c r="I21" s="206">
        <f t="shared" si="2"/>
        <v>0</v>
      </c>
      <c r="J21" s="206">
        <f t="shared" si="3"/>
        <v>7204.878787878788</v>
      </c>
      <c r="K21" s="203">
        <v>7255</v>
      </c>
      <c r="L21" s="206">
        <f t="shared" si="4"/>
        <v>-50.121212121212011</v>
      </c>
      <c r="M21" s="206">
        <f t="shared" si="5"/>
        <v>0</v>
      </c>
      <c r="N21" s="203"/>
      <c r="O21" s="206">
        <f t="shared" si="6"/>
        <v>7204.878787878788</v>
      </c>
    </row>
    <row r="22" spans="1:15" x14ac:dyDescent="0.2">
      <c r="A22" s="202">
        <v>1835</v>
      </c>
      <c r="B22" s="162" t="s">
        <v>259</v>
      </c>
      <c r="C22" s="203">
        <f>446811-183166</f>
        <v>263645</v>
      </c>
      <c r="D22" s="203"/>
      <c r="E22" s="204">
        <f>ROUND(C22/8441,0)</f>
        <v>31</v>
      </c>
      <c r="F22" s="204">
        <v>40</v>
      </c>
      <c r="G22" s="205">
        <f t="shared" si="0"/>
        <v>2.5000000000000001E-2</v>
      </c>
      <c r="H22" s="206">
        <f t="shared" si="1"/>
        <v>8504.677419354839</v>
      </c>
      <c r="I22" s="206">
        <f t="shared" si="2"/>
        <v>0</v>
      </c>
      <c r="J22" s="206">
        <f t="shared" si="3"/>
        <v>8504.677419354839</v>
      </c>
      <c r="K22" s="203">
        <v>8441</v>
      </c>
      <c r="L22" s="206">
        <f t="shared" si="4"/>
        <v>63.677419354839003</v>
      </c>
      <c r="M22" s="206">
        <f t="shared" si="5"/>
        <v>0</v>
      </c>
      <c r="N22" s="203"/>
      <c r="O22" s="206">
        <f t="shared" si="6"/>
        <v>8504.677419354839</v>
      </c>
    </row>
    <row r="23" spans="1:15" x14ac:dyDescent="0.2">
      <c r="A23" s="202">
        <v>1840</v>
      </c>
      <c r="B23" s="162" t="s">
        <v>160</v>
      </c>
      <c r="C23" s="203">
        <f>1366196-147380</f>
        <v>1218816</v>
      </c>
      <c r="D23" s="203">
        <v>466277</v>
      </c>
      <c r="E23" s="204">
        <f>ROUND(C23/28910,0)</f>
        <v>42</v>
      </c>
      <c r="F23" s="204">
        <v>50</v>
      </c>
      <c r="G23" s="205">
        <f t="shared" si="0"/>
        <v>0.02</v>
      </c>
      <c r="H23" s="206">
        <f t="shared" si="1"/>
        <v>29019.428571428572</v>
      </c>
      <c r="I23" s="206">
        <f t="shared" si="2"/>
        <v>4662.7700000000004</v>
      </c>
      <c r="J23" s="206">
        <f t="shared" si="3"/>
        <v>33682.198571428569</v>
      </c>
      <c r="K23" s="203">
        <v>28910</v>
      </c>
      <c r="L23" s="206">
        <f t="shared" si="4"/>
        <v>4772.1985714285693</v>
      </c>
      <c r="M23" s="206">
        <f t="shared" si="5"/>
        <v>9325.5400000000009</v>
      </c>
      <c r="N23" s="203"/>
      <c r="O23" s="206">
        <f t="shared" si="6"/>
        <v>38344.968571428573</v>
      </c>
    </row>
    <row r="24" spans="1:15" x14ac:dyDescent="0.2">
      <c r="A24" s="202">
        <v>1845</v>
      </c>
      <c r="B24" s="162" t="s">
        <v>260</v>
      </c>
      <c r="C24" s="203">
        <f>6219026-2961122</f>
        <v>3257904</v>
      </c>
      <c r="D24" s="203">
        <v>17894</v>
      </c>
      <c r="E24" s="204">
        <f>ROUND(C24/172435,0)</f>
        <v>19</v>
      </c>
      <c r="F24" s="204">
        <v>30</v>
      </c>
      <c r="G24" s="205">
        <f t="shared" si="0"/>
        <v>3.3333333333333333E-2</v>
      </c>
      <c r="H24" s="206">
        <f t="shared" si="1"/>
        <v>171468.63157894736</v>
      </c>
      <c r="I24" s="206">
        <f t="shared" si="2"/>
        <v>298.23333333333335</v>
      </c>
      <c r="J24" s="206">
        <f t="shared" si="3"/>
        <v>171766.8649122807</v>
      </c>
      <c r="K24" s="203">
        <v>172435</v>
      </c>
      <c r="L24" s="206">
        <f t="shared" si="4"/>
        <v>-668.13508771930356</v>
      </c>
      <c r="M24" s="206">
        <f t="shared" si="5"/>
        <v>596.4666666666667</v>
      </c>
      <c r="N24" s="203"/>
      <c r="O24" s="206">
        <f t="shared" si="6"/>
        <v>172065.09824561403</v>
      </c>
    </row>
    <row r="25" spans="1:15" x14ac:dyDescent="0.2">
      <c r="A25" s="202">
        <v>1845</v>
      </c>
      <c r="B25" s="162" t="s">
        <v>261</v>
      </c>
      <c r="C25" s="203">
        <f>1428183-682394</f>
        <v>745789</v>
      </c>
      <c r="D25" s="203">
        <v>963360</v>
      </c>
      <c r="E25" s="204">
        <f>ROUND(C25/29162,0)</f>
        <v>26</v>
      </c>
      <c r="F25" s="204">
        <v>40</v>
      </c>
      <c r="G25" s="205">
        <f t="shared" si="0"/>
        <v>2.5000000000000001E-2</v>
      </c>
      <c r="H25" s="206">
        <f t="shared" si="1"/>
        <v>28684.192307692309</v>
      </c>
      <c r="I25" s="206">
        <f t="shared" si="2"/>
        <v>12042</v>
      </c>
      <c r="J25" s="206">
        <f t="shared" si="3"/>
        <v>40726.192307692312</v>
      </c>
      <c r="K25" s="203">
        <v>29162</v>
      </c>
      <c r="L25" s="206">
        <f t="shared" si="4"/>
        <v>11564.192307692312</v>
      </c>
      <c r="M25" s="206">
        <f t="shared" si="5"/>
        <v>24084</v>
      </c>
      <c r="N25" s="203"/>
      <c r="O25" s="206">
        <f t="shared" si="6"/>
        <v>52768.192307692312</v>
      </c>
    </row>
    <row r="26" spans="1:15" x14ac:dyDescent="0.2">
      <c r="A26" s="202">
        <v>1845</v>
      </c>
      <c r="B26" s="162" t="s">
        <v>163</v>
      </c>
      <c r="C26" s="203">
        <f>55043-22945</f>
        <v>32098</v>
      </c>
      <c r="D26" s="203">
        <v>24770</v>
      </c>
      <c r="E26" s="204">
        <f>ROUND(C26/2164,0)</f>
        <v>15</v>
      </c>
      <c r="F26" s="204">
        <v>30</v>
      </c>
      <c r="G26" s="205">
        <f t="shared" si="0"/>
        <v>3.3333333333333333E-2</v>
      </c>
      <c r="H26" s="206">
        <f t="shared" si="1"/>
        <v>2139.8666666666668</v>
      </c>
      <c r="I26" s="206">
        <f t="shared" si="2"/>
        <v>412.83333333333331</v>
      </c>
      <c r="J26" s="206">
        <f t="shared" si="3"/>
        <v>2552.7000000000003</v>
      </c>
      <c r="K26" s="203">
        <v>2164</v>
      </c>
      <c r="L26" s="206">
        <f t="shared" si="4"/>
        <v>388.70000000000027</v>
      </c>
      <c r="M26" s="206">
        <f t="shared" si="5"/>
        <v>825.66666666666663</v>
      </c>
      <c r="N26" s="203"/>
      <c r="O26" s="206">
        <f t="shared" si="6"/>
        <v>2965.5333333333333</v>
      </c>
    </row>
    <row r="27" spans="1:15" x14ac:dyDescent="0.2">
      <c r="A27" s="202">
        <v>1850</v>
      </c>
      <c r="B27" s="162" t="s">
        <v>262</v>
      </c>
      <c r="C27" s="203">
        <f>9439683-3943725</f>
        <v>5495958</v>
      </c>
      <c r="D27" s="203">
        <v>431525</v>
      </c>
      <c r="E27" s="204">
        <f>ROUND(C27/186850,0)</f>
        <v>29</v>
      </c>
      <c r="F27" s="204">
        <v>40</v>
      </c>
      <c r="G27" s="205">
        <f t="shared" si="0"/>
        <v>2.5000000000000001E-2</v>
      </c>
      <c r="H27" s="206">
        <f t="shared" si="1"/>
        <v>189515.79310344829</v>
      </c>
      <c r="I27" s="206">
        <f t="shared" si="2"/>
        <v>5394.0625</v>
      </c>
      <c r="J27" s="206">
        <f t="shared" si="3"/>
        <v>194909.85560344829</v>
      </c>
      <c r="K27" s="203">
        <v>186850</v>
      </c>
      <c r="L27" s="206">
        <f t="shared" si="4"/>
        <v>8059.8556034482899</v>
      </c>
      <c r="M27" s="206">
        <f t="shared" si="5"/>
        <v>10788.125</v>
      </c>
      <c r="N27" s="203"/>
      <c r="O27" s="206">
        <f t="shared" si="6"/>
        <v>200303.91810344829</v>
      </c>
    </row>
    <row r="28" spans="1:15" x14ac:dyDescent="0.2">
      <c r="A28" s="202">
        <v>1850</v>
      </c>
      <c r="B28" s="162" t="s">
        <v>165</v>
      </c>
      <c r="C28" s="203">
        <f>2420047-703172</f>
        <v>1716875</v>
      </c>
      <c r="D28" s="203">
        <v>255442</v>
      </c>
      <c r="E28" s="204">
        <f>ROUND(C28/50828,0)</f>
        <v>34</v>
      </c>
      <c r="F28" s="204">
        <v>40</v>
      </c>
      <c r="G28" s="205">
        <f t="shared" si="0"/>
        <v>2.5000000000000001E-2</v>
      </c>
      <c r="H28" s="206">
        <f t="shared" si="1"/>
        <v>50496.323529411762</v>
      </c>
      <c r="I28" s="206">
        <f t="shared" si="2"/>
        <v>3193.0250000000001</v>
      </c>
      <c r="J28" s="206">
        <f t="shared" si="3"/>
        <v>53689.348529411764</v>
      </c>
      <c r="K28" s="203">
        <v>50828</v>
      </c>
      <c r="L28" s="206">
        <f t="shared" si="4"/>
        <v>2861.3485294117636</v>
      </c>
      <c r="M28" s="206">
        <f t="shared" si="5"/>
        <v>6386.05</v>
      </c>
      <c r="N28" s="203"/>
      <c r="O28" s="206">
        <f t="shared" si="6"/>
        <v>56882.373529411765</v>
      </c>
    </row>
    <row r="29" spans="1:15" x14ac:dyDescent="0.2">
      <c r="A29" s="202">
        <v>1850</v>
      </c>
      <c r="B29" s="162" t="s">
        <v>166</v>
      </c>
      <c r="C29" s="203">
        <f>314345-91369</f>
        <v>222976</v>
      </c>
      <c r="D29" s="203"/>
      <c r="E29" s="204">
        <f>ROUND(C29/6590,0)</f>
        <v>34</v>
      </c>
      <c r="F29" s="204">
        <v>40</v>
      </c>
      <c r="G29" s="205">
        <f t="shared" si="0"/>
        <v>2.5000000000000001E-2</v>
      </c>
      <c r="H29" s="206">
        <f t="shared" si="1"/>
        <v>6558.1176470588234</v>
      </c>
      <c r="I29" s="206">
        <f t="shared" si="2"/>
        <v>0</v>
      </c>
      <c r="J29" s="206">
        <f t="shared" si="3"/>
        <v>6558.1176470588234</v>
      </c>
      <c r="K29" s="203">
        <v>6590</v>
      </c>
      <c r="L29" s="206">
        <f t="shared" si="4"/>
        <v>-31.882352941176578</v>
      </c>
      <c r="M29" s="206">
        <f t="shared" si="5"/>
        <v>0</v>
      </c>
      <c r="N29" s="203"/>
      <c r="O29" s="206">
        <f t="shared" si="6"/>
        <v>6558.1176470588234</v>
      </c>
    </row>
    <row r="30" spans="1:15" x14ac:dyDescent="0.2">
      <c r="A30" s="202">
        <v>1850</v>
      </c>
      <c r="B30" s="162" t="s">
        <v>167</v>
      </c>
      <c r="C30" s="203">
        <f>213830-0</f>
        <v>213830</v>
      </c>
      <c r="D30" s="203">
        <v>64443</v>
      </c>
      <c r="E30" s="204"/>
      <c r="F30" s="204"/>
      <c r="G30" s="205">
        <f t="shared" si="0"/>
        <v>0</v>
      </c>
      <c r="H30" s="206">
        <f t="shared" si="1"/>
        <v>0</v>
      </c>
      <c r="I30" s="206">
        <f t="shared" si="2"/>
        <v>0</v>
      </c>
      <c r="J30" s="206">
        <f t="shared" si="3"/>
        <v>0</v>
      </c>
      <c r="K30" s="203"/>
      <c r="L30" s="206">
        <f t="shared" si="4"/>
        <v>0</v>
      </c>
      <c r="M30" s="206">
        <f t="shared" si="5"/>
        <v>0</v>
      </c>
      <c r="N30" s="203"/>
      <c r="O30" s="206">
        <f t="shared" si="6"/>
        <v>0</v>
      </c>
    </row>
    <row r="31" spans="1:15" x14ac:dyDescent="0.2">
      <c r="A31" s="202">
        <v>1855</v>
      </c>
      <c r="B31" s="162" t="s">
        <v>168</v>
      </c>
      <c r="C31" s="203">
        <f>984278-294207</f>
        <v>690071</v>
      </c>
      <c r="D31" s="203">
        <v>83868</v>
      </c>
      <c r="E31" s="204">
        <f>ROUND(C31/13586,0)</f>
        <v>51</v>
      </c>
      <c r="F31" s="204">
        <v>60</v>
      </c>
      <c r="G31" s="205">
        <f t="shared" si="0"/>
        <v>1.6666666666666666E-2</v>
      </c>
      <c r="H31" s="206">
        <f t="shared" si="1"/>
        <v>13530.803921568628</v>
      </c>
      <c r="I31" s="206">
        <f t="shared" si="2"/>
        <v>698.9</v>
      </c>
      <c r="J31" s="206">
        <f t="shared" si="3"/>
        <v>14229.703921568627</v>
      </c>
      <c r="K31" s="203">
        <v>13586</v>
      </c>
      <c r="L31" s="206">
        <f t="shared" si="4"/>
        <v>643.70392156862727</v>
      </c>
      <c r="M31" s="206">
        <f t="shared" si="5"/>
        <v>1397.8</v>
      </c>
      <c r="N31" s="203"/>
      <c r="O31" s="206">
        <f t="shared" si="6"/>
        <v>14928.603921568627</v>
      </c>
    </row>
    <row r="32" spans="1:15" x14ac:dyDescent="0.2">
      <c r="A32" s="202">
        <v>1855</v>
      </c>
      <c r="B32" s="162" t="s">
        <v>169</v>
      </c>
      <c r="C32" s="203">
        <f>1698814-536237</f>
        <v>1162577</v>
      </c>
      <c r="D32" s="203">
        <v>244697</v>
      </c>
      <c r="E32" s="204">
        <f>ROUND(C32/44587,0)</f>
        <v>26</v>
      </c>
      <c r="F32" s="204">
        <v>35</v>
      </c>
      <c r="G32" s="205">
        <f t="shared" si="0"/>
        <v>2.8571428571428571E-2</v>
      </c>
      <c r="H32" s="206">
        <f t="shared" si="1"/>
        <v>44714.5</v>
      </c>
      <c r="I32" s="206">
        <f t="shared" si="2"/>
        <v>3495.6714285714284</v>
      </c>
      <c r="J32" s="206">
        <f t="shared" si="3"/>
        <v>48210.171428571426</v>
      </c>
      <c r="K32" s="203">
        <v>44587</v>
      </c>
      <c r="L32" s="206">
        <f t="shared" si="4"/>
        <v>3623.1714285714261</v>
      </c>
      <c r="M32" s="206">
        <f t="shared" si="5"/>
        <v>6991.3428571428567</v>
      </c>
      <c r="N32" s="203"/>
      <c r="O32" s="206">
        <f t="shared" si="6"/>
        <v>51705.842857142859</v>
      </c>
    </row>
    <row r="33" spans="1:15" x14ac:dyDescent="0.2">
      <c r="A33" s="202">
        <v>1860</v>
      </c>
      <c r="B33" s="162" t="s">
        <v>263</v>
      </c>
      <c r="C33" s="203">
        <f>129969-22207</f>
        <v>107762</v>
      </c>
      <c r="D33" s="203">
        <v>17145</v>
      </c>
      <c r="E33" s="204">
        <f>ROUND(C33/6667,0)</f>
        <v>16</v>
      </c>
      <c r="F33" s="204">
        <v>20</v>
      </c>
      <c r="G33" s="205">
        <f t="shared" si="0"/>
        <v>0.05</v>
      </c>
      <c r="H33" s="206">
        <f t="shared" si="1"/>
        <v>6735.125</v>
      </c>
      <c r="I33" s="206">
        <f t="shared" si="2"/>
        <v>428.625</v>
      </c>
      <c r="J33" s="206">
        <f t="shared" si="3"/>
        <v>7163.75</v>
      </c>
      <c r="K33" s="203">
        <v>6667</v>
      </c>
      <c r="L33" s="206">
        <f t="shared" si="4"/>
        <v>496.75</v>
      </c>
      <c r="M33" s="206">
        <f t="shared" si="5"/>
        <v>857.25</v>
      </c>
      <c r="N33" s="203"/>
      <c r="O33" s="206">
        <f t="shared" si="6"/>
        <v>7592.375</v>
      </c>
    </row>
    <row r="34" spans="1:15" x14ac:dyDescent="0.2">
      <c r="A34" s="207">
        <v>1860</v>
      </c>
      <c r="B34" s="162" t="s">
        <v>171</v>
      </c>
      <c r="C34" s="203">
        <f>1142904-150783</f>
        <v>992121</v>
      </c>
      <c r="D34" s="203">
        <v>779</v>
      </c>
      <c r="E34" s="204">
        <f>ROUND(C34/217520,0)</f>
        <v>5</v>
      </c>
      <c r="F34" s="204">
        <v>15</v>
      </c>
      <c r="G34" s="205">
        <f t="shared" si="0"/>
        <v>6.6666666666666666E-2</v>
      </c>
      <c r="H34" s="206">
        <f t="shared" si="1"/>
        <v>198424.2</v>
      </c>
      <c r="I34" s="206">
        <f t="shared" si="2"/>
        <v>25.966666666666665</v>
      </c>
      <c r="J34" s="206">
        <f t="shared" si="3"/>
        <v>198450.16666666669</v>
      </c>
      <c r="K34" s="203">
        <v>217520</v>
      </c>
      <c r="L34" s="206">
        <f t="shared" si="4"/>
        <v>-19069.833333333314</v>
      </c>
      <c r="M34" s="206">
        <f t="shared" si="5"/>
        <v>51.93333333333333</v>
      </c>
      <c r="N34" s="203"/>
      <c r="O34" s="206">
        <f t="shared" si="6"/>
        <v>198476.13333333333</v>
      </c>
    </row>
    <row r="35" spans="1:15" x14ac:dyDescent="0.2">
      <c r="A35" s="202">
        <v>1860</v>
      </c>
      <c r="B35" s="162" t="s">
        <v>172</v>
      </c>
      <c r="C35" s="203">
        <f>3724761-757661</f>
        <v>2967100</v>
      </c>
      <c r="D35" s="203">
        <v>58585</v>
      </c>
      <c r="E35" s="204">
        <f>ROUND(C35/244730,0)</f>
        <v>12</v>
      </c>
      <c r="F35" s="204">
        <v>15</v>
      </c>
      <c r="G35" s="205">
        <f t="shared" si="0"/>
        <v>6.6666666666666666E-2</v>
      </c>
      <c r="H35" s="206">
        <f t="shared" si="1"/>
        <v>247258.33333333334</v>
      </c>
      <c r="I35" s="206">
        <f t="shared" si="2"/>
        <v>1952.8333333333333</v>
      </c>
      <c r="J35" s="206">
        <f t="shared" si="3"/>
        <v>249211.16666666669</v>
      </c>
      <c r="K35" s="203">
        <v>244730</v>
      </c>
      <c r="L35" s="206">
        <f t="shared" si="4"/>
        <v>4481.1666666666861</v>
      </c>
      <c r="M35" s="206">
        <f t="shared" si="5"/>
        <v>3905.6666666666665</v>
      </c>
      <c r="N35" s="203"/>
      <c r="O35" s="206">
        <f t="shared" si="6"/>
        <v>251164</v>
      </c>
    </row>
    <row r="36" spans="1:15" x14ac:dyDescent="0.2">
      <c r="A36" s="207">
        <v>1860</v>
      </c>
      <c r="B36" s="165" t="s">
        <v>264</v>
      </c>
      <c r="C36" s="203">
        <f>1666572-1140139</f>
        <v>526433</v>
      </c>
      <c r="D36" s="203"/>
      <c r="E36" s="204">
        <f>ROUND(C36/42501,0)</f>
        <v>12</v>
      </c>
      <c r="F36" s="204">
        <v>25</v>
      </c>
      <c r="G36" s="205">
        <f t="shared" si="0"/>
        <v>0.04</v>
      </c>
      <c r="H36" s="206">
        <f t="shared" si="1"/>
        <v>43869.416666666664</v>
      </c>
      <c r="I36" s="206">
        <f t="shared" si="2"/>
        <v>0</v>
      </c>
      <c r="J36" s="206">
        <f t="shared" si="3"/>
        <v>43869.416666666664</v>
      </c>
      <c r="K36" s="203">
        <v>42501</v>
      </c>
      <c r="L36" s="206">
        <f t="shared" si="4"/>
        <v>1368.4166666666642</v>
      </c>
      <c r="M36" s="206">
        <f t="shared" si="5"/>
        <v>0</v>
      </c>
      <c r="N36" s="203"/>
      <c r="O36" s="206">
        <f t="shared" si="6"/>
        <v>43869.416666666664</v>
      </c>
    </row>
    <row r="37" spans="1:15" x14ac:dyDescent="0.2">
      <c r="A37" s="207">
        <v>1860</v>
      </c>
      <c r="B37" s="165" t="s">
        <v>174</v>
      </c>
      <c r="C37" s="203">
        <f>94676-0</f>
        <v>94676</v>
      </c>
      <c r="D37" s="203">
        <v>73157</v>
      </c>
      <c r="E37" s="204"/>
      <c r="F37" s="204"/>
      <c r="G37" s="205">
        <f t="shared" si="0"/>
        <v>0</v>
      </c>
      <c r="H37" s="206">
        <f t="shared" si="1"/>
        <v>0</v>
      </c>
      <c r="I37" s="206">
        <f t="shared" si="2"/>
        <v>0</v>
      </c>
      <c r="J37" s="206">
        <f t="shared" si="3"/>
        <v>0</v>
      </c>
      <c r="K37" s="203"/>
      <c r="L37" s="206">
        <f t="shared" si="4"/>
        <v>0</v>
      </c>
      <c r="M37" s="206">
        <f t="shared" si="5"/>
        <v>0</v>
      </c>
      <c r="N37" s="203"/>
      <c r="O37" s="206">
        <f t="shared" si="6"/>
        <v>0</v>
      </c>
    </row>
    <row r="38" spans="1:15" x14ac:dyDescent="0.2">
      <c r="A38" s="207">
        <v>1905</v>
      </c>
      <c r="B38" s="165" t="s">
        <v>176</v>
      </c>
      <c r="C38" s="203">
        <f>127139-0</f>
        <v>127139</v>
      </c>
      <c r="D38" s="203"/>
      <c r="E38" s="204"/>
      <c r="F38" s="204"/>
      <c r="G38" s="205">
        <f t="shared" si="0"/>
        <v>0</v>
      </c>
      <c r="H38" s="206">
        <f t="shared" si="1"/>
        <v>0</v>
      </c>
      <c r="I38" s="206">
        <f t="shared" si="2"/>
        <v>0</v>
      </c>
      <c r="J38" s="206">
        <f t="shared" si="3"/>
        <v>0</v>
      </c>
      <c r="K38" s="203"/>
      <c r="L38" s="206">
        <f t="shared" si="4"/>
        <v>0</v>
      </c>
      <c r="M38" s="206">
        <f t="shared" si="5"/>
        <v>0</v>
      </c>
      <c r="N38" s="203"/>
      <c r="O38" s="206">
        <f t="shared" si="6"/>
        <v>0</v>
      </c>
    </row>
    <row r="39" spans="1:15" x14ac:dyDescent="0.2">
      <c r="A39" s="202">
        <v>1612</v>
      </c>
      <c r="B39" s="124" t="s">
        <v>177</v>
      </c>
      <c r="C39" s="203">
        <f>695389-259892</f>
        <v>435497</v>
      </c>
      <c r="D39" s="203"/>
      <c r="E39" s="204">
        <f>ROUND(C39/20721,0)</f>
        <v>21</v>
      </c>
      <c r="F39" s="204">
        <v>50</v>
      </c>
      <c r="G39" s="205">
        <f>IF(F39=0,0,1/F39)</f>
        <v>0.02</v>
      </c>
      <c r="H39" s="206">
        <f>IF(E39=0,0,+C39/E39)</f>
        <v>20737.952380952382</v>
      </c>
      <c r="I39" s="206">
        <f>IF(F39=0,0,+(D39*0.5)/F39)</f>
        <v>0</v>
      </c>
      <c r="J39" s="206">
        <f>IF(ISERROR(+H39+I39), 0, +H39+I39)</f>
        <v>20737.952380952382</v>
      </c>
      <c r="K39" s="203">
        <v>20721</v>
      </c>
      <c r="L39" s="206">
        <f>IF(ISERROR(+J39-K39), 0, +J39-K39)</f>
        <v>16.952380952381645</v>
      </c>
      <c r="M39" s="206">
        <f>IF(F39=0,0,+(D39)/F39)</f>
        <v>0</v>
      </c>
      <c r="N39" s="203"/>
      <c r="O39" s="206">
        <f>IF(ISERROR(+M39+H39-N39), 0, +M39+H39-N39)</f>
        <v>20737.952380952382</v>
      </c>
    </row>
    <row r="40" spans="1:15" x14ac:dyDescent="0.2">
      <c r="A40" s="202">
        <v>1908</v>
      </c>
      <c r="B40" s="162" t="s">
        <v>179</v>
      </c>
      <c r="C40" s="203">
        <f>2190518-467768</f>
        <v>1722750</v>
      </c>
      <c r="D40" s="203">
        <v>1450</v>
      </c>
      <c r="E40" s="204">
        <f>ROUND(C40/51546,0)</f>
        <v>33</v>
      </c>
      <c r="F40" s="204">
        <v>50</v>
      </c>
      <c r="G40" s="205">
        <f t="shared" si="0"/>
        <v>0.02</v>
      </c>
      <c r="H40" s="206">
        <f t="shared" si="1"/>
        <v>52204.545454545456</v>
      </c>
      <c r="I40" s="206">
        <f t="shared" si="2"/>
        <v>14.5</v>
      </c>
      <c r="J40" s="206">
        <f t="shared" si="3"/>
        <v>52219.045454545456</v>
      </c>
      <c r="K40" s="203">
        <v>51546</v>
      </c>
      <c r="L40" s="206">
        <f t="shared" si="4"/>
        <v>673.04545454545587</v>
      </c>
      <c r="M40" s="206">
        <f t="shared" si="5"/>
        <v>29</v>
      </c>
      <c r="N40" s="203"/>
      <c r="O40" s="206">
        <f t="shared" si="6"/>
        <v>52233.545454545456</v>
      </c>
    </row>
    <row r="41" spans="1:15" x14ac:dyDescent="0.2">
      <c r="A41" s="202">
        <v>1915</v>
      </c>
      <c r="B41" s="162" t="s">
        <v>180</v>
      </c>
      <c r="C41" s="203">
        <f>365636-261240</f>
        <v>104396</v>
      </c>
      <c r="D41" s="203">
        <v>13200</v>
      </c>
      <c r="E41" s="204">
        <f>ROUND(C41/22925,0)</f>
        <v>5</v>
      </c>
      <c r="F41" s="204">
        <v>10</v>
      </c>
      <c r="G41" s="205">
        <f t="shared" si="0"/>
        <v>0.1</v>
      </c>
      <c r="H41" s="206">
        <f t="shared" si="1"/>
        <v>20879.2</v>
      </c>
      <c r="I41" s="206">
        <f t="shared" si="2"/>
        <v>660</v>
      </c>
      <c r="J41" s="206">
        <f t="shared" si="3"/>
        <v>21539.200000000001</v>
      </c>
      <c r="K41" s="203">
        <v>22925</v>
      </c>
      <c r="L41" s="206">
        <f t="shared" si="4"/>
        <v>-1385.7999999999993</v>
      </c>
      <c r="M41" s="206">
        <f t="shared" si="5"/>
        <v>1320</v>
      </c>
      <c r="N41" s="208">
        <v>125</v>
      </c>
      <c r="O41" s="206">
        <f t="shared" si="6"/>
        <v>22074.2</v>
      </c>
    </row>
    <row r="42" spans="1:15" x14ac:dyDescent="0.2">
      <c r="A42" s="202">
        <v>1920</v>
      </c>
      <c r="B42" s="162" t="s">
        <v>181</v>
      </c>
      <c r="C42" s="203">
        <f>585095-395997</f>
        <v>189098</v>
      </c>
      <c r="D42" s="203">
        <v>48670</v>
      </c>
      <c r="E42" s="204">
        <f>ROUND(C42/70069,0)</f>
        <v>3</v>
      </c>
      <c r="F42" s="204">
        <v>5</v>
      </c>
      <c r="G42" s="205">
        <f t="shared" si="0"/>
        <v>0.2</v>
      </c>
      <c r="H42" s="206">
        <f t="shared" si="1"/>
        <v>63032.666666666664</v>
      </c>
      <c r="I42" s="206">
        <f t="shared" si="2"/>
        <v>4867</v>
      </c>
      <c r="J42" s="206">
        <f t="shared" si="3"/>
        <v>67899.666666666657</v>
      </c>
      <c r="K42" s="203">
        <v>70069</v>
      </c>
      <c r="L42" s="206">
        <f t="shared" si="4"/>
        <v>-2169.333333333343</v>
      </c>
      <c r="M42" s="206">
        <f t="shared" si="5"/>
        <v>9734</v>
      </c>
      <c r="N42" s="208">
        <v>7390</v>
      </c>
      <c r="O42" s="206">
        <f t="shared" si="6"/>
        <v>65376.666666666657</v>
      </c>
    </row>
    <row r="43" spans="1:15" x14ac:dyDescent="0.2">
      <c r="A43" s="209">
        <v>1611</v>
      </c>
      <c r="B43" s="210" t="s">
        <v>182</v>
      </c>
      <c r="C43" s="203">
        <f>2765069-2101504</f>
        <v>663565</v>
      </c>
      <c r="D43" s="203">
        <v>96016</v>
      </c>
      <c r="E43" s="204">
        <f>ROUND(C43/325465,0)</f>
        <v>2</v>
      </c>
      <c r="F43" s="211">
        <v>5</v>
      </c>
      <c r="G43" s="212">
        <f>IF(F43=0,0,1/F43)</f>
        <v>0.2</v>
      </c>
      <c r="H43" s="206">
        <f>IF(E43=0,0,+C43/E43)</f>
        <v>331782.5</v>
      </c>
      <c r="I43" s="206">
        <f>IF(F43=0,0,+(D43*0.5)/F43)</f>
        <v>9601.6</v>
      </c>
      <c r="J43" s="206">
        <f>IF(ISERROR(+H43+I43), 0, +H43+I43)</f>
        <v>341384.1</v>
      </c>
      <c r="K43" s="203">
        <v>325465</v>
      </c>
      <c r="L43" s="206">
        <f>IF(ISERROR(+J43-K43), 0, +J43-K43)</f>
        <v>15919.099999999977</v>
      </c>
      <c r="M43" s="206">
        <f>IF(F43=0,0,+(D43)/F43)</f>
        <v>19203.2</v>
      </c>
      <c r="N43" s="213">
        <v>24199</v>
      </c>
      <c r="O43" s="206">
        <f>IF(ISERROR(+M43+H43-N43), 0, +M43+H43-N43)</f>
        <v>326786.7</v>
      </c>
    </row>
    <row r="44" spans="1:15" x14ac:dyDescent="0.2">
      <c r="A44" s="202">
        <v>1930</v>
      </c>
      <c r="B44" s="162" t="s">
        <v>183</v>
      </c>
      <c r="C44" s="203">
        <f>1759603-904828</f>
        <v>854775</v>
      </c>
      <c r="D44" s="203">
        <v>225418</v>
      </c>
      <c r="E44" s="204">
        <f>ROUND(C44/97766,0)</f>
        <v>9</v>
      </c>
      <c r="F44" s="204">
        <v>12</v>
      </c>
      <c r="G44" s="205">
        <f t="shared" si="0"/>
        <v>8.3333333333333329E-2</v>
      </c>
      <c r="H44" s="206">
        <f t="shared" si="1"/>
        <v>94975</v>
      </c>
      <c r="I44" s="206">
        <f t="shared" si="2"/>
        <v>9392.4166666666661</v>
      </c>
      <c r="J44" s="206">
        <f t="shared" si="3"/>
        <v>104367.41666666667</v>
      </c>
      <c r="K44" s="203">
        <v>97766</v>
      </c>
      <c r="L44" s="206">
        <f t="shared" si="4"/>
        <v>6601.4166666666715</v>
      </c>
      <c r="M44" s="206">
        <f t="shared" si="5"/>
        <v>18784.833333333332</v>
      </c>
      <c r="N44" s="208"/>
      <c r="O44" s="206">
        <f t="shared" si="6"/>
        <v>113759.83333333333</v>
      </c>
    </row>
    <row r="45" spans="1:15" x14ac:dyDescent="0.2">
      <c r="A45" s="202">
        <v>1930</v>
      </c>
      <c r="B45" s="162" t="s">
        <v>265</v>
      </c>
      <c r="C45" s="203">
        <f>364206-227321</f>
        <v>136885</v>
      </c>
      <c r="D45" s="203">
        <v>35085</v>
      </c>
      <c r="E45" s="204">
        <f>ROUND(C45/40143,0)</f>
        <v>3</v>
      </c>
      <c r="F45" s="204">
        <v>8</v>
      </c>
      <c r="G45" s="205">
        <f t="shared" si="0"/>
        <v>0.125</v>
      </c>
      <c r="H45" s="206">
        <f t="shared" si="1"/>
        <v>45628.333333333336</v>
      </c>
      <c r="I45" s="206">
        <f t="shared" si="2"/>
        <v>2192.8125</v>
      </c>
      <c r="J45" s="206">
        <f t="shared" si="3"/>
        <v>47821.145833333336</v>
      </c>
      <c r="K45" s="203">
        <v>40143</v>
      </c>
      <c r="L45" s="206">
        <f t="shared" si="4"/>
        <v>7678.1458333333358</v>
      </c>
      <c r="M45" s="206">
        <f t="shared" si="5"/>
        <v>4385.625</v>
      </c>
      <c r="N45" s="208"/>
      <c r="O45" s="206">
        <f t="shared" si="6"/>
        <v>50013.958333333336</v>
      </c>
    </row>
    <row r="46" spans="1:15" x14ac:dyDescent="0.2">
      <c r="A46" s="202">
        <v>1930</v>
      </c>
      <c r="B46" s="162" t="s">
        <v>185</v>
      </c>
      <c r="C46" s="203">
        <f>83837-51151</f>
        <v>32686</v>
      </c>
      <c r="D46" s="203"/>
      <c r="E46" s="204">
        <f>ROUND(C46/1999,0)</f>
        <v>16</v>
      </c>
      <c r="F46" s="204">
        <v>20</v>
      </c>
      <c r="G46" s="205">
        <f t="shared" si="0"/>
        <v>0.05</v>
      </c>
      <c r="H46" s="206">
        <f t="shared" si="1"/>
        <v>2042.875</v>
      </c>
      <c r="I46" s="206">
        <f t="shared" si="2"/>
        <v>0</v>
      </c>
      <c r="J46" s="206">
        <f t="shared" si="3"/>
        <v>2042.875</v>
      </c>
      <c r="K46" s="203">
        <v>1999</v>
      </c>
      <c r="L46" s="206">
        <f t="shared" si="4"/>
        <v>43.875</v>
      </c>
      <c r="M46" s="206">
        <f t="shared" si="5"/>
        <v>0</v>
      </c>
      <c r="N46" s="208"/>
      <c r="O46" s="206">
        <f t="shared" si="6"/>
        <v>2042.875</v>
      </c>
    </row>
    <row r="47" spans="1:15" x14ac:dyDescent="0.2">
      <c r="A47" s="202">
        <v>1940</v>
      </c>
      <c r="B47" s="162" t="s">
        <v>186</v>
      </c>
      <c r="C47" s="203">
        <f>795038-451778</f>
        <v>343260</v>
      </c>
      <c r="D47" s="203">
        <v>38146</v>
      </c>
      <c r="E47" s="204">
        <f>ROUND(C47/57045,0)</f>
        <v>6</v>
      </c>
      <c r="F47" s="204">
        <v>10</v>
      </c>
      <c r="G47" s="205">
        <f t="shared" si="0"/>
        <v>0.1</v>
      </c>
      <c r="H47" s="206">
        <f t="shared" si="1"/>
        <v>57210</v>
      </c>
      <c r="I47" s="206">
        <f t="shared" si="2"/>
        <v>1907.3</v>
      </c>
      <c r="J47" s="206">
        <f t="shared" si="3"/>
        <v>59117.3</v>
      </c>
      <c r="K47" s="203">
        <v>57045</v>
      </c>
      <c r="L47" s="206">
        <f t="shared" si="4"/>
        <v>2072.3000000000029</v>
      </c>
      <c r="M47" s="206">
        <f t="shared" si="5"/>
        <v>3814.6</v>
      </c>
      <c r="N47" s="203">
        <v>50</v>
      </c>
      <c r="O47" s="206">
        <f t="shared" si="6"/>
        <v>60974.6</v>
      </c>
    </row>
    <row r="48" spans="1:15" x14ac:dyDescent="0.2">
      <c r="A48" s="202">
        <v>1955</v>
      </c>
      <c r="B48" s="162" t="s">
        <v>187</v>
      </c>
      <c r="C48" s="203">
        <f>68074-57942</f>
        <v>10132</v>
      </c>
      <c r="D48" s="203"/>
      <c r="E48" s="204">
        <f>ROUND(C48/3863,0)</f>
        <v>3</v>
      </c>
      <c r="F48" s="204">
        <v>5</v>
      </c>
      <c r="G48" s="205">
        <f t="shared" si="0"/>
        <v>0.2</v>
      </c>
      <c r="H48" s="206">
        <f t="shared" si="1"/>
        <v>3377.3333333333335</v>
      </c>
      <c r="I48" s="206">
        <f t="shared" si="2"/>
        <v>0</v>
      </c>
      <c r="J48" s="206">
        <f t="shared" si="3"/>
        <v>3377.3333333333335</v>
      </c>
      <c r="K48" s="203">
        <v>3863</v>
      </c>
      <c r="L48" s="206">
        <f t="shared" si="4"/>
        <v>-485.66666666666652</v>
      </c>
      <c r="M48" s="206">
        <f t="shared" si="5"/>
        <v>0</v>
      </c>
      <c r="N48" s="203"/>
      <c r="O48" s="206">
        <f t="shared" si="6"/>
        <v>3377.3333333333335</v>
      </c>
    </row>
    <row r="49" spans="1:15" x14ac:dyDescent="0.2">
      <c r="A49" s="202">
        <v>1995</v>
      </c>
      <c r="B49" s="162" t="s">
        <v>188</v>
      </c>
      <c r="C49" s="203">
        <f>-739793+184802</f>
        <v>-554991</v>
      </c>
      <c r="D49" s="203">
        <v>-105320</v>
      </c>
      <c r="E49" s="204">
        <f>ROUND(C49/-14559,0)</f>
        <v>38</v>
      </c>
      <c r="F49" s="204">
        <v>50</v>
      </c>
      <c r="G49" s="205">
        <f t="shared" si="0"/>
        <v>0.02</v>
      </c>
      <c r="H49" s="206">
        <f t="shared" si="1"/>
        <v>-14605.026315789473</v>
      </c>
      <c r="I49" s="206">
        <f t="shared" si="2"/>
        <v>-1053.2</v>
      </c>
      <c r="J49" s="206">
        <f t="shared" si="3"/>
        <v>-15658.226315789474</v>
      </c>
      <c r="K49" s="203">
        <v>-14559</v>
      </c>
      <c r="L49" s="206">
        <f t="shared" si="4"/>
        <v>-1099.226315789474</v>
      </c>
      <c r="M49" s="206">
        <f t="shared" si="5"/>
        <v>-2106.4</v>
      </c>
      <c r="N49" s="203"/>
      <c r="O49" s="206">
        <f t="shared" si="6"/>
        <v>-16711.426315789475</v>
      </c>
    </row>
    <row r="50" spans="1:15" x14ac:dyDescent="0.2">
      <c r="A50" s="202">
        <v>1995</v>
      </c>
      <c r="B50" s="162" t="s">
        <v>190</v>
      </c>
      <c r="C50" s="203">
        <f>-206948+39943</f>
        <v>-167005</v>
      </c>
      <c r="D50" s="203">
        <v>-10730</v>
      </c>
      <c r="E50" s="204">
        <f>ROUND(C50/-3727,0)</f>
        <v>45</v>
      </c>
      <c r="F50" s="204">
        <v>50</v>
      </c>
      <c r="G50" s="205">
        <f t="shared" si="0"/>
        <v>0.02</v>
      </c>
      <c r="H50" s="206">
        <f t="shared" si="1"/>
        <v>-3711.2222222222222</v>
      </c>
      <c r="I50" s="206">
        <f t="shared" si="2"/>
        <v>-107.3</v>
      </c>
      <c r="J50" s="206">
        <f t="shared" si="3"/>
        <v>-3818.5222222222224</v>
      </c>
      <c r="K50" s="203">
        <v>-3727</v>
      </c>
      <c r="L50" s="206">
        <f t="shared" si="4"/>
        <v>-91.522222222222354</v>
      </c>
      <c r="M50" s="206">
        <f t="shared" si="5"/>
        <v>-214.6</v>
      </c>
      <c r="N50" s="203"/>
      <c r="O50" s="206">
        <f t="shared" si="6"/>
        <v>-3925.8222222222221</v>
      </c>
    </row>
    <row r="51" spans="1:15" x14ac:dyDescent="0.2">
      <c r="A51" s="202">
        <v>1995</v>
      </c>
      <c r="B51" s="162" t="s">
        <v>191</v>
      </c>
      <c r="C51" s="203">
        <f>-8391+1722</f>
        <v>-6669</v>
      </c>
      <c r="D51" s="203">
        <v>-34</v>
      </c>
      <c r="E51" s="204">
        <f>ROUND(C51/-169,0)</f>
        <v>39</v>
      </c>
      <c r="F51" s="204">
        <v>45</v>
      </c>
      <c r="G51" s="205">
        <f t="shared" si="0"/>
        <v>2.2222222222222223E-2</v>
      </c>
      <c r="H51" s="206">
        <f t="shared" si="1"/>
        <v>-171</v>
      </c>
      <c r="I51" s="206">
        <f t="shared" si="2"/>
        <v>-0.37777777777777777</v>
      </c>
      <c r="J51" s="206">
        <f t="shared" si="3"/>
        <v>-171.37777777777777</v>
      </c>
      <c r="K51" s="203">
        <v>-169</v>
      </c>
      <c r="L51" s="206">
        <f t="shared" si="4"/>
        <v>-2.3777777777777658</v>
      </c>
      <c r="M51" s="206">
        <f t="shared" si="5"/>
        <v>-0.75555555555555554</v>
      </c>
      <c r="N51" s="203"/>
      <c r="O51" s="206">
        <f t="shared" si="6"/>
        <v>-171.75555555555556</v>
      </c>
    </row>
    <row r="52" spans="1:15" x14ac:dyDescent="0.2">
      <c r="A52" s="202">
        <v>1995</v>
      </c>
      <c r="B52" s="162" t="s">
        <v>192</v>
      </c>
      <c r="C52" s="203">
        <f>-7345+1507</f>
        <v>-5838</v>
      </c>
      <c r="D52" s="203">
        <v>-39</v>
      </c>
      <c r="E52" s="204">
        <f>ROUND(C52/-170,0)</f>
        <v>34</v>
      </c>
      <c r="F52" s="204">
        <v>40</v>
      </c>
      <c r="G52" s="205">
        <f t="shared" si="0"/>
        <v>2.5000000000000001E-2</v>
      </c>
      <c r="H52" s="206">
        <f t="shared" si="1"/>
        <v>-171.70588235294119</v>
      </c>
      <c r="I52" s="206">
        <f t="shared" si="2"/>
        <v>-0.48749999999999999</v>
      </c>
      <c r="J52" s="206">
        <f t="shared" si="3"/>
        <v>-172.1933823529412</v>
      </c>
      <c r="K52" s="203">
        <v>-170</v>
      </c>
      <c r="L52" s="206">
        <f t="shared" si="4"/>
        <v>-2.1933823529411995</v>
      </c>
      <c r="M52" s="206">
        <f t="shared" si="5"/>
        <v>-0.97499999999999998</v>
      </c>
      <c r="N52" s="203"/>
      <c r="O52" s="206">
        <f t="shared" si="6"/>
        <v>-172.68088235294118</v>
      </c>
    </row>
    <row r="53" spans="1:15" x14ac:dyDescent="0.2">
      <c r="A53" s="202">
        <v>1995</v>
      </c>
      <c r="B53" s="162" t="s">
        <v>266</v>
      </c>
      <c r="C53" s="203">
        <f>-303943+66336</f>
        <v>-237607</v>
      </c>
      <c r="D53" s="203">
        <v>-60918</v>
      </c>
      <c r="E53" s="204">
        <f>ROUND(C53/-5761,0)</f>
        <v>41</v>
      </c>
      <c r="F53" s="204">
        <v>50</v>
      </c>
      <c r="G53" s="205">
        <f t="shared" si="0"/>
        <v>0.02</v>
      </c>
      <c r="H53" s="206">
        <f t="shared" si="1"/>
        <v>-5795.292682926829</v>
      </c>
      <c r="I53" s="206">
        <f t="shared" si="2"/>
        <v>-609.17999999999995</v>
      </c>
      <c r="J53" s="206">
        <f t="shared" si="3"/>
        <v>-6404.4726829268293</v>
      </c>
      <c r="K53" s="203">
        <v>-5761</v>
      </c>
      <c r="L53" s="206">
        <f t="shared" si="4"/>
        <v>-643.47268292682929</v>
      </c>
      <c r="M53" s="206">
        <f t="shared" si="5"/>
        <v>-1218.3599999999999</v>
      </c>
      <c r="N53" s="203"/>
      <c r="O53" s="206">
        <f t="shared" si="6"/>
        <v>-7013.6526829268287</v>
      </c>
    </row>
    <row r="54" spans="1:15" x14ac:dyDescent="0.2">
      <c r="A54" s="202">
        <v>1995</v>
      </c>
      <c r="B54" s="162" t="s">
        <v>267</v>
      </c>
      <c r="C54" s="203">
        <f>-1081893+263019</f>
        <v>-818874</v>
      </c>
      <c r="D54" s="203">
        <v>-45961</v>
      </c>
      <c r="E54" s="204">
        <f>ROUND(C54/-35422,0)</f>
        <v>23</v>
      </c>
      <c r="F54" s="204">
        <v>30</v>
      </c>
      <c r="G54" s="205">
        <f t="shared" si="0"/>
        <v>3.3333333333333333E-2</v>
      </c>
      <c r="H54" s="206">
        <f t="shared" si="1"/>
        <v>-35603.217391304344</v>
      </c>
      <c r="I54" s="206">
        <f t="shared" si="2"/>
        <v>-766.01666666666665</v>
      </c>
      <c r="J54" s="206">
        <f t="shared" si="3"/>
        <v>-36369.234057971014</v>
      </c>
      <c r="K54" s="203">
        <v>-35422</v>
      </c>
      <c r="L54" s="206">
        <f t="shared" si="4"/>
        <v>-947.23405797101441</v>
      </c>
      <c r="M54" s="206">
        <f t="shared" si="5"/>
        <v>-1532.0333333333333</v>
      </c>
      <c r="N54" s="203"/>
      <c r="O54" s="206">
        <f t="shared" si="6"/>
        <v>-37135.250724637677</v>
      </c>
    </row>
    <row r="55" spans="1:15" x14ac:dyDescent="0.2">
      <c r="A55" s="202">
        <v>1995</v>
      </c>
      <c r="B55" s="162" t="s">
        <v>268</v>
      </c>
      <c r="C55" s="203">
        <f>-242982+59071</f>
        <v>-183911</v>
      </c>
      <c r="D55" s="203">
        <v>-560093</v>
      </c>
      <c r="E55" s="204">
        <f>ROUND(C55/-9483,0)</f>
        <v>19</v>
      </c>
      <c r="F55" s="204">
        <v>40</v>
      </c>
      <c r="G55" s="205">
        <f t="shared" si="0"/>
        <v>2.5000000000000001E-2</v>
      </c>
      <c r="H55" s="206">
        <f t="shared" si="1"/>
        <v>-9679.5263157894733</v>
      </c>
      <c r="I55" s="206">
        <f t="shared" si="2"/>
        <v>-7001.1625000000004</v>
      </c>
      <c r="J55" s="206">
        <f t="shared" si="3"/>
        <v>-16680.688815789472</v>
      </c>
      <c r="K55" s="203">
        <v>-9483</v>
      </c>
      <c r="L55" s="206">
        <f t="shared" si="4"/>
        <v>-7197.6888157894718</v>
      </c>
      <c r="M55" s="206">
        <f t="shared" si="5"/>
        <v>-14002.325000000001</v>
      </c>
      <c r="N55" s="203"/>
      <c r="O55" s="206">
        <f t="shared" si="6"/>
        <v>-23681.851315789474</v>
      </c>
    </row>
    <row r="56" spans="1:15" x14ac:dyDescent="0.2">
      <c r="A56" s="202">
        <v>1995</v>
      </c>
      <c r="B56" s="162" t="s">
        <v>269</v>
      </c>
      <c r="C56" s="203">
        <f>-668018+179942</f>
        <v>-488076</v>
      </c>
      <c r="D56" s="203">
        <v>-57039</v>
      </c>
      <c r="E56" s="204">
        <f>ROUND(C56/-15045,0)</f>
        <v>32</v>
      </c>
      <c r="F56" s="204">
        <v>40</v>
      </c>
      <c r="G56" s="205">
        <f t="shared" si="0"/>
        <v>2.5000000000000001E-2</v>
      </c>
      <c r="H56" s="206">
        <f t="shared" si="1"/>
        <v>-15252.375</v>
      </c>
      <c r="I56" s="206">
        <f t="shared" si="2"/>
        <v>-712.98749999999995</v>
      </c>
      <c r="J56" s="206">
        <f t="shared" si="3"/>
        <v>-15965.362499999999</v>
      </c>
      <c r="K56" s="203">
        <v>-15045</v>
      </c>
      <c r="L56" s="206">
        <f t="shared" si="4"/>
        <v>-920.36249999999927</v>
      </c>
      <c r="M56" s="206">
        <f t="shared" si="5"/>
        <v>-1425.9749999999999</v>
      </c>
      <c r="N56" s="203"/>
      <c r="O56" s="206">
        <f t="shared" si="6"/>
        <v>-16678.349999999999</v>
      </c>
    </row>
    <row r="57" spans="1:15" x14ac:dyDescent="0.2">
      <c r="A57" s="202">
        <v>1995</v>
      </c>
      <c r="B57" s="162" t="s">
        <v>197</v>
      </c>
      <c r="C57" s="203">
        <f>-171269+46091</f>
        <v>-125178</v>
      </c>
      <c r="D57" s="203">
        <v>-181146</v>
      </c>
      <c r="E57" s="204">
        <f>ROUND(C57/-4204,0)</f>
        <v>30</v>
      </c>
      <c r="F57" s="204">
        <v>40</v>
      </c>
      <c r="G57" s="205">
        <f t="shared" si="0"/>
        <v>2.5000000000000001E-2</v>
      </c>
      <c r="H57" s="206">
        <f t="shared" si="1"/>
        <v>-4172.6000000000004</v>
      </c>
      <c r="I57" s="206">
        <f t="shared" si="2"/>
        <v>-2264.3249999999998</v>
      </c>
      <c r="J57" s="206">
        <f t="shared" si="3"/>
        <v>-6436.9250000000002</v>
      </c>
      <c r="K57" s="203">
        <v>-4204</v>
      </c>
      <c r="L57" s="206">
        <f t="shared" si="4"/>
        <v>-2232.9250000000002</v>
      </c>
      <c r="M57" s="206">
        <f t="shared" si="5"/>
        <v>-4528.6499999999996</v>
      </c>
      <c r="N57" s="203"/>
      <c r="O57" s="206">
        <f t="shared" si="6"/>
        <v>-8701.25</v>
      </c>
    </row>
    <row r="58" spans="1:15" x14ac:dyDescent="0.2">
      <c r="A58" s="202">
        <v>1995</v>
      </c>
      <c r="B58" s="162" t="s">
        <v>198</v>
      </c>
      <c r="C58" s="203">
        <f>-22227+5982</f>
        <v>-16245</v>
      </c>
      <c r="D58" s="203">
        <v>-1194</v>
      </c>
      <c r="E58" s="204">
        <f>ROUND(C58/-499,0)</f>
        <v>33</v>
      </c>
      <c r="F58" s="204">
        <v>40</v>
      </c>
      <c r="G58" s="205">
        <f t="shared" si="0"/>
        <v>2.5000000000000001E-2</v>
      </c>
      <c r="H58" s="206">
        <f t="shared" si="1"/>
        <v>-492.27272727272725</v>
      </c>
      <c r="I58" s="206">
        <f t="shared" si="2"/>
        <v>-14.925000000000001</v>
      </c>
      <c r="J58" s="206">
        <f t="shared" si="3"/>
        <v>-507.19772727272726</v>
      </c>
      <c r="K58" s="203">
        <v>-499</v>
      </c>
      <c r="L58" s="206">
        <f t="shared" si="4"/>
        <v>-8.1977272727272634</v>
      </c>
      <c r="M58" s="206">
        <f t="shared" si="5"/>
        <v>-29.85</v>
      </c>
      <c r="N58" s="203"/>
      <c r="O58" s="206">
        <f t="shared" si="6"/>
        <v>-522.12272727272727</v>
      </c>
    </row>
    <row r="59" spans="1:15" x14ac:dyDescent="0.2">
      <c r="A59" s="202">
        <v>1995</v>
      </c>
      <c r="B59" s="162" t="s">
        <v>199</v>
      </c>
      <c r="C59" s="203">
        <f>-149478+40101</f>
        <v>-109377</v>
      </c>
      <c r="D59" s="203">
        <v>-1138</v>
      </c>
      <c r="E59" s="204">
        <f>ROUND(C59/-2063,0)</f>
        <v>53</v>
      </c>
      <c r="F59" s="204">
        <v>60</v>
      </c>
      <c r="G59" s="205">
        <f t="shared" si="0"/>
        <v>1.6666666666666666E-2</v>
      </c>
      <c r="H59" s="206">
        <f t="shared" si="1"/>
        <v>-2063.7169811320755</v>
      </c>
      <c r="I59" s="206">
        <f t="shared" si="2"/>
        <v>-9.4833333333333325</v>
      </c>
      <c r="J59" s="206">
        <f t="shared" si="3"/>
        <v>-2073.2003144654086</v>
      </c>
      <c r="K59" s="203">
        <v>-2063</v>
      </c>
      <c r="L59" s="206">
        <f t="shared" si="4"/>
        <v>-10.20031446540861</v>
      </c>
      <c r="M59" s="206">
        <f t="shared" si="5"/>
        <v>-18.966666666666665</v>
      </c>
      <c r="N59" s="203"/>
      <c r="O59" s="206">
        <f t="shared" si="6"/>
        <v>-2082.6836477987422</v>
      </c>
    </row>
    <row r="60" spans="1:15" x14ac:dyDescent="0.2">
      <c r="A60" s="202">
        <v>1995</v>
      </c>
      <c r="B60" s="162" t="s">
        <v>200</v>
      </c>
      <c r="C60" s="203">
        <f>-258042+69225</f>
        <v>-188817</v>
      </c>
      <c r="D60" s="203">
        <v>-1351</v>
      </c>
      <c r="E60" s="204">
        <f>ROUND(C60/-3561,0)</f>
        <v>53</v>
      </c>
      <c r="F60" s="204">
        <v>35</v>
      </c>
      <c r="G60" s="205">
        <f t="shared" si="0"/>
        <v>2.8571428571428571E-2</v>
      </c>
      <c r="H60" s="206">
        <f t="shared" si="1"/>
        <v>-3562.5849056603774</v>
      </c>
      <c r="I60" s="206">
        <f t="shared" si="2"/>
        <v>-19.3</v>
      </c>
      <c r="J60" s="206">
        <f t="shared" si="3"/>
        <v>-3581.8849056603776</v>
      </c>
      <c r="K60" s="203">
        <v>-3561</v>
      </c>
      <c r="L60" s="206">
        <f t="shared" si="4"/>
        <v>-20.884905660377626</v>
      </c>
      <c r="M60" s="206">
        <f t="shared" si="5"/>
        <v>-38.6</v>
      </c>
      <c r="N60" s="203"/>
      <c r="O60" s="206">
        <f t="shared" si="6"/>
        <v>-3601.1849056603774</v>
      </c>
    </row>
    <row r="61" spans="1:15" x14ac:dyDescent="0.2">
      <c r="A61" s="202">
        <v>1995</v>
      </c>
      <c r="B61" s="162" t="s">
        <v>201</v>
      </c>
      <c r="C61" s="203">
        <f>-156852+21959</f>
        <v>-134893</v>
      </c>
      <c r="D61" s="203"/>
      <c r="E61" s="204">
        <f>ROUND(C61/-8431,0)</f>
        <v>16</v>
      </c>
      <c r="F61" s="204">
        <v>20</v>
      </c>
      <c r="G61" s="205">
        <f t="shared" si="0"/>
        <v>0.05</v>
      </c>
      <c r="H61" s="206">
        <f t="shared" si="1"/>
        <v>-8430.8125</v>
      </c>
      <c r="I61" s="206">
        <f t="shared" si="2"/>
        <v>0</v>
      </c>
      <c r="J61" s="206">
        <f t="shared" si="3"/>
        <v>-8430.8125</v>
      </c>
      <c r="K61" s="203">
        <v>-8431</v>
      </c>
      <c r="L61" s="206">
        <f t="shared" si="4"/>
        <v>0.1875</v>
      </c>
      <c r="M61" s="206">
        <f t="shared" si="5"/>
        <v>0</v>
      </c>
      <c r="N61" s="203"/>
      <c r="O61" s="206">
        <f t="shared" si="6"/>
        <v>-8430.8125</v>
      </c>
    </row>
    <row r="62" spans="1:15" x14ac:dyDescent="0.2">
      <c r="A62" s="202">
        <v>1995</v>
      </c>
      <c r="B62" s="162" t="s">
        <v>270</v>
      </c>
      <c r="C62" s="203">
        <f>-28461+6242</f>
        <v>-22219</v>
      </c>
      <c r="D62" s="203">
        <v>-3164</v>
      </c>
      <c r="E62" s="204">
        <f>ROUND(C62/-2835,0)</f>
        <v>8</v>
      </c>
      <c r="F62" s="204">
        <v>15</v>
      </c>
      <c r="G62" s="205">
        <f t="shared" si="0"/>
        <v>6.6666666666666666E-2</v>
      </c>
      <c r="H62" s="206">
        <f t="shared" si="1"/>
        <v>-2777.375</v>
      </c>
      <c r="I62" s="206">
        <f t="shared" si="2"/>
        <v>-105.46666666666667</v>
      </c>
      <c r="J62" s="206">
        <f t="shared" si="3"/>
        <v>-2882.8416666666667</v>
      </c>
      <c r="K62" s="203">
        <v>-2835</v>
      </c>
      <c r="L62" s="206">
        <f t="shared" si="4"/>
        <v>-47.841666666666697</v>
      </c>
      <c r="M62" s="206">
        <f t="shared" si="5"/>
        <v>-210.93333333333334</v>
      </c>
      <c r="N62" s="203"/>
      <c r="O62" s="206">
        <f t="shared" si="6"/>
        <v>-2988.3083333333334</v>
      </c>
    </row>
    <row r="63" spans="1:15" x14ac:dyDescent="0.2">
      <c r="A63" s="202">
        <v>1995</v>
      </c>
      <c r="B63" s="162" t="s">
        <v>203</v>
      </c>
      <c r="C63" s="203">
        <f>-98031+21501</f>
        <v>-76530</v>
      </c>
      <c r="D63" s="203">
        <v>-11319</v>
      </c>
      <c r="E63" s="204">
        <f>ROUND(C63/-9768,0)</f>
        <v>8</v>
      </c>
      <c r="F63" s="204">
        <v>15</v>
      </c>
      <c r="G63" s="205">
        <f t="shared" si="0"/>
        <v>6.6666666666666666E-2</v>
      </c>
      <c r="H63" s="206">
        <f t="shared" si="1"/>
        <v>-9566.25</v>
      </c>
      <c r="I63" s="206">
        <f t="shared" si="2"/>
        <v>-377.3</v>
      </c>
      <c r="J63" s="206">
        <f t="shared" si="3"/>
        <v>-9943.5499999999993</v>
      </c>
      <c r="K63" s="203">
        <v>-9768</v>
      </c>
      <c r="L63" s="206">
        <f t="shared" si="4"/>
        <v>-175.54999999999927</v>
      </c>
      <c r="M63" s="206">
        <f t="shared" si="5"/>
        <v>-754.6</v>
      </c>
      <c r="N63" s="203"/>
      <c r="O63" s="206">
        <f t="shared" si="6"/>
        <v>-10320.85</v>
      </c>
    </row>
    <row r="64" spans="1:15" ht="15.75" thickBot="1" x14ac:dyDescent="0.25">
      <c r="A64" s="214" t="s">
        <v>204</v>
      </c>
      <c r="B64" s="132"/>
      <c r="C64" s="203"/>
      <c r="D64" s="203"/>
      <c r="E64" s="215"/>
      <c r="F64" s="215"/>
      <c r="G64" s="205"/>
      <c r="H64" s="206"/>
      <c r="I64" s="206"/>
      <c r="J64" s="206"/>
      <c r="K64" s="203"/>
      <c r="L64" s="206"/>
      <c r="M64" s="206"/>
      <c r="N64" s="203"/>
      <c r="O64" s="206"/>
    </row>
    <row r="65" spans="1:15" ht="16.5" thickTop="1" thickBot="1" x14ac:dyDescent="0.25">
      <c r="A65" s="216"/>
      <c r="B65" s="217" t="s">
        <v>102</v>
      </c>
      <c r="C65" s="206">
        <f>SUM(C16:C64)</f>
        <v>41894496</v>
      </c>
      <c r="D65" s="206">
        <f>SUM(D16:D64)</f>
        <v>4333651</v>
      </c>
      <c r="E65" s="218"/>
      <c r="F65" s="219"/>
      <c r="G65" s="220"/>
      <c r="H65" s="206">
        <f t="shared" ref="H65:O65" si="7">SUM(H16:H64)</f>
        <v>2114024.0496665146</v>
      </c>
      <c r="I65" s="206">
        <f t="shared" si="7"/>
        <v>70363.887817460331</v>
      </c>
      <c r="J65" s="206">
        <f t="shared" si="7"/>
        <v>2184387.9374839752</v>
      </c>
      <c r="K65" s="206">
        <f t="shared" si="7"/>
        <v>2129050</v>
      </c>
      <c r="L65" s="206">
        <f t="shared" si="7"/>
        <v>55337.937483974383</v>
      </c>
      <c r="M65" s="206">
        <f t="shared" si="7"/>
        <v>140727.77563492066</v>
      </c>
      <c r="N65" s="206">
        <f t="shared" si="7"/>
        <v>31764</v>
      </c>
      <c r="O65" s="206">
        <f t="shared" si="7"/>
        <v>2222987.8253014353</v>
      </c>
    </row>
    <row r="66" spans="1:15" x14ac:dyDescent="0.2">
      <c r="A66" s="2"/>
      <c r="B66" s="2"/>
      <c r="C66" s="2"/>
      <c r="D66" s="2"/>
      <c r="E66" s="2"/>
      <c r="F66" s="2"/>
      <c r="G66" s="2"/>
      <c r="H66" s="2"/>
      <c r="I66" s="2"/>
      <c r="J66" s="2"/>
      <c r="K66" s="221"/>
      <c r="L66" s="2"/>
      <c r="M66" s="2"/>
      <c r="N66" s="2"/>
      <c r="O66" s="2"/>
    </row>
    <row r="67" spans="1:15" x14ac:dyDescent="0.2">
      <c r="A67" s="180" t="s">
        <v>27</v>
      </c>
      <c r="B67" s="2"/>
      <c r="C67" s="2"/>
      <c r="D67" s="2"/>
      <c r="E67" s="2"/>
      <c r="F67" s="2"/>
      <c r="G67" s="2"/>
      <c r="H67" s="2"/>
      <c r="I67" s="2"/>
      <c r="J67" s="2"/>
      <c r="K67" s="2"/>
      <c r="L67" s="2"/>
      <c r="M67" s="2"/>
      <c r="N67" s="2"/>
      <c r="O67" s="2"/>
    </row>
    <row r="68" spans="1:15" x14ac:dyDescent="0.2">
      <c r="A68" s="2"/>
      <c r="B68" s="2"/>
      <c r="C68" s="2"/>
      <c r="D68" s="2"/>
      <c r="E68" s="2"/>
      <c r="F68" s="2"/>
      <c r="G68" s="2"/>
      <c r="H68" s="2"/>
      <c r="I68" s="2"/>
      <c r="J68" s="2"/>
      <c r="K68" s="2"/>
      <c r="L68" s="2"/>
      <c r="M68" s="2"/>
      <c r="N68" s="2"/>
      <c r="O68" s="2"/>
    </row>
    <row r="69" spans="1:15" x14ac:dyDescent="0.2">
      <c r="A69" s="222">
        <v>1</v>
      </c>
      <c r="B69" s="834" t="s">
        <v>271</v>
      </c>
      <c r="C69" s="834"/>
      <c r="D69" s="834"/>
      <c r="E69" s="834"/>
      <c r="F69" s="834"/>
      <c r="G69" s="834"/>
      <c r="H69" s="834"/>
      <c r="I69" s="834"/>
      <c r="J69" s="834"/>
      <c r="K69" s="834"/>
      <c r="L69" s="834"/>
      <c r="M69" s="834"/>
      <c r="N69" s="834"/>
      <c r="O69" s="834"/>
    </row>
    <row r="70" spans="1:15" x14ac:dyDescent="0.2">
      <c r="A70" s="222">
        <v>2</v>
      </c>
      <c r="B70" s="835" t="s">
        <v>272</v>
      </c>
      <c r="C70" s="835"/>
      <c r="D70" s="835"/>
      <c r="E70" s="835"/>
      <c r="F70" s="835"/>
      <c r="G70" s="835"/>
      <c r="H70" s="835"/>
      <c r="I70" s="835"/>
      <c r="J70" s="835"/>
      <c r="K70" s="835"/>
      <c r="L70" s="835"/>
      <c r="M70" s="835"/>
      <c r="N70" s="835"/>
      <c r="O70" s="835"/>
    </row>
    <row r="71" spans="1:15" x14ac:dyDescent="0.2">
      <c r="A71" s="222">
        <v>3</v>
      </c>
      <c r="B71" s="831" t="s">
        <v>273</v>
      </c>
      <c r="C71" s="831"/>
      <c r="D71" s="831"/>
      <c r="E71" s="831"/>
      <c r="F71" s="831"/>
      <c r="G71" s="831"/>
      <c r="H71" s="831"/>
      <c r="I71" s="831"/>
      <c r="J71" s="831"/>
      <c r="K71" s="831"/>
      <c r="L71" s="831"/>
      <c r="M71" s="831"/>
      <c r="N71" s="831"/>
      <c r="O71" s="831"/>
    </row>
    <row r="72" spans="1:15" x14ac:dyDescent="0.2">
      <c r="A72" s="222">
        <v>4</v>
      </c>
      <c r="B72" s="831" t="s">
        <v>274</v>
      </c>
      <c r="C72" s="831"/>
      <c r="D72" s="831"/>
      <c r="E72" s="831"/>
      <c r="F72" s="831"/>
      <c r="G72" s="831"/>
      <c r="H72" s="831"/>
      <c r="I72" s="831"/>
      <c r="J72" s="831"/>
      <c r="K72" s="831"/>
      <c r="L72" s="831"/>
      <c r="M72" s="831"/>
      <c r="N72" s="831"/>
      <c r="O72" s="831"/>
    </row>
    <row r="73" spans="1:15" x14ac:dyDescent="0.2">
      <c r="A73" s="222">
        <v>5</v>
      </c>
      <c r="B73" s="834" t="s">
        <v>275</v>
      </c>
      <c r="C73" s="834"/>
      <c r="D73" s="834"/>
      <c r="E73" s="834"/>
      <c r="F73" s="834"/>
      <c r="G73" s="834"/>
      <c r="H73" s="834"/>
      <c r="I73" s="834"/>
      <c r="J73" s="834"/>
      <c r="K73" s="834"/>
      <c r="L73" s="834"/>
      <c r="M73" s="834"/>
      <c r="N73" s="834"/>
      <c r="O73" s="834"/>
    </row>
    <row r="74" spans="1:15" x14ac:dyDescent="0.2">
      <c r="A74" s="223">
        <v>6</v>
      </c>
      <c r="B74" s="831" t="s">
        <v>276</v>
      </c>
      <c r="C74" s="831"/>
      <c r="D74" s="831"/>
      <c r="E74" s="831"/>
      <c r="F74" s="831"/>
      <c r="G74" s="831"/>
      <c r="H74" s="831"/>
      <c r="I74" s="831"/>
      <c r="J74" s="831"/>
      <c r="K74" s="831"/>
      <c r="L74" s="831"/>
      <c r="M74" s="831"/>
      <c r="N74" s="831"/>
      <c r="O74" s="831"/>
    </row>
    <row r="75" spans="1:15" x14ac:dyDescent="0.2">
      <c r="A75" s="2"/>
      <c r="B75" s="2"/>
      <c r="C75" s="2"/>
      <c r="D75" s="2"/>
      <c r="E75" s="2"/>
      <c r="F75" s="2"/>
      <c r="G75" s="2"/>
      <c r="H75" s="2"/>
      <c r="I75" s="2"/>
      <c r="J75" s="2"/>
      <c r="K75" s="2"/>
      <c r="L75" s="2"/>
      <c r="M75" s="2"/>
      <c r="N75" s="2"/>
      <c r="O75" s="2"/>
    </row>
    <row r="76" spans="1:15" x14ac:dyDescent="0.2">
      <c r="A76" s="180" t="s">
        <v>277</v>
      </c>
      <c r="B76" s="833" t="s">
        <v>278</v>
      </c>
      <c r="C76" s="833"/>
      <c r="D76" s="833"/>
      <c r="E76" s="833"/>
      <c r="F76" s="833"/>
      <c r="G76" s="833"/>
      <c r="H76" s="833"/>
      <c r="I76" s="833"/>
      <c r="J76" s="833"/>
      <c r="K76" s="833"/>
      <c r="L76" s="833"/>
      <c r="M76" s="2"/>
      <c r="N76" s="2"/>
      <c r="O76" s="2"/>
    </row>
    <row r="77" spans="1:15" x14ac:dyDescent="0.2">
      <c r="A77" s="2"/>
      <c r="B77" s="833"/>
      <c r="C77" s="833"/>
      <c r="D77" s="833"/>
      <c r="E77" s="833"/>
      <c r="F77" s="833"/>
      <c r="G77" s="833"/>
      <c r="H77" s="833"/>
      <c r="I77" s="833"/>
      <c r="J77" s="833"/>
      <c r="K77" s="833"/>
      <c r="L77" s="833"/>
      <c r="M77" s="2"/>
      <c r="N77" s="2"/>
      <c r="O77" s="2"/>
    </row>
    <row r="78" spans="1:15" x14ac:dyDescent="0.2">
      <c r="A78" s="2"/>
      <c r="B78" s="833"/>
      <c r="C78" s="833"/>
      <c r="D78" s="833"/>
      <c r="E78" s="833"/>
      <c r="F78" s="833"/>
      <c r="G78" s="833"/>
      <c r="H78" s="833"/>
      <c r="I78" s="833"/>
      <c r="J78" s="833"/>
      <c r="K78" s="833"/>
      <c r="L78" s="833"/>
      <c r="M78" s="2"/>
      <c r="N78" s="2"/>
      <c r="O78" s="2"/>
    </row>
  </sheetData>
  <mergeCells count="14">
    <mergeCell ref="A9:O9"/>
    <mergeCell ref="A10:O10"/>
    <mergeCell ref="A11:O11"/>
    <mergeCell ref="A14:A15"/>
    <mergeCell ref="B14:B15"/>
    <mergeCell ref="K14:K15"/>
    <mergeCell ref="N14:N15"/>
    <mergeCell ref="B76:L78"/>
    <mergeCell ref="B69:O69"/>
    <mergeCell ref="B70:O70"/>
    <mergeCell ref="B71:O71"/>
    <mergeCell ref="B72:O72"/>
    <mergeCell ref="B73:O73"/>
    <mergeCell ref="B74:O7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2"/>
  <sheetViews>
    <sheetView topLeftCell="A16" workbookViewId="0">
      <selection activeCell="B59" sqref="B59"/>
    </sheetView>
  </sheetViews>
  <sheetFormatPr defaultRowHeight="15" x14ac:dyDescent="0.2"/>
  <cols>
    <col min="2" max="2" width="37.77734375" customWidth="1"/>
    <col min="3" max="3" width="11" bestFit="1" customWidth="1"/>
    <col min="4" max="4" width="7.88671875" customWidth="1"/>
    <col min="5" max="5" width="9.5546875" customWidth="1"/>
    <col min="6" max="7" width="12.21875" customWidth="1"/>
    <col min="8" max="8" width="9.88671875" customWidth="1"/>
    <col min="9" max="9" width="10" customWidth="1"/>
    <col min="10" max="10" width="11.21875" customWidth="1"/>
  </cols>
  <sheetData>
    <row r="1" spans="1:45" x14ac:dyDescent="0.2">
      <c r="A1" s="2"/>
      <c r="B1" s="2"/>
      <c r="C1" s="2"/>
      <c r="D1" s="2"/>
      <c r="E1" s="2"/>
      <c r="F1" s="2"/>
      <c r="G1" s="180" t="s">
        <v>106</v>
      </c>
      <c r="H1" s="181" t="str">
        <f>EBNUMBER</f>
        <v>EB-2013-0134</v>
      </c>
      <c r="K1" s="95"/>
      <c r="L1" s="2"/>
      <c r="M1" s="2"/>
      <c r="N1" s="2"/>
      <c r="O1" s="2"/>
    </row>
    <row r="2" spans="1:45" x14ac:dyDescent="0.2">
      <c r="A2" s="2"/>
      <c r="B2" s="2"/>
      <c r="C2" s="2"/>
      <c r="D2" s="2"/>
      <c r="E2" s="2"/>
      <c r="F2" s="2"/>
      <c r="G2" s="180" t="s">
        <v>107</v>
      </c>
      <c r="H2" s="182">
        <v>4</v>
      </c>
      <c r="K2" s="95"/>
      <c r="L2" s="2"/>
      <c r="M2" s="2"/>
      <c r="N2" s="2"/>
      <c r="O2" s="2"/>
    </row>
    <row r="3" spans="1:45" x14ac:dyDescent="0.2">
      <c r="A3" s="2"/>
      <c r="B3" s="2"/>
      <c r="C3" s="2"/>
      <c r="D3" s="2"/>
      <c r="E3" s="2"/>
      <c r="F3" s="2"/>
      <c r="G3" s="180" t="s">
        <v>108</v>
      </c>
      <c r="H3" s="182">
        <v>3</v>
      </c>
      <c r="K3" s="95"/>
      <c r="L3" s="2"/>
      <c r="M3" s="2"/>
      <c r="N3" s="2"/>
      <c r="O3" s="2"/>
    </row>
    <row r="4" spans="1:45" x14ac:dyDescent="0.2">
      <c r="A4" s="2"/>
      <c r="B4" s="2"/>
      <c r="C4" s="2"/>
      <c r="D4" s="2"/>
      <c r="E4" s="2"/>
      <c r="F4" s="2"/>
      <c r="G4" s="180" t="s">
        <v>109</v>
      </c>
      <c r="H4" s="182">
        <v>2</v>
      </c>
      <c r="K4" s="95"/>
      <c r="L4" s="2"/>
      <c r="M4" s="2"/>
      <c r="N4" s="2"/>
      <c r="O4" s="2"/>
    </row>
    <row r="5" spans="1:45" x14ac:dyDescent="0.2">
      <c r="A5" s="2"/>
      <c r="B5" s="2"/>
      <c r="C5" s="2"/>
      <c r="D5" s="2"/>
      <c r="E5" s="2"/>
      <c r="F5" s="2"/>
      <c r="G5" s="180" t="s">
        <v>110</v>
      </c>
      <c r="H5" s="183">
        <v>7</v>
      </c>
      <c r="K5" s="95"/>
      <c r="L5" s="2"/>
      <c r="M5" s="2"/>
      <c r="N5" s="2"/>
      <c r="O5" s="2"/>
    </row>
    <row r="6" spans="1:45" x14ac:dyDescent="0.2">
      <c r="A6" s="2"/>
      <c r="B6" s="2"/>
      <c r="C6" s="2"/>
      <c r="D6" s="2"/>
      <c r="E6" s="2"/>
      <c r="F6" s="2"/>
      <c r="G6" s="180"/>
      <c r="H6" s="181"/>
      <c r="K6" s="95"/>
      <c r="L6" s="2"/>
      <c r="M6" s="2"/>
      <c r="N6" s="2"/>
      <c r="O6" s="2"/>
    </row>
    <row r="7" spans="1:45" x14ac:dyDescent="0.2">
      <c r="A7" s="2"/>
      <c r="B7" s="2"/>
      <c r="C7" s="2"/>
      <c r="D7" s="2"/>
      <c r="E7" s="2"/>
      <c r="F7" s="2"/>
      <c r="G7" s="180" t="s">
        <v>112</v>
      </c>
      <c r="H7" s="184">
        <v>41702</v>
      </c>
      <c r="K7" s="224"/>
      <c r="L7" s="2"/>
      <c r="M7" s="2"/>
      <c r="N7" s="2"/>
      <c r="O7" s="2"/>
    </row>
    <row r="8" spans="1:45" x14ac:dyDescent="0.2">
      <c r="A8" s="2"/>
      <c r="B8" s="2"/>
      <c r="C8" s="2"/>
      <c r="D8" s="2"/>
      <c r="E8" s="2"/>
      <c r="F8" s="2"/>
      <c r="G8" s="2"/>
      <c r="H8" s="2"/>
      <c r="I8" s="2"/>
      <c r="J8" s="2"/>
      <c r="K8" s="2"/>
      <c r="L8" s="2"/>
      <c r="M8" s="2"/>
      <c r="N8" s="2"/>
      <c r="O8" s="2"/>
    </row>
    <row r="9" spans="1:45" ht="18" x14ac:dyDescent="0.2">
      <c r="A9" s="836" t="s">
        <v>229</v>
      </c>
      <c r="B9" s="836"/>
      <c r="C9" s="836"/>
      <c r="D9" s="836"/>
      <c r="E9" s="836"/>
      <c r="F9" s="836"/>
      <c r="G9" s="836"/>
      <c r="H9" s="836"/>
      <c r="I9" s="242"/>
      <c r="J9" s="242"/>
      <c r="K9" s="242"/>
      <c r="L9" s="242"/>
      <c r="M9" s="242"/>
      <c r="N9" s="242"/>
      <c r="O9" s="242"/>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row>
    <row r="10" spans="1:45" ht="18" x14ac:dyDescent="0.2">
      <c r="A10" s="849" t="s">
        <v>230</v>
      </c>
      <c r="B10" s="849"/>
      <c r="C10" s="849"/>
      <c r="D10" s="849"/>
      <c r="E10" s="849"/>
      <c r="F10" s="849"/>
      <c r="G10" s="849"/>
      <c r="H10" s="849"/>
      <c r="I10" s="225"/>
      <c r="J10" s="225"/>
      <c r="K10" s="2"/>
      <c r="L10" s="2"/>
      <c r="M10" s="2"/>
      <c r="N10" s="2"/>
      <c r="O10" s="2"/>
    </row>
    <row r="11" spans="1:45" x14ac:dyDescent="0.2">
      <c r="A11" s="838" t="s">
        <v>2</v>
      </c>
      <c r="B11" s="838"/>
      <c r="C11" s="838"/>
      <c r="D11" s="838"/>
      <c r="E11" s="838"/>
      <c r="F11" s="838"/>
      <c r="G11" s="838"/>
      <c r="H11" s="838"/>
      <c r="I11" s="226"/>
      <c r="J11" s="226"/>
      <c r="K11" s="226"/>
      <c r="L11" s="226"/>
      <c r="M11" s="2"/>
      <c r="N11" s="2"/>
      <c r="O11" s="2"/>
    </row>
    <row r="12" spans="1:45" ht="18" x14ac:dyDescent="0.25">
      <c r="A12" s="227"/>
      <c r="B12" s="228" t="s">
        <v>279</v>
      </c>
      <c r="C12" s="187"/>
      <c r="D12" s="2"/>
      <c r="E12" s="2"/>
      <c r="F12" s="185"/>
      <c r="G12" s="185"/>
      <c r="H12" s="185"/>
      <c r="I12" s="2"/>
      <c r="J12" s="2"/>
      <c r="K12" s="2"/>
      <c r="L12" s="2"/>
      <c r="M12" s="2"/>
      <c r="N12" s="2"/>
      <c r="O12" s="2"/>
    </row>
    <row r="13" spans="1:45" ht="15.75" thickBot="1" x14ac:dyDescent="0.25">
      <c r="A13" s="2"/>
      <c r="B13" s="2"/>
      <c r="C13" s="2"/>
      <c r="D13" s="2"/>
      <c r="E13" s="2"/>
      <c r="F13" s="2"/>
      <c r="G13" s="2"/>
      <c r="H13" s="2"/>
      <c r="I13" s="2"/>
      <c r="J13" s="2"/>
      <c r="K13" s="2"/>
      <c r="L13" s="2"/>
      <c r="M13" s="2"/>
      <c r="N13" s="2"/>
      <c r="O13" s="2"/>
    </row>
    <row r="14" spans="1:45" ht="51" x14ac:dyDescent="0.2">
      <c r="A14" s="839" t="s">
        <v>233</v>
      </c>
      <c r="B14" s="841" t="s">
        <v>146</v>
      </c>
      <c r="C14" s="188" t="s">
        <v>148</v>
      </c>
      <c r="D14" s="188" t="s">
        <v>280</v>
      </c>
      <c r="E14" s="188" t="s">
        <v>237</v>
      </c>
      <c r="F14" s="190" t="s">
        <v>281</v>
      </c>
      <c r="G14" s="843" t="s">
        <v>282</v>
      </c>
      <c r="H14" s="190" t="s">
        <v>242</v>
      </c>
      <c r="I14" s="2"/>
      <c r="J14" s="2"/>
      <c r="K14" s="2"/>
      <c r="L14" s="2"/>
      <c r="M14" s="2"/>
      <c r="N14" s="2"/>
      <c r="O14" s="2"/>
    </row>
    <row r="15" spans="1:45" ht="51.75" thickBot="1" x14ac:dyDescent="0.25">
      <c r="A15" s="840"/>
      <c r="B15" s="842"/>
      <c r="C15" s="191" t="s">
        <v>247</v>
      </c>
      <c r="D15" s="191" t="s">
        <v>249</v>
      </c>
      <c r="E15" s="191" t="s">
        <v>250</v>
      </c>
      <c r="F15" s="229" t="s">
        <v>283</v>
      </c>
      <c r="G15" s="844"/>
      <c r="H15" s="194" t="s">
        <v>284</v>
      </c>
      <c r="I15" s="2"/>
      <c r="J15" s="2"/>
      <c r="K15" s="2"/>
      <c r="L15" s="2"/>
      <c r="M15" s="2"/>
      <c r="N15" s="2"/>
      <c r="O15" s="2"/>
    </row>
    <row r="16" spans="1:45" ht="25.5" x14ac:dyDescent="0.2">
      <c r="A16" s="196">
        <v>1609</v>
      </c>
      <c r="B16" s="197" t="s">
        <v>257</v>
      </c>
      <c r="C16" s="198">
        <v>441675</v>
      </c>
      <c r="D16" s="199">
        <v>45</v>
      </c>
      <c r="E16" s="200">
        <f t="shared" ref="E16:E63" si="0">IF(D16=0,0,1/D16)</f>
        <v>2.2222222222222223E-2</v>
      </c>
      <c r="F16" s="201">
        <f>IF(D16=0,'[6]App.2-CT_NewCGAAP_DepExp_2013'!O16,+'[6]App.2-CT_NewCGAAP_DepExp_2013'!O16+((C16*0.5)/D16))</f>
        <v>5570.5</v>
      </c>
      <c r="G16" s="198">
        <v>5571</v>
      </c>
      <c r="H16" s="201">
        <f t="shared" ref="H16:H62" si="1">IF(ISERROR(+F16-G16), 0, +F16-G16)</f>
        <v>-0.5</v>
      </c>
      <c r="I16" s="2"/>
      <c r="J16" s="2"/>
      <c r="K16" s="2"/>
      <c r="L16" s="2"/>
      <c r="M16" s="2"/>
      <c r="N16" s="2"/>
      <c r="O16" s="2"/>
    </row>
    <row r="17" spans="1:15" x14ac:dyDescent="0.2">
      <c r="A17" s="202">
        <v>1820</v>
      </c>
      <c r="B17" s="124" t="s">
        <v>154</v>
      </c>
      <c r="C17" s="203">
        <v>5000</v>
      </c>
      <c r="D17" s="204">
        <v>45</v>
      </c>
      <c r="E17" s="205">
        <f t="shared" si="0"/>
        <v>2.2222222222222223E-2</v>
      </c>
      <c r="F17" s="201">
        <f>IF(D17=0,'[6]App.2-CT_NewCGAAP_DepExp_2013'!O17,+'[6]App.2-CT_NewCGAAP_DepExp_2013'!O17+((C17*0.5)/D17))</f>
        <v>8088.3269841269839</v>
      </c>
      <c r="G17" s="203">
        <v>8091</v>
      </c>
      <c r="H17" s="206">
        <f t="shared" si="1"/>
        <v>-2.6730158730160838</v>
      </c>
      <c r="I17" s="2"/>
      <c r="J17" s="2"/>
      <c r="K17" s="2"/>
      <c r="L17" s="2"/>
      <c r="M17" s="2"/>
      <c r="N17" s="2"/>
      <c r="O17" s="2"/>
    </row>
    <row r="18" spans="1:15" x14ac:dyDescent="0.2">
      <c r="A18" s="202">
        <v>1830</v>
      </c>
      <c r="B18" s="162" t="s">
        <v>155</v>
      </c>
      <c r="C18" s="203">
        <v>2219344</v>
      </c>
      <c r="D18" s="204">
        <v>50</v>
      </c>
      <c r="E18" s="205">
        <f t="shared" si="0"/>
        <v>0.02</v>
      </c>
      <c r="F18" s="201">
        <f>IF(D18=0,'[6]App.2-CT_NewCGAAP_DepExp_2013'!O18,+'[6]App.2-CT_NewCGAAP_DepExp_2013'!O18+((C18*0.5)/D18))</f>
        <v>325699.56097560975</v>
      </c>
      <c r="G18" s="203">
        <v>319541</v>
      </c>
      <c r="H18" s="206">
        <f t="shared" si="1"/>
        <v>6158.5609756097547</v>
      </c>
      <c r="I18" s="2"/>
      <c r="J18" s="2"/>
      <c r="K18" s="2"/>
      <c r="L18" s="2"/>
      <c r="M18" s="2"/>
      <c r="N18" s="2"/>
      <c r="O18" s="2"/>
    </row>
    <row r="19" spans="1:15" x14ac:dyDescent="0.2">
      <c r="A19" s="202">
        <v>1830</v>
      </c>
      <c r="B19" s="162" t="s">
        <v>156</v>
      </c>
      <c r="C19" s="203"/>
      <c r="D19" s="204">
        <v>60</v>
      </c>
      <c r="E19" s="205">
        <f t="shared" si="0"/>
        <v>1.6666666666666666E-2</v>
      </c>
      <c r="F19" s="201">
        <f>IF(D19=0,'[6]App.2-CT_NewCGAAP_DepExp_2013'!O19,+'[6]App.2-CT_NewCGAAP_DepExp_2013'!O19+((C19*0.5)/D19))</f>
        <v>830.39583333333337</v>
      </c>
      <c r="G19" s="203">
        <v>835</v>
      </c>
      <c r="H19" s="206">
        <f t="shared" si="1"/>
        <v>-4.6041666666666288</v>
      </c>
      <c r="I19" s="2"/>
      <c r="J19" s="2"/>
      <c r="K19" s="2"/>
      <c r="L19" s="2"/>
      <c r="M19" s="2"/>
      <c r="N19" s="2"/>
      <c r="O19" s="2"/>
    </row>
    <row r="20" spans="1:15" x14ac:dyDescent="0.2">
      <c r="A20" s="202">
        <v>1835</v>
      </c>
      <c r="B20" s="162" t="s">
        <v>157</v>
      </c>
      <c r="C20" s="203">
        <v>1446682</v>
      </c>
      <c r="D20" s="204">
        <v>50</v>
      </c>
      <c r="E20" s="205">
        <f t="shared" si="0"/>
        <v>0.02</v>
      </c>
      <c r="F20" s="201">
        <f>IF(D20=0,'[6]App.2-CT_NewCGAAP_DepExp_2013'!O20,+'[6]App.2-CT_NewCGAAP_DepExp_2013'!O20+((C20*0.5)/D20))</f>
        <v>235848.56465116277</v>
      </c>
      <c r="G20" s="203">
        <v>227574</v>
      </c>
      <c r="H20" s="206">
        <f t="shared" si="1"/>
        <v>8274.564651162771</v>
      </c>
      <c r="I20" s="2"/>
      <c r="J20" s="2"/>
      <c r="K20" s="2"/>
      <c r="L20" s="2"/>
      <c r="M20" s="2"/>
      <c r="N20" s="2"/>
      <c r="O20" s="2"/>
    </row>
    <row r="21" spans="1:15" x14ac:dyDescent="0.2">
      <c r="A21" s="202">
        <v>1835</v>
      </c>
      <c r="B21" s="162" t="s">
        <v>258</v>
      </c>
      <c r="C21" s="203">
        <v>15900</v>
      </c>
      <c r="D21" s="204">
        <v>45</v>
      </c>
      <c r="E21" s="205">
        <f t="shared" si="0"/>
        <v>2.2222222222222223E-2</v>
      </c>
      <c r="F21" s="201">
        <f>IF(D21=0,'[6]App.2-CT_NewCGAAP_DepExp_2013'!O21,+'[6]App.2-CT_NewCGAAP_DepExp_2013'!O21+((C21*0.5)/D21))</f>
        <v>7381.545454545455</v>
      </c>
      <c r="G21" s="203">
        <v>7437</v>
      </c>
      <c r="H21" s="206">
        <f t="shared" si="1"/>
        <v>-55.454545454545041</v>
      </c>
      <c r="I21" s="2"/>
      <c r="J21" s="2"/>
      <c r="K21" s="2"/>
      <c r="L21" s="2"/>
      <c r="M21" s="2"/>
      <c r="N21" s="2"/>
      <c r="O21" s="2"/>
    </row>
    <row r="22" spans="1:15" x14ac:dyDescent="0.2">
      <c r="A22" s="202">
        <v>1835</v>
      </c>
      <c r="B22" s="162" t="s">
        <v>259</v>
      </c>
      <c r="C22" s="203"/>
      <c r="D22" s="204">
        <v>40</v>
      </c>
      <c r="E22" s="205">
        <f t="shared" si="0"/>
        <v>2.5000000000000001E-2</v>
      </c>
      <c r="F22" s="201">
        <f>IF(D22=0,'[6]App.2-CT_NewCGAAP_DepExp_2013'!O22,+'[6]App.2-CT_NewCGAAP_DepExp_2013'!O22+((C22*0.5)/D22))</f>
        <v>8504.677419354839</v>
      </c>
      <c r="G22" s="203">
        <v>8446</v>
      </c>
      <c r="H22" s="206">
        <f t="shared" si="1"/>
        <v>58.677419354839003</v>
      </c>
      <c r="I22" s="2"/>
      <c r="J22" s="2"/>
      <c r="K22" s="2"/>
      <c r="L22" s="2"/>
      <c r="M22" s="2"/>
      <c r="N22" s="2"/>
      <c r="O22" s="2"/>
    </row>
    <row r="23" spans="1:15" x14ac:dyDescent="0.2">
      <c r="A23" s="202">
        <v>1840</v>
      </c>
      <c r="B23" s="162" t="s">
        <v>160</v>
      </c>
      <c r="C23" s="203">
        <v>660890</v>
      </c>
      <c r="D23" s="204">
        <v>50</v>
      </c>
      <c r="E23" s="205">
        <f t="shared" si="0"/>
        <v>0.02</v>
      </c>
      <c r="F23" s="201">
        <f>IF(D23=0,'[6]App.2-CT_NewCGAAP_DepExp_2013'!O23,+'[6]App.2-CT_NewCGAAP_DepExp_2013'!O23+((C23*0.5)/D23))</f>
        <v>44953.868571428575</v>
      </c>
      <c r="G23" s="203">
        <v>41490</v>
      </c>
      <c r="H23" s="206">
        <f t="shared" si="1"/>
        <v>3463.8685714285748</v>
      </c>
      <c r="I23" s="2"/>
      <c r="J23" s="2"/>
      <c r="K23" s="2"/>
      <c r="L23" s="2"/>
      <c r="M23" s="2"/>
      <c r="N23" s="2"/>
      <c r="O23" s="2"/>
    </row>
    <row r="24" spans="1:15" x14ac:dyDescent="0.2">
      <c r="A24" s="202">
        <v>1845</v>
      </c>
      <c r="B24" s="162" t="s">
        <v>260</v>
      </c>
      <c r="C24" s="203"/>
      <c r="D24" s="204">
        <v>30</v>
      </c>
      <c r="E24" s="205">
        <f t="shared" si="0"/>
        <v>3.3333333333333333E-2</v>
      </c>
      <c r="F24" s="201">
        <f>IF(D24=0,'[6]App.2-CT_NewCGAAP_DepExp_2013'!O24,+'[6]App.2-CT_NewCGAAP_DepExp_2013'!O24+((C24*0.5)/D24))</f>
        <v>172065.09824561403</v>
      </c>
      <c r="G24" s="203">
        <v>174008</v>
      </c>
      <c r="H24" s="206">
        <f t="shared" si="1"/>
        <v>-1942.9017543859663</v>
      </c>
      <c r="I24" s="2"/>
      <c r="J24" s="2"/>
      <c r="K24" s="2"/>
      <c r="L24" s="2"/>
      <c r="M24" s="2"/>
      <c r="N24" s="2"/>
      <c r="O24" s="2"/>
    </row>
    <row r="25" spans="1:15" x14ac:dyDescent="0.2">
      <c r="A25" s="202">
        <v>1845</v>
      </c>
      <c r="B25" s="162" t="s">
        <v>261</v>
      </c>
      <c r="C25" s="203">
        <v>588165</v>
      </c>
      <c r="D25" s="204">
        <v>40</v>
      </c>
      <c r="E25" s="205">
        <f t="shared" si="0"/>
        <v>2.5000000000000001E-2</v>
      </c>
      <c r="F25" s="201">
        <f>IF(D25=0,'[6]App.2-CT_NewCGAAP_DepExp_2013'!O25,+'[6]App.2-CT_NewCGAAP_DepExp_2013'!O25+((C25*0.5)/D25))</f>
        <v>60120.254807692312</v>
      </c>
      <c r="G25" s="203">
        <v>56879</v>
      </c>
      <c r="H25" s="206">
        <f t="shared" si="1"/>
        <v>3241.2548076923122</v>
      </c>
      <c r="I25" s="2"/>
      <c r="J25" s="2"/>
      <c r="K25" s="2"/>
      <c r="L25" s="2"/>
      <c r="M25" s="2"/>
      <c r="N25" s="2"/>
      <c r="O25" s="2"/>
    </row>
    <row r="26" spans="1:15" x14ac:dyDescent="0.2">
      <c r="A26" s="202">
        <v>1845</v>
      </c>
      <c r="B26" s="162" t="s">
        <v>163</v>
      </c>
      <c r="C26" s="203">
        <v>41600</v>
      </c>
      <c r="D26" s="204">
        <v>30</v>
      </c>
      <c r="E26" s="205">
        <f t="shared" si="0"/>
        <v>3.3333333333333333E-2</v>
      </c>
      <c r="F26" s="201">
        <f>IF(D26=0,'[6]App.2-CT_NewCGAAP_DepExp_2013'!O26,+'[6]App.2-CT_NewCGAAP_DepExp_2013'!O26+((C26*0.5)/D26))</f>
        <v>3658.8666666666668</v>
      </c>
      <c r="G26" s="203">
        <v>3158</v>
      </c>
      <c r="H26" s="206">
        <f t="shared" si="1"/>
        <v>500.86666666666679</v>
      </c>
      <c r="I26" s="2"/>
      <c r="J26" s="2"/>
      <c r="K26" s="2"/>
      <c r="L26" s="2"/>
      <c r="M26" s="2"/>
      <c r="N26" s="2"/>
      <c r="O26" s="2"/>
    </row>
    <row r="27" spans="1:15" x14ac:dyDescent="0.2">
      <c r="A27" s="202">
        <v>1850</v>
      </c>
      <c r="B27" s="162" t="s">
        <v>262</v>
      </c>
      <c r="C27" s="203">
        <v>620312</v>
      </c>
      <c r="D27" s="204">
        <v>40</v>
      </c>
      <c r="E27" s="205">
        <f t="shared" si="0"/>
        <v>2.5000000000000001E-2</v>
      </c>
      <c r="F27" s="201">
        <f>IF(D27=0,'[6]App.2-CT_NewCGAAP_DepExp_2013'!O27,+'[6]App.2-CT_NewCGAAP_DepExp_2013'!O27+((C27*0.5)/D27))</f>
        <v>208057.81810344828</v>
      </c>
      <c r="G27" s="203">
        <v>199856</v>
      </c>
      <c r="H27" s="206">
        <f t="shared" si="1"/>
        <v>8201.8181034482841</v>
      </c>
      <c r="I27" s="2"/>
      <c r="J27" s="2"/>
      <c r="K27" s="2"/>
      <c r="L27" s="2"/>
      <c r="M27" s="2"/>
      <c r="N27" s="2"/>
      <c r="O27" s="2"/>
    </row>
    <row r="28" spans="1:15" x14ac:dyDescent="0.2">
      <c r="A28" s="202">
        <v>1850</v>
      </c>
      <c r="B28" s="162" t="s">
        <v>165</v>
      </c>
      <c r="C28" s="203">
        <v>178699</v>
      </c>
      <c r="D28" s="204">
        <v>40</v>
      </c>
      <c r="E28" s="205">
        <f t="shared" si="0"/>
        <v>2.5000000000000001E-2</v>
      </c>
      <c r="F28" s="201">
        <f>IF(D28=0,'[6]App.2-CT_NewCGAAP_DepExp_2013'!O28,+'[6]App.2-CT_NewCGAAP_DepExp_2013'!O28+((C28*0.5)/D28))</f>
        <v>59116.111029411768</v>
      </c>
      <c r="G28" s="203">
        <v>59837</v>
      </c>
      <c r="H28" s="206">
        <f t="shared" si="1"/>
        <v>-720.88897058823204</v>
      </c>
      <c r="I28" s="2"/>
      <c r="J28" s="2"/>
      <c r="K28" s="2"/>
      <c r="L28" s="2"/>
      <c r="M28" s="2"/>
      <c r="N28" s="2"/>
      <c r="O28" s="2"/>
    </row>
    <row r="29" spans="1:15" x14ac:dyDescent="0.2">
      <c r="A29" s="202">
        <v>1850</v>
      </c>
      <c r="B29" s="162" t="s">
        <v>166</v>
      </c>
      <c r="C29" s="203">
        <v>69828</v>
      </c>
      <c r="D29" s="204">
        <v>40</v>
      </c>
      <c r="E29" s="205">
        <f t="shared" si="0"/>
        <v>2.5000000000000001E-2</v>
      </c>
      <c r="F29" s="201">
        <f>IF(D29=0,'[6]App.2-CT_NewCGAAP_DepExp_2013'!O29,+'[6]App.2-CT_NewCGAAP_DepExp_2013'!O29+((C29*0.5)/D29))</f>
        <v>7430.9676470588238</v>
      </c>
      <c r="G29" s="203">
        <v>7525</v>
      </c>
      <c r="H29" s="206">
        <f t="shared" si="1"/>
        <v>-94.032352941176214</v>
      </c>
      <c r="I29" s="2"/>
      <c r="J29" s="2"/>
      <c r="K29" s="2"/>
      <c r="L29" s="2"/>
      <c r="M29" s="2"/>
      <c r="N29" s="2"/>
      <c r="O29" s="2"/>
    </row>
    <row r="30" spans="1:15" x14ac:dyDescent="0.2">
      <c r="A30" s="202">
        <v>1850</v>
      </c>
      <c r="B30" s="162" t="s">
        <v>167</v>
      </c>
      <c r="C30" s="203"/>
      <c r="D30" s="204"/>
      <c r="E30" s="205">
        <f t="shared" si="0"/>
        <v>0</v>
      </c>
      <c r="F30" s="201">
        <f>IF(D30=0,'[6]App.2-CT_NewCGAAP_DepExp_2013'!O30,+'[6]App.2-CT_NewCGAAP_DepExp_2013'!O30+((C30*0.5)/D30))</f>
        <v>0</v>
      </c>
      <c r="G30" s="203"/>
      <c r="H30" s="206">
        <f t="shared" si="1"/>
        <v>0</v>
      </c>
      <c r="I30" s="2"/>
      <c r="J30" s="2"/>
      <c r="K30" s="2"/>
      <c r="L30" s="2"/>
      <c r="M30" s="2"/>
      <c r="N30" s="2"/>
      <c r="O30" s="2"/>
    </row>
    <row r="31" spans="1:15" x14ac:dyDescent="0.2">
      <c r="A31" s="202">
        <v>1855</v>
      </c>
      <c r="B31" s="162" t="s">
        <v>168</v>
      </c>
      <c r="C31" s="203">
        <v>113572</v>
      </c>
      <c r="D31" s="204">
        <v>60</v>
      </c>
      <c r="E31" s="205">
        <f t="shared" si="0"/>
        <v>1.6666666666666666E-2</v>
      </c>
      <c r="F31" s="201">
        <f>IF(D31=0,'[6]App.2-CT_NewCGAAP_DepExp_2013'!O31,+'[6]App.2-CT_NewCGAAP_DepExp_2013'!O31+((C31*0.5)/D31))</f>
        <v>15875.037254901959</v>
      </c>
      <c r="G31" s="203">
        <v>15354</v>
      </c>
      <c r="H31" s="206">
        <f t="shared" si="1"/>
        <v>521.03725490195939</v>
      </c>
      <c r="I31" s="2"/>
      <c r="J31" s="2"/>
      <c r="K31" s="2"/>
      <c r="L31" s="2"/>
      <c r="M31" s="2"/>
      <c r="N31" s="2"/>
      <c r="O31" s="2"/>
    </row>
    <row r="32" spans="1:15" x14ac:dyDescent="0.2">
      <c r="A32" s="202">
        <v>1855</v>
      </c>
      <c r="B32" s="162" t="s">
        <v>169</v>
      </c>
      <c r="C32" s="203">
        <v>136725</v>
      </c>
      <c r="D32" s="204">
        <v>35</v>
      </c>
      <c r="E32" s="205">
        <f t="shared" si="0"/>
        <v>2.8571428571428571E-2</v>
      </c>
      <c r="F32" s="201">
        <f>IF(D32=0,'[6]App.2-CT_NewCGAAP_DepExp_2013'!O32,+'[6]App.2-CT_NewCGAAP_DepExp_2013'!O32+((C32*0.5)/D32))</f>
        <v>53659.057142857142</v>
      </c>
      <c r="G32" s="203">
        <v>51426</v>
      </c>
      <c r="H32" s="206">
        <f t="shared" si="1"/>
        <v>2233.057142857142</v>
      </c>
      <c r="I32" s="2"/>
      <c r="J32" s="2"/>
      <c r="K32" s="2"/>
      <c r="L32" s="2"/>
      <c r="M32" s="2"/>
      <c r="N32" s="2"/>
      <c r="O32" s="2"/>
    </row>
    <row r="33" spans="1:15" x14ac:dyDescent="0.2">
      <c r="A33" s="202">
        <v>1860</v>
      </c>
      <c r="B33" s="162" t="s">
        <v>263</v>
      </c>
      <c r="C33" s="203">
        <v>87436</v>
      </c>
      <c r="D33" s="204">
        <v>20</v>
      </c>
      <c r="E33" s="205">
        <f t="shared" si="0"/>
        <v>0.05</v>
      </c>
      <c r="F33" s="201">
        <f>IF(D33=0,'[6]App.2-CT_NewCGAAP_DepExp_2013'!O33,+'[6]App.2-CT_NewCGAAP_DepExp_2013'!O33+((C33*0.5)/D33))</f>
        <v>9778.2749999999996</v>
      </c>
      <c r="G33" s="203">
        <v>9642</v>
      </c>
      <c r="H33" s="206">
        <f t="shared" si="1"/>
        <v>136.27499999999964</v>
      </c>
      <c r="I33" s="2"/>
      <c r="J33" s="2"/>
      <c r="K33" s="2"/>
      <c r="L33" s="2"/>
      <c r="M33" s="2"/>
      <c r="N33" s="2"/>
      <c r="O33" s="2"/>
    </row>
    <row r="34" spans="1:15" x14ac:dyDescent="0.2">
      <c r="A34" s="202">
        <v>1860</v>
      </c>
      <c r="B34" s="162" t="s">
        <v>171</v>
      </c>
      <c r="C34" s="203">
        <v>34660</v>
      </c>
      <c r="D34" s="204">
        <v>15</v>
      </c>
      <c r="E34" s="205">
        <f t="shared" si="0"/>
        <v>6.6666666666666666E-2</v>
      </c>
      <c r="F34" s="201">
        <f>IF(D34=0,'[6]App.2-CT_NewCGAAP_DepExp_2013'!O34,+'[6]App.2-CT_NewCGAAP_DepExp_2013'!O34+((C34*0.5)/D34))</f>
        <v>199631.46666666667</v>
      </c>
      <c r="G34" s="203">
        <v>191525</v>
      </c>
      <c r="H34" s="206">
        <f t="shared" si="1"/>
        <v>8106.4666666666744</v>
      </c>
      <c r="I34" s="2"/>
      <c r="J34" s="2"/>
      <c r="K34" s="2"/>
      <c r="L34" s="2"/>
      <c r="M34" s="2"/>
      <c r="N34" s="2"/>
      <c r="O34" s="2"/>
    </row>
    <row r="35" spans="1:15" x14ac:dyDescent="0.2">
      <c r="A35" s="207">
        <v>1860</v>
      </c>
      <c r="B35" s="162" t="s">
        <v>172</v>
      </c>
      <c r="C35" s="203">
        <v>133025</v>
      </c>
      <c r="D35" s="204">
        <v>15</v>
      </c>
      <c r="E35" s="205">
        <f t="shared" si="0"/>
        <v>6.6666666666666666E-2</v>
      </c>
      <c r="F35" s="201">
        <f>IF(D35=0,'[6]App.2-CT_NewCGAAP_DepExp_2013'!O35,+'[6]App.2-CT_NewCGAAP_DepExp_2013'!O35+((C35*0.5)/D35))</f>
        <v>255598.16666666666</v>
      </c>
      <c r="G35" s="203">
        <v>249381</v>
      </c>
      <c r="H35" s="206">
        <f t="shared" si="1"/>
        <v>6217.166666666657</v>
      </c>
      <c r="I35" s="2"/>
      <c r="J35" s="2"/>
      <c r="K35" s="2"/>
      <c r="L35" s="2"/>
      <c r="M35" s="2"/>
      <c r="N35" s="2"/>
      <c r="O35" s="2"/>
    </row>
    <row r="36" spans="1:15" x14ac:dyDescent="0.2">
      <c r="A36" s="207">
        <v>1860</v>
      </c>
      <c r="B36" s="165" t="s">
        <v>174</v>
      </c>
      <c r="C36" s="203"/>
      <c r="D36" s="230"/>
      <c r="E36" s="205">
        <f t="shared" si="0"/>
        <v>0</v>
      </c>
      <c r="F36" s="201">
        <f>IF(D36=0,'[6]App.2-CT_NewCGAAP_DepExp_2013'!O37,+'[6]App.2-CT_NewCGAAP_DepExp_2013'!O37+((C36*0.5)/D36))</f>
        <v>0</v>
      </c>
      <c r="G36" s="203"/>
      <c r="H36" s="206">
        <f t="shared" si="1"/>
        <v>0</v>
      </c>
      <c r="I36" s="2"/>
      <c r="J36" s="2"/>
      <c r="K36" s="2"/>
      <c r="L36" s="2"/>
      <c r="M36" s="2"/>
      <c r="N36" s="2"/>
      <c r="O36" s="2"/>
    </row>
    <row r="37" spans="1:15" x14ac:dyDescent="0.2">
      <c r="A37" s="207">
        <v>1905</v>
      </c>
      <c r="B37" s="165" t="s">
        <v>176</v>
      </c>
      <c r="C37" s="203"/>
      <c r="D37" s="230"/>
      <c r="E37" s="205">
        <f t="shared" si="0"/>
        <v>0</v>
      </c>
      <c r="F37" s="201">
        <f>IF(D37=0,'[6]App.2-CT_NewCGAAP_DepExp_2013'!O38,+'[6]App.2-CT_NewCGAAP_DepExp_2013'!O38+((C37*0.5)/D37))</f>
        <v>0</v>
      </c>
      <c r="G37" s="203"/>
      <c r="H37" s="206">
        <f t="shared" si="1"/>
        <v>0</v>
      </c>
      <c r="I37" s="2"/>
      <c r="J37" s="2"/>
      <c r="K37" s="2"/>
      <c r="L37" s="2"/>
      <c r="M37" s="2"/>
      <c r="N37" s="2"/>
      <c r="O37" s="2"/>
    </row>
    <row r="38" spans="1:15" x14ac:dyDescent="0.2">
      <c r="A38" s="202">
        <v>1612</v>
      </c>
      <c r="B38" s="124" t="s">
        <v>177</v>
      </c>
      <c r="C38" s="203"/>
      <c r="D38" s="204">
        <v>50</v>
      </c>
      <c r="E38" s="205">
        <f>IF(D38=0,0,1/D38)</f>
        <v>0.02</v>
      </c>
      <c r="F38" s="201">
        <f>IF(D38=0,'[6]App.2-CT_NewCGAAP_DepExp_2013'!O39,+'[6]App.2-CT_NewCGAAP_DepExp_2013'!O39+((C38*0.5)/D38))</f>
        <v>20737.952380952382</v>
      </c>
      <c r="G38" s="203">
        <v>20720</v>
      </c>
      <c r="H38" s="206">
        <f>IF(ISERROR(+F38-G38), 0, +F38-G38)</f>
        <v>17.952380952381645</v>
      </c>
      <c r="I38" s="2"/>
      <c r="J38" s="2"/>
      <c r="K38" s="2"/>
      <c r="L38" s="2"/>
      <c r="M38" s="2"/>
      <c r="N38" s="2"/>
      <c r="O38" s="2"/>
    </row>
    <row r="39" spans="1:15" x14ac:dyDescent="0.2">
      <c r="A39" s="202">
        <v>1908</v>
      </c>
      <c r="B39" s="162" t="s">
        <v>179</v>
      </c>
      <c r="C39" s="203"/>
      <c r="D39" s="204">
        <v>50</v>
      </c>
      <c r="E39" s="205">
        <f t="shared" si="0"/>
        <v>0.02</v>
      </c>
      <c r="F39" s="201">
        <f>IF(D39=0,'[6]App.2-CT_NewCGAAP_DepExp_2013'!O40,+'[6]App.2-CT_NewCGAAP_DepExp_2013'!O40+((C39*0.5)/D39))</f>
        <v>52233.545454545456</v>
      </c>
      <c r="G39" s="203">
        <v>51730</v>
      </c>
      <c r="H39" s="206">
        <f t="shared" si="1"/>
        <v>503.54545454545587</v>
      </c>
      <c r="I39" s="2"/>
      <c r="J39" s="2"/>
      <c r="K39" s="2"/>
      <c r="L39" s="2"/>
      <c r="M39" s="2"/>
      <c r="N39" s="2"/>
      <c r="O39" s="2"/>
    </row>
    <row r="40" spans="1:15" x14ac:dyDescent="0.2">
      <c r="A40" s="202">
        <v>1915</v>
      </c>
      <c r="B40" s="162" t="s">
        <v>180</v>
      </c>
      <c r="C40" s="203">
        <v>5000</v>
      </c>
      <c r="D40" s="204">
        <v>10</v>
      </c>
      <c r="E40" s="205">
        <f t="shared" si="0"/>
        <v>0.1</v>
      </c>
      <c r="F40" s="201">
        <f>IF(D40=0,'[6]App.2-CT_NewCGAAP_DepExp_2013'!O41,+'[6]App.2-CT_NewCGAAP_DepExp_2013'!O41+((C40*0.5)/D40))</f>
        <v>22324.2</v>
      </c>
      <c r="G40" s="203">
        <v>22864</v>
      </c>
      <c r="H40" s="206">
        <f t="shared" si="1"/>
        <v>-539.79999999999927</v>
      </c>
      <c r="I40" s="2"/>
      <c r="J40" s="2"/>
      <c r="K40" s="2"/>
      <c r="L40" s="2"/>
      <c r="M40" s="2"/>
      <c r="N40" s="2"/>
      <c r="O40" s="2"/>
    </row>
    <row r="41" spans="1:15" x14ac:dyDescent="0.2">
      <c r="A41" s="202">
        <v>1920</v>
      </c>
      <c r="B41" s="162" t="s">
        <v>181</v>
      </c>
      <c r="C41" s="203">
        <v>109344</v>
      </c>
      <c r="D41" s="204">
        <v>5</v>
      </c>
      <c r="E41" s="205">
        <f t="shared" si="0"/>
        <v>0.2</v>
      </c>
      <c r="F41" s="201">
        <f>IF(D41=0,'[6]App.2-CT_NewCGAAP_DepExp_2013'!O42,+'[6]App.2-CT_NewCGAAP_DepExp_2013'!O42+((C41*0.5)/D41))</f>
        <v>76311.066666666651</v>
      </c>
      <c r="G41" s="203">
        <v>64095</v>
      </c>
      <c r="H41" s="206">
        <f t="shared" si="1"/>
        <v>12216.066666666651</v>
      </c>
      <c r="I41" s="2"/>
      <c r="J41" s="2"/>
      <c r="K41" s="2"/>
      <c r="L41" s="2"/>
      <c r="M41" s="2"/>
      <c r="N41" s="2"/>
      <c r="O41" s="2"/>
    </row>
    <row r="42" spans="1:15" x14ac:dyDescent="0.2">
      <c r="A42" s="209">
        <v>1611</v>
      </c>
      <c r="B42" s="210" t="s">
        <v>182</v>
      </c>
      <c r="C42" s="203">
        <v>280645</v>
      </c>
      <c r="D42" s="211">
        <v>5</v>
      </c>
      <c r="E42" s="212">
        <f>IF(D42=0,0,1/D42)</f>
        <v>0.2</v>
      </c>
      <c r="F42" s="201">
        <f>IF(D42=0,'[6]App.2-CT_NewCGAAP_DepExp_2013'!O43,+'[6]App.2-CT_NewCGAAP_DepExp_2013'!O43+((C42*0.5)/D42))</f>
        <v>354851.2</v>
      </c>
      <c r="G42" s="203">
        <v>201295</v>
      </c>
      <c r="H42" s="206">
        <f>IF(ISERROR(+F42-G42), 0, +F42-G42)</f>
        <v>153556.20000000001</v>
      </c>
      <c r="I42" s="2"/>
      <c r="J42" s="2"/>
      <c r="K42" s="2"/>
      <c r="L42" s="2"/>
      <c r="M42" s="2"/>
      <c r="N42" s="2"/>
      <c r="O42" s="2"/>
    </row>
    <row r="43" spans="1:15" x14ac:dyDescent="0.2">
      <c r="A43" s="202">
        <v>1930</v>
      </c>
      <c r="B43" s="162" t="s">
        <v>183</v>
      </c>
      <c r="C43" s="203"/>
      <c r="D43" s="204">
        <v>12</v>
      </c>
      <c r="E43" s="205">
        <f t="shared" si="0"/>
        <v>8.3333333333333329E-2</v>
      </c>
      <c r="F43" s="201">
        <f>IF(D43=0,'[6]App.2-CT_NewCGAAP_DepExp_2013'!O44,+'[6]App.2-CT_NewCGAAP_DepExp_2013'!O44+((C43*0.5)/D43))</f>
        <v>113759.83333333333</v>
      </c>
      <c r="G43" s="203">
        <v>107393</v>
      </c>
      <c r="H43" s="206">
        <f t="shared" si="1"/>
        <v>6366.8333333333285</v>
      </c>
      <c r="I43" s="2"/>
      <c r="J43" s="2"/>
      <c r="K43" s="2"/>
      <c r="L43" s="2"/>
      <c r="M43" s="2"/>
      <c r="N43" s="2"/>
      <c r="O43" s="2"/>
    </row>
    <row r="44" spans="1:15" x14ac:dyDescent="0.2">
      <c r="A44" s="202">
        <v>1930</v>
      </c>
      <c r="B44" s="162" t="s">
        <v>265</v>
      </c>
      <c r="C44" s="203">
        <v>218400</v>
      </c>
      <c r="D44" s="204">
        <v>8</v>
      </c>
      <c r="E44" s="205">
        <f t="shared" si="0"/>
        <v>0.125</v>
      </c>
      <c r="F44" s="201">
        <f>IF(D44=0,'[6]App.2-CT_NewCGAAP_DepExp_2013'!O45,+'[6]App.2-CT_NewCGAAP_DepExp_2013'!O45+((C44*0.5)/D44))</f>
        <v>63663.958333333336</v>
      </c>
      <c r="G44" s="203">
        <v>54522</v>
      </c>
      <c r="H44" s="206">
        <f t="shared" si="1"/>
        <v>9141.9583333333358</v>
      </c>
      <c r="I44" s="2"/>
      <c r="J44" s="2"/>
      <c r="K44" s="2"/>
      <c r="L44" s="2"/>
      <c r="M44" s="2"/>
      <c r="N44" s="2"/>
      <c r="O44" s="2"/>
    </row>
    <row r="45" spans="1:15" x14ac:dyDescent="0.2">
      <c r="A45" s="202">
        <v>1930</v>
      </c>
      <c r="B45" s="162" t="s">
        <v>185</v>
      </c>
      <c r="C45" s="203"/>
      <c r="D45" s="204">
        <v>20</v>
      </c>
      <c r="E45" s="205">
        <f t="shared" si="0"/>
        <v>0.05</v>
      </c>
      <c r="F45" s="201">
        <f>IF(D45=0,'[6]App.2-CT_NewCGAAP_DepExp_2013'!O46,+'[6]App.2-CT_NewCGAAP_DepExp_2013'!O46+((C45*0.5)/D45))</f>
        <v>2042.875</v>
      </c>
      <c r="G45" s="203">
        <v>2000</v>
      </c>
      <c r="H45" s="206">
        <f t="shared" si="1"/>
        <v>42.875</v>
      </c>
      <c r="I45" s="2"/>
      <c r="J45" s="2"/>
      <c r="K45" s="2"/>
      <c r="L45" s="2"/>
      <c r="M45" s="2"/>
      <c r="N45" s="2"/>
      <c r="O45" s="2"/>
    </row>
    <row r="46" spans="1:15" x14ac:dyDescent="0.2">
      <c r="A46" s="202">
        <v>1940</v>
      </c>
      <c r="B46" s="162" t="s">
        <v>186</v>
      </c>
      <c r="C46" s="203">
        <v>67250</v>
      </c>
      <c r="D46" s="204">
        <v>10</v>
      </c>
      <c r="E46" s="205">
        <f t="shared" si="0"/>
        <v>0.1</v>
      </c>
      <c r="F46" s="201">
        <f>IF(D46=0,'[6]App.2-CT_NewCGAAP_DepExp_2013'!O47,+'[6]App.2-CT_NewCGAAP_DepExp_2013'!O47+((C46*0.5)/D46))</f>
        <v>64337.1</v>
      </c>
      <c r="G46" s="203">
        <v>56846</v>
      </c>
      <c r="H46" s="206">
        <f t="shared" si="1"/>
        <v>7491.0999999999985</v>
      </c>
      <c r="I46" s="2"/>
      <c r="J46" s="2"/>
      <c r="K46" s="2"/>
      <c r="L46" s="2"/>
      <c r="M46" s="2"/>
      <c r="N46" s="2"/>
      <c r="O46" s="2"/>
    </row>
    <row r="47" spans="1:15" x14ac:dyDescent="0.2">
      <c r="A47" s="202">
        <v>1955</v>
      </c>
      <c r="B47" s="162" t="s">
        <v>187</v>
      </c>
      <c r="C47" s="203"/>
      <c r="D47" s="204">
        <v>5</v>
      </c>
      <c r="E47" s="205">
        <f t="shared" si="0"/>
        <v>0.2</v>
      </c>
      <c r="F47" s="201">
        <f>IF(D47=0,'[6]App.2-CT_NewCGAAP_DepExp_2013'!O48,+'[6]App.2-CT_NewCGAAP_DepExp_2013'!O48+((C47*0.5)/D47))</f>
        <v>3377.3333333333335</v>
      </c>
      <c r="G47" s="203">
        <v>3861</v>
      </c>
      <c r="H47" s="206">
        <f t="shared" si="1"/>
        <v>-483.66666666666652</v>
      </c>
      <c r="I47" s="2"/>
      <c r="J47" s="2"/>
      <c r="K47" s="2"/>
      <c r="L47" s="2"/>
      <c r="M47" s="2"/>
      <c r="N47" s="2"/>
      <c r="O47" s="2"/>
    </row>
    <row r="48" spans="1:15" x14ac:dyDescent="0.2">
      <c r="A48" s="231">
        <v>1995</v>
      </c>
      <c r="B48" s="162" t="s">
        <v>188</v>
      </c>
      <c r="C48" s="203">
        <v>-38153</v>
      </c>
      <c r="D48" s="204">
        <v>50</v>
      </c>
      <c r="E48" s="205">
        <f t="shared" si="0"/>
        <v>0.02</v>
      </c>
      <c r="F48" s="201">
        <f>IF(D48=0,'[6]App.2-CT_NewCGAAP_DepExp_2013'!O49,+'[6]App.2-CT_NewCGAAP_DepExp_2013'!O49+((C48*0.5)/D48))</f>
        <v>-17092.956315789474</v>
      </c>
      <c r="G48" s="203">
        <v>-15135</v>
      </c>
      <c r="H48" s="206">
        <f t="shared" si="1"/>
        <v>-1957.9563157894736</v>
      </c>
      <c r="I48" s="2"/>
      <c r="J48" s="2"/>
      <c r="K48" s="2"/>
      <c r="L48" s="2"/>
      <c r="M48" s="2"/>
      <c r="N48" s="2"/>
      <c r="O48" s="2"/>
    </row>
    <row r="49" spans="1:15" x14ac:dyDescent="0.2">
      <c r="A49" s="232">
        <v>1995</v>
      </c>
      <c r="B49" s="162" t="s">
        <v>190</v>
      </c>
      <c r="C49" s="203">
        <v>-5254</v>
      </c>
      <c r="D49" s="204">
        <v>50</v>
      </c>
      <c r="E49" s="205">
        <f t="shared" si="0"/>
        <v>0.02</v>
      </c>
      <c r="F49" s="201">
        <f>IF(D49=0,'[6]App.2-CT_NewCGAAP_DepExp_2013'!O50,+'[6]App.2-CT_NewCGAAP_DepExp_2013'!O50+((C49*0.5)/D49))</f>
        <v>-3978.362222222222</v>
      </c>
      <c r="G49" s="203">
        <v>-3973</v>
      </c>
      <c r="H49" s="206">
        <f t="shared" si="1"/>
        <v>-5.3622222222220444</v>
      </c>
      <c r="I49" s="2"/>
      <c r="J49" s="2"/>
      <c r="K49" s="2"/>
      <c r="L49" s="2"/>
      <c r="M49" s="2"/>
      <c r="N49" s="2"/>
      <c r="O49" s="2"/>
    </row>
    <row r="50" spans="1:15" x14ac:dyDescent="0.2">
      <c r="A50" s="232">
        <v>1995</v>
      </c>
      <c r="B50" s="162" t="s">
        <v>191</v>
      </c>
      <c r="C50" s="203"/>
      <c r="D50" s="204">
        <v>45</v>
      </c>
      <c r="E50" s="205">
        <f t="shared" si="0"/>
        <v>2.2222222222222223E-2</v>
      </c>
      <c r="F50" s="201">
        <f>IF(D50=0,'[6]App.2-CT_NewCGAAP_DepExp_2013'!O51,+'[6]App.2-CT_NewCGAAP_DepExp_2013'!O51+((C50*0.5)/D50))</f>
        <v>-171.75555555555556</v>
      </c>
      <c r="G50" s="203">
        <v>-167</v>
      </c>
      <c r="H50" s="206">
        <f t="shared" si="1"/>
        <v>-4.75555555555556</v>
      </c>
      <c r="I50" s="2"/>
      <c r="J50" s="2"/>
      <c r="K50" s="2"/>
      <c r="L50" s="2"/>
      <c r="M50" s="2"/>
      <c r="N50" s="2"/>
      <c r="O50" s="2"/>
    </row>
    <row r="51" spans="1:15" x14ac:dyDescent="0.2">
      <c r="A51" s="202">
        <v>1995</v>
      </c>
      <c r="B51" s="162" t="s">
        <v>192</v>
      </c>
      <c r="C51" s="203"/>
      <c r="D51" s="204">
        <v>40</v>
      </c>
      <c r="E51" s="205">
        <f t="shared" si="0"/>
        <v>2.5000000000000001E-2</v>
      </c>
      <c r="F51" s="201">
        <f>IF(D51=0,'[6]App.2-CT_NewCGAAP_DepExp_2013'!O52,+'[6]App.2-CT_NewCGAAP_DepExp_2013'!O52+((C51*0.5)/D51))</f>
        <v>-172.68088235294118</v>
      </c>
      <c r="G51" s="203">
        <v>-168</v>
      </c>
      <c r="H51" s="206">
        <f t="shared" si="1"/>
        <v>-4.6808823529411825</v>
      </c>
      <c r="I51" s="2"/>
      <c r="J51" s="2"/>
      <c r="K51" s="2"/>
      <c r="L51" s="2"/>
      <c r="M51" s="2"/>
      <c r="N51" s="2"/>
      <c r="O51" s="2"/>
    </row>
    <row r="52" spans="1:15" x14ac:dyDescent="0.2">
      <c r="A52" s="202">
        <v>1995</v>
      </c>
      <c r="B52" s="162" t="s">
        <v>266</v>
      </c>
      <c r="C52" s="203">
        <v>-16303</v>
      </c>
      <c r="D52" s="204">
        <v>50</v>
      </c>
      <c r="E52" s="205">
        <f t="shared" si="0"/>
        <v>0.02</v>
      </c>
      <c r="F52" s="201">
        <f>IF(D52=0,'[6]App.2-CT_NewCGAAP_DepExp_2013'!O53,+'[6]App.2-CT_NewCGAAP_DepExp_2013'!O53+((C52*0.5)/D52))</f>
        <v>-7176.6826829268284</v>
      </c>
      <c r="G52" s="203">
        <v>-6712</v>
      </c>
      <c r="H52" s="206">
        <f t="shared" si="1"/>
        <v>-464.68268292682842</v>
      </c>
      <c r="I52" s="2"/>
      <c r="J52" s="2"/>
      <c r="K52" s="2"/>
      <c r="L52" s="2"/>
      <c r="M52" s="2"/>
      <c r="N52" s="2"/>
      <c r="O52" s="2"/>
    </row>
    <row r="53" spans="1:15" x14ac:dyDescent="0.2">
      <c r="A53" s="202">
        <v>1995</v>
      </c>
      <c r="B53" s="162" t="s">
        <v>267</v>
      </c>
      <c r="C53" s="203"/>
      <c r="D53" s="204">
        <v>30</v>
      </c>
      <c r="E53" s="205">
        <f t="shared" si="0"/>
        <v>3.3333333333333333E-2</v>
      </c>
      <c r="F53" s="201">
        <f>IF(D53=0,'[6]App.2-CT_NewCGAAP_DepExp_2013'!O54,+'[6]App.2-CT_NewCGAAP_DepExp_2013'!O54+((C53*0.5)/D53))</f>
        <v>-37135.250724637677</v>
      </c>
      <c r="G53" s="203">
        <v>-36234</v>
      </c>
      <c r="H53" s="206">
        <f t="shared" si="1"/>
        <v>-901.25072463767719</v>
      </c>
      <c r="I53" s="2"/>
      <c r="J53" s="2"/>
      <c r="K53" s="2"/>
      <c r="L53" s="2"/>
      <c r="M53" s="2"/>
      <c r="N53" s="2"/>
      <c r="O53" s="2"/>
    </row>
    <row r="54" spans="1:15" x14ac:dyDescent="0.2">
      <c r="A54" s="202">
        <v>1995</v>
      </c>
      <c r="B54" s="162" t="s">
        <v>268</v>
      </c>
      <c r="C54" s="203">
        <v>-166761</v>
      </c>
      <c r="D54" s="204">
        <v>40</v>
      </c>
      <c r="E54" s="205">
        <f t="shared" si="0"/>
        <v>2.5000000000000001E-2</v>
      </c>
      <c r="F54" s="201">
        <f>IF(D54=0,'[6]App.2-CT_NewCGAAP_DepExp_2013'!O55,+'[6]App.2-CT_NewCGAAP_DepExp_2013'!O55+((C54*0.5)/D54))</f>
        <v>-25766.363815789475</v>
      </c>
      <c r="G54" s="203">
        <v>-21545</v>
      </c>
      <c r="H54" s="206">
        <f t="shared" si="1"/>
        <v>-4221.3638157894748</v>
      </c>
      <c r="I54" s="2"/>
      <c r="J54" s="2"/>
      <c r="K54" s="2"/>
      <c r="L54" s="2"/>
      <c r="M54" s="2"/>
      <c r="N54" s="2"/>
      <c r="O54" s="2"/>
    </row>
    <row r="55" spans="1:15" x14ac:dyDescent="0.2">
      <c r="A55" s="202">
        <v>1995</v>
      </c>
      <c r="B55" s="162" t="s">
        <v>269</v>
      </c>
      <c r="C55" s="203">
        <v>-31658</v>
      </c>
      <c r="D55" s="204">
        <v>40</v>
      </c>
      <c r="E55" s="205">
        <f t="shared" si="0"/>
        <v>2.5000000000000001E-2</v>
      </c>
      <c r="F55" s="201">
        <f>IF(D55=0,'[6]App.2-CT_NewCGAAP_DepExp_2013'!O56,+'[6]App.2-CT_NewCGAAP_DepExp_2013'!O56+((C55*0.5)/D55))</f>
        <v>-17074.074999999997</v>
      </c>
      <c r="G55" s="203">
        <v>-16535</v>
      </c>
      <c r="H55" s="206">
        <f t="shared" si="1"/>
        <v>-539.07499999999709</v>
      </c>
      <c r="I55" s="2"/>
      <c r="J55" s="2"/>
      <c r="K55" s="2"/>
      <c r="L55" s="2"/>
      <c r="M55" s="2"/>
      <c r="N55" s="2"/>
      <c r="O55" s="2"/>
    </row>
    <row r="56" spans="1:15" x14ac:dyDescent="0.2">
      <c r="A56" s="202">
        <v>1995</v>
      </c>
      <c r="B56" s="162" t="s">
        <v>197</v>
      </c>
      <c r="C56" s="203">
        <v>-44297</v>
      </c>
      <c r="D56" s="204">
        <v>40</v>
      </c>
      <c r="E56" s="205">
        <f t="shared" si="0"/>
        <v>2.5000000000000001E-2</v>
      </c>
      <c r="F56" s="201">
        <f>IF(D56=0,'[6]App.2-CT_NewCGAAP_DepExp_2013'!O57,+'[6]App.2-CT_NewCGAAP_DepExp_2013'!O57+((C56*0.5)/D56))</f>
        <v>-9254.9624999999996</v>
      </c>
      <c r="G56" s="203">
        <v>-8856</v>
      </c>
      <c r="H56" s="206">
        <f t="shared" si="1"/>
        <v>-398.96249999999964</v>
      </c>
      <c r="I56" s="2"/>
      <c r="J56" s="2"/>
      <c r="K56" s="2"/>
      <c r="L56" s="2"/>
      <c r="M56" s="2"/>
      <c r="N56" s="2"/>
      <c r="O56" s="2"/>
    </row>
    <row r="57" spans="1:15" x14ac:dyDescent="0.2">
      <c r="A57" s="202">
        <v>1995</v>
      </c>
      <c r="B57" s="162" t="s">
        <v>198</v>
      </c>
      <c r="C57" s="203"/>
      <c r="D57" s="204">
        <v>40</v>
      </c>
      <c r="E57" s="205">
        <f t="shared" si="0"/>
        <v>2.5000000000000001E-2</v>
      </c>
      <c r="F57" s="201">
        <f>IF(D57=0,'[6]App.2-CT_NewCGAAP_DepExp_2013'!O58,+'[6]App.2-CT_NewCGAAP_DepExp_2013'!O58+((C57*0.5)/D57))</f>
        <v>-522.12272727272727</v>
      </c>
      <c r="G57" s="203">
        <v>-520</v>
      </c>
      <c r="H57" s="206">
        <f t="shared" si="1"/>
        <v>-2.1227272727272748</v>
      </c>
      <c r="I57" s="2"/>
      <c r="J57" s="2"/>
      <c r="K57" s="2"/>
      <c r="L57" s="2"/>
      <c r="M57" s="2"/>
      <c r="N57" s="2"/>
      <c r="O57" s="2"/>
    </row>
    <row r="58" spans="1:15" x14ac:dyDescent="0.2">
      <c r="A58" s="202">
        <v>1995</v>
      </c>
      <c r="B58" s="162" t="s">
        <v>199</v>
      </c>
      <c r="C58" s="203">
        <v>-19639</v>
      </c>
      <c r="D58" s="204">
        <v>60</v>
      </c>
      <c r="E58" s="205">
        <f t="shared" si="0"/>
        <v>1.6666666666666666E-2</v>
      </c>
      <c r="F58" s="201">
        <f>IF(D58=0,'[6]App.2-CT_NewCGAAP_DepExp_2013'!O59,+'[6]App.2-CT_NewCGAAP_DepExp_2013'!O59+((C58*0.5)/D58))</f>
        <v>-2246.3419811320755</v>
      </c>
      <c r="G58" s="203">
        <v>-2238</v>
      </c>
      <c r="H58" s="206">
        <f t="shared" si="1"/>
        <v>-8.3419811320754889</v>
      </c>
      <c r="I58" s="2"/>
      <c r="J58" s="2"/>
      <c r="K58" s="2"/>
      <c r="L58" s="2"/>
      <c r="M58" s="2"/>
      <c r="N58" s="2"/>
      <c r="O58" s="2"/>
    </row>
    <row r="59" spans="1:15" x14ac:dyDescent="0.2">
      <c r="A59" s="202">
        <v>1995</v>
      </c>
      <c r="B59" s="162" t="s">
        <v>200</v>
      </c>
      <c r="C59" s="203">
        <v>-24179</v>
      </c>
      <c r="D59" s="204">
        <v>35</v>
      </c>
      <c r="E59" s="205">
        <f t="shared" si="0"/>
        <v>2.8571428571428571E-2</v>
      </c>
      <c r="F59" s="201">
        <f>IF(D59=0,'[6]App.2-CT_NewCGAAP_DepExp_2013'!O60,+'[6]App.2-CT_NewCGAAP_DepExp_2013'!O60+((C59*0.5)/D59))</f>
        <v>-3946.599191374663</v>
      </c>
      <c r="G59" s="203">
        <v>-7102</v>
      </c>
      <c r="H59" s="206">
        <f t="shared" si="1"/>
        <v>3155.400808625337</v>
      </c>
      <c r="I59" s="2"/>
      <c r="J59" s="2"/>
      <c r="K59" s="2"/>
      <c r="L59" s="2"/>
      <c r="M59" s="2"/>
      <c r="N59" s="2"/>
      <c r="O59" s="2"/>
    </row>
    <row r="60" spans="1:15" x14ac:dyDescent="0.2">
      <c r="A60" s="202">
        <v>1995</v>
      </c>
      <c r="B60" s="162" t="s">
        <v>201</v>
      </c>
      <c r="C60" s="203"/>
      <c r="D60" s="204">
        <v>20</v>
      </c>
      <c r="E60" s="205">
        <f t="shared" si="0"/>
        <v>0.05</v>
      </c>
      <c r="F60" s="201">
        <f>IF(D60=0,'[6]App.2-CT_NewCGAAP_DepExp_2013'!O61,+'[6]App.2-CT_NewCGAAP_DepExp_2013'!O61+((C60*0.5)/D60))</f>
        <v>-8430.8125</v>
      </c>
      <c r="G60" s="203">
        <v>-8431</v>
      </c>
      <c r="H60" s="206">
        <f t="shared" si="1"/>
        <v>0.1875</v>
      </c>
      <c r="I60" s="2"/>
      <c r="J60" s="2"/>
      <c r="K60" s="2"/>
      <c r="L60" s="2"/>
      <c r="M60" s="2"/>
      <c r="N60" s="2"/>
      <c r="O60" s="2"/>
    </row>
    <row r="61" spans="1:15" x14ac:dyDescent="0.2">
      <c r="A61" s="202">
        <v>1995</v>
      </c>
      <c r="B61" s="162" t="s">
        <v>270</v>
      </c>
      <c r="C61" s="203">
        <v>-1672</v>
      </c>
      <c r="D61" s="204">
        <v>15</v>
      </c>
      <c r="E61" s="205">
        <f t="shared" si="0"/>
        <v>6.6666666666666666E-2</v>
      </c>
      <c r="F61" s="201">
        <f>IF(D61=0,'[6]App.2-CT_NewCGAAP_DepExp_2013'!O62,+'[6]App.2-CT_NewCGAAP_DepExp_2013'!O62+((C61*0.5)/D61))</f>
        <v>-3044.0416666666665</v>
      </c>
      <c r="G61" s="203">
        <v>-3009</v>
      </c>
      <c r="H61" s="206">
        <f t="shared" si="1"/>
        <v>-35.041666666666515</v>
      </c>
      <c r="I61" s="2"/>
      <c r="J61" s="2"/>
      <c r="K61" s="2"/>
      <c r="L61" s="2"/>
      <c r="M61" s="2"/>
      <c r="N61" s="2"/>
      <c r="O61" s="2"/>
    </row>
    <row r="62" spans="1:15" x14ac:dyDescent="0.2">
      <c r="A62" s="202">
        <v>1995</v>
      </c>
      <c r="B62" s="162" t="s">
        <v>203</v>
      </c>
      <c r="C62" s="203">
        <v>-6149</v>
      </c>
      <c r="D62" s="204">
        <v>15</v>
      </c>
      <c r="E62" s="205">
        <f t="shared" si="0"/>
        <v>6.6666666666666666E-2</v>
      </c>
      <c r="F62" s="201">
        <f>IF(D62=0,'[6]App.2-CT_NewCGAAP_DepExp_2013'!O63,+'[6]App.2-CT_NewCGAAP_DepExp_2013'!O63+((C62*0.5)/D62))</f>
        <v>-10525.816666666668</v>
      </c>
      <c r="G62" s="203">
        <v>-10404</v>
      </c>
      <c r="H62" s="206">
        <f t="shared" si="1"/>
        <v>-121.81666666666752</v>
      </c>
      <c r="I62" s="2"/>
      <c r="J62" s="2"/>
      <c r="K62" s="2"/>
      <c r="L62" s="2"/>
      <c r="M62" s="2"/>
      <c r="N62" s="2"/>
      <c r="O62" s="2"/>
    </row>
    <row r="63" spans="1:15" x14ac:dyDescent="0.2">
      <c r="A63" s="214" t="s">
        <v>204</v>
      </c>
      <c r="B63" s="132"/>
      <c r="C63" s="203"/>
      <c r="D63" s="233"/>
      <c r="E63" s="205">
        <f t="shared" si="0"/>
        <v>0</v>
      </c>
      <c r="F63" s="201"/>
      <c r="G63" s="203"/>
      <c r="H63" s="206"/>
      <c r="I63" s="2"/>
      <c r="J63" s="2"/>
      <c r="K63" s="2"/>
      <c r="L63" s="2"/>
      <c r="M63" s="2"/>
      <c r="N63" s="2"/>
      <c r="O63" s="2"/>
    </row>
    <row r="64" spans="1:15" ht="15.75" thickBot="1" x14ac:dyDescent="0.25">
      <c r="A64" s="216"/>
      <c r="B64" s="217" t="s">
        <v>102</v>
      </c>
      <c r="C64" s="206">
        <f>SUM(C16:C63)</f>
        <v>7120087</v>
      </c>
      <c r="D64" s="234"/>
      <c r="E64" s="235"/>
      <c r="F64" s="206">
        <f>SUM(F16:F63)</f>
        <v>2308968.7991903238</v>
      </c>
      <c r="G64" s="206">
        <f>SUM(G16:G63)</f>
        <v>2081873</v>
      </c>
      <c r="H64" s="206">
        <f>SUM(H16:H63)</f>
        <v>227095.79919032357</v>
      </c>
      <c r="I64" s="2"/>
      <c r="J64" s="2"/>
      <c r="K64" s="2"/>
      <c r="L64" s="2"/>
      <c r="M64" s="2"/>
      <c r="N64" s="2"/>
      <c r="O64" s="2"/>
    </row>
    <row r="65" spans="1:15" x14ac:dyDescent="0.2">
      <c r="A65" s="149"/>
      <c r="B65" s="846" t="s">
        <v>285</v>
      </c>
      <c r="C65" s="846"/>
      <c r="D65" s="846"/>
      <c r="E65" s="847"/>
      <c r="F65" s="206">
        <f>+F64</f>
        <v>2308968.7991903238</v>
      </c>
      <c r="G65" s="236"/>
      <c r="H65" s="237"/>
      <c r="I65" s="238"/>
      <c r="J65" s="239"/>
      <c r="K65" s="2"/>
      <c r="L65" s="2"/>
      <c r="M65" s="2"/>
      <c r="N65" s="2"/>
      <c r="O65" s="2"/>
    </row>
    <row r="66" spans="1:15" x14ac:dyDescent="0.2">
      <c r="A66" s="2"/>
      <c r="B66" s="2"/>
      <c r="C66" s="2"/>
      <c r="D66" s="2"/>
      <c r="E66" s="2"/>
      <c r="F66" s="2"/>
      <c r="G66" s="2"/>
      <c r="H66" s="2"/>
      <c r="I66" s="2"/>
      <c r="J66" s="2"/>
      <c r="K66" s="2"/>
      <c r="L66" s="2"/>
      <c r="M66" s="2"/>
      <c r="N66" s="2"/>
      <c r="O66" s="2"/>
    </row>
    <row r="67" spans="1:15" x14ac:dyDescent="0.2">
      <c r="A67" s="180" t="s">
        <v>27</v>
      </c>
      <c r="B67" s="97"/>
      <c r="C67" s="97"/>
      <c r="D67" s="97"/>
      <c r="E67" s="97"/>
      <c r="F67" s="97"/>
      <c r="G67" s="97"/>
      <c r="H67" s="97"/>
      <c r="I67" s="2"/>
      <c r="J67" s="2"/>
      <c r="K67" s="2"/>
      <c r="L67" s="2"/>
      <c r="M67" s="2"/>
      <c r="N67" s="2"/>
      <c r="O67" s="2"/>
    </row>
    <row r="68" spans="1:15" ht="32.25" customHeight="1" x14ac:dyDescent="0.2">
      <c r="A68" s="240">
        <v>1</v>
      </c>
      <c r="B68" s="834" t="s">
        <v>271</v>
      </c>
      <c r="C68" s="834"/>
      <c r="D68" s="834"/>
      <c r="E68" s="834"/>
      <c r="F68" s="834"/>
      <c r="G68" s="834"/>
      <c r="H68" s="834"/>
      <c r="I68" s="834"/>
      <c r="J68" s="834"/>
      <c r="K68" s="2"/>
      <c r="L68" s="2"/>
      <c r="M68" s="2"/>
      <c r="N68" s="2"/>
      <c r="O68" s="2"/>
    </row>
    <row r="69" spans="1:15" x14ac:dyDescent="0.2">
      <c r="A69" s="222">
        <v>2</v>
      </c>
      <c r="B69" s="834" t="s">
        <v>272</v>
      </c>
      <c r="C69" s="834"/>
      <c r="D69" s="834"/>
      <c r="E69" s="834"/>
      <c r="F69" s="834"/>
      <c r="G69" s="834"/>
      <c r="H69" s="834"/>
      <c r="I69" s="834"/>
      <c r="J69" s="834"/>
      <c r="K69" s="2"/>
      <c r="L69" s="2"/>
      <c r="M69" s="2"/>
      <c r="N69" s="2"/>
      <c r="O69" s="2"/>
    </row>
    <row r="70" spans="1:15" x14ac:dyDescent="0.2">
      <c r="A70" s="2"/>
      <c r="B70" s="2"/>
      <c r="C70" s="2"/>
      <c r="D70" s="2"/>
      <c r="E70" s="2"/>
      <c r="F70" s="2"/>
      <c r="G70" s="2"/>
      <c r="H70" s="2"/>
      <c r="I70" s="2"/>
      <c r="J70" s="2"/>
      <c r="K70" s="2"/>
      <c r="L70" s="2"/>
      <c r="M70" s="2"/>
      <c r="N70" s="2"/>
      <c r="O70" s="2"/>
    </row>
    <row r="71" spans="1:15" x14ac:dyDescent="0.2">
      <c r="A71" s="180" t="s">
        <v>277</v>
      </c>
      <c r="B71" s="848" t="s">
        <v>278</v>
      </c>
      <c r="C71" s="848"/>
      <c r="D71" s="848"/>
      <c r="E71" s="848"/>
      <c r="F71" s="848"/>
      <c r="G71" s="848"/>
      <c r="H71" s="848"/>
      <c r="I71" s="848"/>
      <c r="J71" s="848"/>
      <c r="K71" s="241"/>
      <c r="L71" s="241"/>
      <c r="M71" s="2"/>
      <c r="N71" s="2"/>
      <c r="O71" s="2"/>
    </row>
    <row r="72" spans="1:15" x14ac:dyDescent="0.2">
      <c r="A72" s="2"/>
      <c r="B72" s="848"/>
      <c r="C72" s="848"/>
      <c r="D72" s="848"/>
      <c r="E72" s="848"/>
      <c r="F72" s="848"/>
      <c r="G72" s="848"/>
      <c r="H72" s="848"/>
      <c r="I72" s="848"/>
      <c r="J72" s="848"/>
      <c r="K72" s="241"/>
      <c r="L72" s="241"/>
      <c r="M72" s="2"/>
      <c r="N72" s="2"/>
      <c r="O72" s="2"/>
    </row>
  </sheetData>
  <mergeCells count="10">
    <mergeCell ref="B65:E65"/>
    <mergeCell ref="B68:J68"/>
    <mergeCell ref="B69:J69"/>
    <mergeCell ref="B71:J72"/>
    <mergeCell ref="A9:H9"/>
    <mergeCell ref="A10:H10"/>
    <mergeCell ref="A11:H11"/>
    <mergeCell ref="A14:A15"/>
    <mergeCell ref="B14:B15"/>
    <mergeCell ref="G14:G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13" workbookViewId="0">
      <selection activeCell="M17" sqref="M17"/>
    </sheetView>
  </sheetViews>
  <sheetFormatPr defaultRowHeight="15" x14ac:dyDescent="0.2"/>
  <cols>
    <col min="1" max="1" width="40.21875" customWidth="1"/>
    <col min="5" max="5" width="8.77734375" bestFit="1" customWidth="1"/>
    <col min="6" max="6" width="8.44140625" bestFit="1" customWidth="1"/>
    <col min="7" max="7" width="8" bestFit="1" customWidth="1"/>
    <col min="8" max="8" width="12" customWidth="1"/>
    <col min="9" max="9" width="8.5546875" bestFit="1" customWidth="1"/>
    <col min="10" max="10" width="7.21875" bestFit="1" customWidth="1"/>
  </cols>
  <sheetData>
    <row r="1" spans="1:12" x14ac:dyDescent="0.2">
      <c r="H1" s="180" t="s">
        <v>106</v>
      </c>
      <c r="I1" s="181" t="str">
        <f>EBNUMBER</f>
        <v>EB-2013-0134</v>
      </c>
    </row>
    <row r="2" spans="1:12" x14ac:dyDescent="0.2">
      <c r="H2" s="180" t="s">
        <v>107</v>
      </c>
      <c r="I2" s="182">
        <v>2</v>
      </c>
    </row>
    <row r="3" spans="1:12" x14ac:dyDescent="0.2">
      <c r="H3" s="180" t="s">
        <v>108</v>
      </c>
      <c r="I3" s="182">
        <v>5</v>
      </c>
    </row>
    <row r="4" spans="1:12" x14ac:dyDescent="0.2">
      <c r="H4" s="180" t="s">
        <v>109</v>
      </c>
      <c r="I4" s="182">
        <v>5</v>
      </c>
    </row>
    <row r="5" spans="1:12" x14ac:dyDescent="0.2">
      <c r="H5" s="180" t="s">
        <v>110</v>
      </c>
      <c r="I5" s="183">
        <v>2</v>
      </c>
    </row>
    <row r="6" spans="1:12" x14ac:dyDescent="0.2">
      <c r="H6" s="180"/>
      <c r="I6" s="181"/>
    </row>
    <row r="7" spans="1:12" x14ac:dyDescent="0.2">
      <c r="H7" s="180" t="s">
        <v>112</v>
      </c>
      <c r="I7" s="184">
        <v>41702</v>
      </c>
    </row>
    <row r="9" spans="1:12" ht="18" x14ac:dyDescent="0.25">
      <c r="A9" s="854" t="s">
        <v>288</v>
      </c>
      <c r="B9" s="855"/>
      <c r="C9" s="855"/>
      <c r="D9" s="855"/>
      <c r="E9" s="855"/>
      <c r="F9" s="855"/>
      <c r="G9" s="855"/>
      <c r="H9" s="855"/>
      <c r="I9" s="855"/>
      <c r="J9" s="1"/>
      <c r="K9" s="1"/>
      <c r="L9" s="1"/>
    </row>
    <row r="10" spans="1:12" ht="18" x14ac:dyDescent="0.25">
      <c r="A10" s="856" t="s">
        <v>0</v>
      </c>
      <c r="B10" s="857"/>
      <c r="C10" s="857"/>
      <c r="D10" s="857"/>
      <c r="E10" s="857"/>
      <c r="F10" s="857"/>
      <c r="G10" s="857"/>
      <c r="H10" s="857"/>
      <c r="I10" s="857"/>
      <c r="J10" s="1"/>
      <c r="K10" s="1"/>
      <c r="L10" s="1"/>
    </row>
    <row r="11" spans="1:12" ht="18" x14ac:dyDescent="0.25">
      <c r="A11" s="856" t="s">
        <v>1</v>
      </c>
      <c r="B11" s="857"/>
      <c r="C11" s="857"/>
      <c r="D11" s="857"/>
      <c r="E11" s="857"/>
      <c r="F11" s="857"/>
      <c r="G11" s="857"/>
      <c r="H11" s="857"/>
      <c r="I11" s="857"/>
      <c r="J11" s="1"/>
      <c r="K11" s="1"/>
      <c r="L11" s="1"/>
    </row>
    <row r="12" spans="1:12" x14ac:dyDescent="0.2">
      <c r="A12" s="2"/>
      <c r="B12" s="2"/>
      <c r="C12" s="2"/>
      <c r="D12" s="2"/>
      <c r="E12" s="2"/>
      <c r="F12" s="2"/>
      <c r="G12" s="2"/>
      <c r="H12" s="2"/>
      <c r="I12" s="2"/>
      <c r="J12" s="250"/>
      <c r="K12" s="250"/>
      <c r="L12" s="250"/>
    </row>
    <row r="13" spans="1:12" ht="15.75" x14ac:dyDescent="0.25">
      <c r="A13" s="250" t="s">
        <v>2</v>
      </c>
      <c r="B13" s="250"/>
      <c r="C13" s="250"/>
      <c r="D13" s="250"/>
      <c r="E13" s="250"/>
      <c r="F13" s="250"/>
      <c r="G13" s="250"/>
      <c r="H13" s="250"/>
      <c r="I13" s="250"/>
      <c r="J13" s="4"/>
      <c r="K13" s="4"/>
      <c r="L13" s="1"/>
    </row>
    <row r="14" spans="1:12" ht="15.75" x14ac:dyDescent="0.25">
      <c r="A14" s="3"/>
      <c r="B14" s="3"/>
      <c r="C14" s="3"/>
      <c r="D14" s="3"/>
      <c r="E14" s="3"/>
      <c r="F14" s="3"/>
      <c r="G14" s="3"/>
      <c r="H14" s="3"/>
      <c r="I14" s="3"/>
      <c r="J14" s="4"/>
      <c r="K14" s="4"/>
      <c r="L14" s="1"/>
    </row>
    <row r="15" spans="1:12" ht="15.75" x14ac:dyDescent="0.25">
      <c r="A15" s="858"/>
      <c r="B15" s="858"/>
      <c r="C15" s="858"/>
      <c r="D15" s="858"/>
      <c r="E15" s="858"/>
      <c r="F15" s="858"/>
      <c r="G15" s="858"/>
      <c r="H15" s="858"/>
      <c r="I15" s="858"/>
      <c r="J15" s="4"/>
      <c r="K15" s="4"/>
      <c r="L15" s="1"/>
    </row>
    <row r="16" spans="1:12" ht="15.75" x14ac:dyDescent="0.25">
      <c r="A16" s="3"/>
      <c r="B16" s="3"/>
      <c r="C16" s="3"/>
      <c r="D16" s="3"/>
      <c r="E16" s="3"/>
      <c r="F16" s="3"/>
      <c r="G16" s="3"/>
      <c r="H16" s="3"/>
      <c r="I16" s="3"/>
      <c r="J16" s="5">
        <v>2017</v>
      </c>
      <c r="K16" s="4"/>
      <c r="L16" s="1"/>
    </row>
    <row r="17" spans="1:12" ht="39" x14ac:dyDescent="0.25">
      <c r="A17" s="3"/>
      <c r="B17" s="5" t="str">
        <f>RebaseYear &amp;" Rebasing Year"</f>
        <v>2010 Rebasing Year</v>
      </c>
      <c r="C17" s="5">
        <v>2011</v>
      </c>
      <c r="D17" s="5">
        <v>2012</v>
      </c>
      <c r="E17" s="5">
        <v>2013</v>
      </c>
      <c r="F17" s="5" t="s">
        <v>3</v>
      </c>
      <c r="G17" s="5">
        <v>2015</v>
      </c>
      <c r="H17" s="5">
        <v>2016</v>
      </c>
      <c r="I17" s="5">
        <v>2016</v>
      </c>
      <c r="J17" s="7" t="s">
        <v>6</v>
      </c>
      <c r="K17" s="4"/>
      <c r="L17" s="1"/>
    </row>
    <row r="18" spans="1:12" ht="25.5" x14ac:dyDescent="0.25">
      <c r="A18" s="6" t="s">
        <v>4</v>
      </c>
      <c r="B18" s="7" t="s">
        <v>5</v>
      </c>
      <c r="C18" s="7" t="s">
        <v>6</v>
      </c>
      <c r="D18" s="7" t="s">
        <v>6</v>
      </c>
      <c r="E18" s="7" t="s">
        <v>6</v>
      </c>
      <c r="F18" s="8" t="s">
        <v>7</v>
      </c>
      <c r="G18" s="7" t="s">
        <v>6</v>
      </c>
      <c r="H18" s="7" t="s">
        <v>6</v>
      </c>
      <c r="I18" s="7" t="s">
        <v>6</v>
      </c>
      <c r="J18" s="7"/>
      <c r="K18" s="4"/>
      <c r="L18" s="1"/>
    </row>
    <row r="19" spans="1:12" ht="15.75" x14ac:dyDescent="0.25">
      <c r="A19" s="6" t="s">
        <v>8</v>
      </c>
      <c r="B19" s="7" t="s">
        <v>9</v>
      </c>
      <c r="C19" s="7" t="s">
        <v>10</v>
      </c>
      <c r="D19" s="7" t="s">
        <v>10</v>
      </c>
      <c r="E19" s="7" t="s">
        <v>9</v>
      </c>
      <c r="F19" s="7" t="s">
        <v>9</v>
      </c>
      <c r="G19" s="7"/>
      <c r="H19" s="7"/>
      <c r="I19" s="7"/>
      <c r="J19" s="10" t="s">
        <v>11</v>
      </c>
      <c r="K19" s="4"/>
      <c r="L19" s="1"/>
    </row>
    <row r="20" spans="1:12" ht="15.75" x14ac:dyDescent="0.25">
      <c r="A20" s="3"/>
      <c r="B20" s="9"/>
      <c r="C20" s="9"/>
      <c r="D20" s="10"/>
      <c r="E20" s="10" t="s">
        <v>11</v>
      </c>
      <c r="F20" s="10" t="s">
        <v>11</v>
      </c>
      <c r="G20" s="10" t="s">
        <v>11</v>
      </c>
      <c r="H20" s="10" t="s">
        <v>11</v>
      </c>
      <c r="I20" s="10" t="s">
        <v>11</v>
      </c>
      <c r="J20" s="253"/>
      <c r="K20" s="4"/>
      <c r="L20" s="1"/>
    </row>
    <row r="21" spans="1:12" ht="15.75" x14ac:dyDescent="0.25">
      <c r="A21" s="6" t="s">
        <v>12</v>
      </c>
      <c r="B21" s="251"/>
      <c r="C21" s="252"/>
      <c r="D21" s="252"/>
      <c r="E21" s="252"/>
      <c r="F21" s="252"/>
      <c r="G21" s="252"/>
      <c r="H21" s="252"/>
      <c r="I21" s="252"/>
      <c r="J21" s="11"/>
      <c r="K21" s="4"/>
      <c r="L21" s="1"/>
    </row>
    <row r="22" spans="1:12" ht="15.75" x14ac:dyDescent="0.25">
      <c r="A22" s="9" t="s">
        <v>13</v>
      </c>
      <c r="B22" s="11"/>
      <c r="C22" s="11"/>
      <c r="D22" s="12"/>
      <c r="E22" s="246">
        <f>71205185-29310689</f>
        <v>41894496</v>
      </c>
      <c r="F22" s="11"/>
      <c r="G22" s="11"/>
      <c r="H22" s="11"/>
      <c r="I22" s="11"/>
      <c r="J22" s="11"/>
      <c r="K22" s="4"/>
      <c r="L22" s="1"/>
    </row>
    <row r="23" spans="1:12" ht="15.75" x14ac:dyDescent="0.25">
      <c r="A23" s="9" t="s">
        <v>14</v>
      </c>
      <c r="B23" s="11"/>
      <c r="C23" s="11"/>
      <c r="D23" s="12"/>
      <c r="E23" s="246">
        <f>4333650-1748334</f>
        <v>2585316</v>
      </c>
      <c r="F23" s="11"/>
      <c r="G23" s="11"/>
      <c r="H23" s="11"/>
      <c r="I23" s="11"/>
      <c r="J23" s="11"/>
      <c r="K23" s="4"/>
      <c r="L23" s="1"/>
    </row>
    <row r="24" spans="1:12" ht="15.75" x14ac:dyDescent="0.25">
      <c r="A24" s="9" t="s">
        <v>15</v>
      </c>
      <c r="B24" s="11"/>
      <c r="C24" s="11"/>
      <c r="D24" s="12"/>
      <c r="E24" s="246">
        <f>-3588750+1264345</f>
        <v>-2324405</v>
      </c>
      <c r="F24" s="11"/>
      <c r="G24" s="11"/>
      <c r="H24" s="11"/>
      <c r="I24" s="11"/>
      <c r="J24" s="11"/>
      <c r="K24" s="4"/>
      <c r="L24" s="1"/>
    </row>
    <row r="25" spans="1:12" ht="15.75" x14ac:dyDescent="0.25">
      <c r="A25" s="13" t="s">
        <v>16</v>
      </c>
      <c r="B25" s="11"/>
      <c r="C25" s="11"/>
      <c r="D25" s="12"/>
      <c r="E25" s="247">
        <f>SUM(E22:E24)</f>
        <v>42155407</v>
      </c>
      <c r="F25" s="11"/>
      <c r="G25" s="11"/>
      <c r="H25" s="11"/>
      <c r="I25" s="11"/>
      <c r="J25" s="256"/>
      <c r="K25" s="4"/>
      <c r="L25" s="1"/>
    </row>
    <row r="26" spans="1:12" ht="15.75" x14ac:dyDescent="0.25">
      <c r="A26" s="3"/>
      <c r="B26" s="254"/>
      <c r="C26" s="255"/>
      <c r="D26" s="255"/>
      <c r="E26" s="255"/>
      <c r="F26" s="255"/>
      <c r="G26" s="255"/>
      <c r="H26" s="255"/>
      <c r="I26" s="255"/>
      <c r="J26" s="258"/>
      <c r="K26" s="4"/>
      <c r="L26" s="1"/>
    </row>
    <row r="27" spans="1:12" ht="15.75" x14ac:dyDescent="0.25">
      <c r="A27" s="14" t="s">
        <v>17</v>
      </c>
      <c r="B27" s="257"/>
      <c r="C27" s="19"/>
      <c r="D27" s="19"/>
      <c r="E27" s="19"/>
      <c r="F27" s="19"/>
      <c r="G27" s="19"/>
      <c r="H27" s="19"/>
      <c r="I27" s="19"/>
      <c r="J27" s="11"/>
      <c r="K27" s="4"/>
      <c r="L27" s="1"/>
    </row>
    <row r="28" spans="1:12" ht="15.75" x14ac:dyDescent="0.25">
      <c r="A28" s="9" t="s">
        <v>18</v>
      </c>
      <c r="B28" s="11"/>
      <c r="C28" s="11"/>
      <c r="D28" s="12"/>
      <c r="E28" s="246">
        <f>71205185-29310689</f>
        <v>41894496</v>
      </c>
      <c r="F28" s="11"/>
      <c r="G28" s="11"/>
      <c r="H28" s="11"/>
      <c r="I28" s="11"/>
      <c r="J28" s="11"/>
      <c r="K28" s="4"/>
      <c r="L28" s="1"/>
    </row>
    <row r="29" spans="1:12" ht="15.75" x14ac:dyDescent="0.25">
      <c r="A29" s="9" t="s">
        <v>14</v>
      </c>
      <c r="B29" s="11"/>
      <c r="C29" s="11"/>
      <c r="D29" s="12"/>
      <c r="E29" s="246">
        <f>4333650-1748334</f>
        <v>2585316</v>
      </c>
      <c r="F29" s="11"/>
      <c r="G29" s="11"/>
      <c r="H29" s="11"/>
      <c r="I29" s="11"/>
      <c r="J29" s="11"/>
      <c r="K29" s="4"/>
      <c r="L29" s="1"/>
    </row>
    <row r="30" spans="1:12" ht="15.75" x14ac:dyDescent="0.25">
      <c r="A30" s="9" t="s">
        <v>15</v>
      </c>
      <c r="B30" s="11"/>
      <c r="C30" s="11"/>
      <c r="D30" s="12"/>
      <c r="E30" s="246">
        <f>-2129050+1264345</f>
        <v>-864705</v>
      </c>
      <c r="F30" s="11"/>
      <c r="G30" s="11"/>
      <c r="H30" s="11"/>
      <c r="I30" s="11"/>
      <c r="J30" s="11"/>
      <c r="K30" s="4"/>
      <c r="L30" s="1"/>
    </row>
    <row r="31" spans="1:12" ht="15.75" x14ac:dyDescent="0.25">
      <c r="A31" s="13" t="s">
        <v>19</v>
      </c>
      <c r="B31" s="11"/>
      <c r="C31" s="11"/>
      <c r="D31" s="12"/>
      <c r="E31" s="247">
        <f>SUM(E28:E30)</f>
        <v>43615107</v>
      </c>
      <c r="F31" s="11"/>
      <c r="G31" s="11"/>
      <c r="H31" s="11"/>
      <c r="I31" s="11"/>
      <c r="J31" s="253"/>
      <c r="K31" s="4"/>
      <c r="L31" s="1"/>
    </row>
    <row r="32" spans="1:12" ht="15.75" x14ac:dyDescent="0.25">
      <c r="A32" s="3"/>
      <c r="B32" s="251"/>
      <c r="C32" s="252"/>
      <c r="D32" s="252"/>
      <c r="E32" s="252"/>
      <c r="F32" s="252"/>
      <c r="G32" s="252"/>
      <c r="H32" s="252"/>
      <c r="I32" s="252"/>
      <c r="J32" s="11"/>
      <c r="K32" s="4"/>
      <c r="L32" s="1"/>
    </row>
    <row r="33" spans="1:12" ht="26.25" x14ac:dyDescent="0.25">
      <c r="A33" s="15" t="s">
        <v>20</v>
      </c>
      <c r="B33" s="11"/>
      <c r="C33" s="11"/>
      <c r="D33" s="16"/>
      <c r="E33" s="247">
        <f>E25-E31</f>
        <v>-1459700</v>
      </c>
      <c r="F33" s="11"/>
      <c r="G33" s="11"/>
      <c r="H33" s="11"/>
      <c r="I33" s="11"/>
      <c r="J33" s="4"/>
      <c r="K33" s="4"/>
      <c r="L33" s="1"/>
    </row>
    <row r="34" spans="1:12" ht="15.75" x14ac:dyDescent="0.25">
      <c r="A34" s="6"/>
      <c r="B34" s="3"/>
      <c r="C34" s="3"/>
      <c r="D34" s="17"/>
      <c r="E34" s="17"/>
      <c r="F34" s="17"/>
      <c r="G34" s="17"/>
      <c r="H34" s="17"/>
      <c r="I34" s="3"/>
      <c r="J34" s="4"/>
      <c r="K34" s="4"/>
      <c r="L34" s="1"/>
    </row>
    <row r="35" spans="1:12" ht="15.75" x14ac:dyDescent="0.25">
      <c r="A35" s="6"/>
      <c r="B35" s="3"/>
      <c r="C35" s="3"/>
      <c r="D35" s="17"/>
      <c r="E35" s="17"/>
      <c r="F35" s="17"/>
      <c r="G35" s="17"/>
      <c r="H35" s="17"/>
      <c r="I35" s="3"/>
      <c r="J35" s="4"/>
      <c r="K35" s="4"/>
      <c r="L35" s="1"/>
    </row>
    <row r="36" spans="1:12" ht="15.75" x14ac:dyDescent="0.25">
      <c r="A36" s="6" t="s">
        <v>21</v>
      </c>
      <c r="B36" s="3"/>
      <c r="C36" s="3"/>
      <c r="D36" s="17"/>
      <c r="E36" s="17"/>
      <c r="F36" s="17"/>
      <c r="G36" s="17"/>
      <c r="H36" s="17"/>
      <c r="I36" s="3"/>
      <c r="J36" s="4"/>
      <c r="K36" s="4"/>
      <c r="L36" s="22"/>
    </row>
    <row r="37" spans="1:12" ht="15.75" x14ac:dyDescent="0.25">
      <c r="A37" s="18" t="s">
        <v>22</v>
      </c>
      <c r="B37" s="19"/>
      <c r="C37" s="19"/>
      <c r="D37" s="19"/>
      <c r="E37" s="19"/>
      <c r="F37" s="248">
        <f>IF(ISERROR(E33), 0, E33)</f>
        <v>-1459700</v>
      </c>
      <c r="G37" s="3"/>
      <c r="H37" s="20" t="s">
        <v>23</v>
      </c>
      <c r="I37" s="21">
        <v>5.45E-2</v>
      </c>
      <c r="J37" s="23"/>
      <c r="K37" s="4"/>
      <c r="L37" s="22"/>
    </row>
    <row r="38" spans="1:12" ht="26.25" x14ac:dyDescent="0.25">
      <c r="A38" s="18" t="s">
        <v>24</v>
      </c>
      <c r="B38" s="19"/>
      <c r="C38" s="19"/>
      <c r="D38" s="19"/>
      <c r="E38" s="19"/>
      <c r="F38" s="248">
        <f>E33*I37*I38</f>
        <v>-397768.25</v>
      </c>
      <c r="G38" s="850" t="s">
        <v>25</v>
      </c>
      <c r="H38" s="850"/>
      <c r="I38" s="851">
        <v>5</v>
      </c>
      <c r="J38" s="4"/>
      <c r="K38" s="4"/>
      <c r="L38" s="1"/>
    </row>
    <row r="39" spans="1:12" ht="15.75" x14ac:dyDescent="0.25">
      <c r="A39" s="24" t="s">
        <v>26</v>
      </c>
      <c r="B39" s="25"/>
      <c r="C39" s="25"/>
      <c r="D39" s="25"/>
      <c r="E39" s="25"/>
      <c r="F39" s="249">
        <f>F37+F38</f>
        <v>-1857468.25</v>
      </c>
      <c r="G39" s="850"/>
      <c r="H39" s="850"/>
      <c r="I39" s="852"/>
      <c r="J39" s="4"/>
      <c r="K39" s="4"/>
      <c r="L39" s="1"/>
    </row>
    <row r="40" spans="1:12" ht="15.75" x14ac:dyDescent="0.25">
      <c r="A40" s="6"/>
      <c r="B40" s="3"/>
      <c r="C40" s="3"/>
      <c r="D40" s="3"/>
      <c r="E40" s="3"/>
      <c r="F40" s="3"/>
      <c r="G40" s="3"/>
      <c r="H40" s="3"/>
      <c r="I40" s="3"/>
      <c r="J40" s="4"/>
      <c r="K40" s="4"/>
      <c r="L40" s="1"/>
    </row>
    <row r="41" spans="1:12" ht="29.25" customHeight="1" x14ac:dyDescent="0.25">
      <c r="A41" s="6" t="s">
        <v>27</v>
      </c>
      <c r="B41" s="3"/>
      <c r="C41" s="3"/>
      <c r="D41" s="3"/>
      <c r="E41" s="3"/>
      <c r="F41" s="3"/>
      <c r="G41" s="3"/>
      <c r="H41" s="3"/>
      <c r="I41" s="3"/>
      <c r="J41" s="259"/>
      <c r="K41" s="4"/>
      <c r="L41" s="1"/>
    </row>
    <row r="42" spans="1:12" ht="51.75" x14ac:dyDescent="0.25">
      <c r="A42" s="259" t="s">
        <v>28</v>
      </c>
      <c r="B42" s="259"/>
      <c r="C42" s="259"/>
      <c r="D42" s="259"/>
      <c r="E42" s="259"/>
      <c r="F42" s="259"/>
      <c r="G42" s="259"/>
      <c r="H42" s="259"/>
      <c r="I42" s="259"/>
      <c r="J42" s="4"/>
      <c r="K42" s="4"/>
      <c r="L42" s="1"/>
    </row>
    <row r="43" spans="1:12" ht="15.75" x14ac:dyDescent="0.25">
      <c r="A43" s="3" t="s">
        <v>29</v>
      </c>
      <c r="B43" s="3"/>
      <c r="C43" s="3"/>
      <c r="D43" s="3"/>
      <c r="E43" s="3"/>
      <c r="F43" s="3"/>
      <c r="G43" s="3"/>
      <c r="H43" s="3"/>
      <c r="I43" s="3"/>
      <c r="J43" s="4"/>
      <c r="K43" s="4"/>
      <c r="L43" s="1"/>
    </row>
    <row r="44" spans="1:12" ht="15.75" x14ac:dyDescent="0.25">
      <c r="A44" s="3" t="s">
        <v>30</v>
      </c>
      <c r="B44" s="3"/>
      <c r="C44" s="3"/>
      <c r="D44" s="3"/>
      <c r="E44" s="3"/>
      <c r="F44" s="3"/>
      <c r="G44" s="3"/>
      <c r="H44" s="3"/>
      <c r="I44" s="3"/>
      <c r="J44" s="4"/>
      <c r="K44" s="4"/>
      <c r="L44" s="1"/>
    </row>
    <row r="45" spans="1:12" ht="15.75" x14ac:dyDescent="0.25">
      <c r="A45" s="3" t="s">
        <v>31</v>
      </c>
      <c r="B45" s="3"/>
      <c r="C45" s="3"/>
      <c r="D45" s="3"/>
      <c r="E45" s="3"/>
      <c r="F45" s="3"/>
      <c r="G45" s="3"/>
      <c r="H45" s="3"/>
      <c r="I45" s="3"/>
      <c r="J45" s="4"/>
      <c r="K45" s="4"/>
      <c r="L45" s="1"/>
    </row>
    <row r="46" spans="1:12" ht="15.75" x14ac:dyDescent="0.25">
      <c r="A46" s="853" t="s">
        <v>32</v>
      </c>
      <c r="B46" s="853"/>
      <c r="C46" s="853"/>
      <c r="D46" s="853"/>
      <c r="E46" s="853"/>
      <c r="F46" s="853"/>
      <c r="G46" s="853"/>
      <c r="H46" s="853"/>
      <c r="I46" s="3"/>
      <c r="J46" s="4"/>
      <c r="K46" s="4"/>
      <c r="L46" s="1"/>
    </row>
    <row r="47" spans="1:12" x14ac:dyDescent="0.2">
      <c r="A47" s="3" t="s">
        <v>33</v>
      </c>
      <c r="B47" s="4"/>
      <c r="C47" s="4"/>
      <c r="D47" s="4"/>
      <c r="E47" s="4"/>
      <c r="F47" s="4"/>
      <c r="G47" s="4"/>
      <c r="H47" s="4"/>
      <c r="I47" s="26"/>
    </row>
  </sheetData>
  <mergeCells count="7">
    <mergeCell ref="G38:H39"/>
    <mergeCell ref="I38:I39"/>
    <mergeCell ref="A46:H46"/>
    <mergeCell ref="A9:I9"/>
    <mergeCell ref="A10:I10"/>
    <mergeCell ref="A11:I11"/>
    <mergeCell ref="A15:I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opLeftCell="A52" workbookViewId="0">
      <selection activeCell="L76" sqref="L76"/>
    </sheetView>
  </sheetViews>
  <sheetFormatPr defaultRowHeight="15" x14ac:dyDescent="0.2"/>
  <cols>
    <col min="1" max="1" width="19.77734375" customWidth="1"/>
    <col min="2" max="2" width="14.109375" customWidth="1"/>
    <col min="3" max="6" width="13" customWidth="1"/>
  </cols>
  <sheetData>
    <row r="1" spans="1:6" x14ac:dyDescent="0.2">
      <c r="E1" s="260" t="s">
        <v>106</v>
      </c>
      <c r="F1" s="181" t="str">
        <f>EBNUMBER</f>
        <v>EB-2013-0134</v>
      </c>
    </row>
    <row r="2" spans="1:6" x14ac:dyDescent="0.2">
      <c r="E2" s="260" t="s">
        <v>107</v>
      </c>
      <c r="F2" s="54">
        <v>3</v>
      </c>
    </row>
    <row r="3" spans="1:6" x14ac:dyDescent="0.2">
      <c r="E3" s="260" t="s">
        <v>108</v>
      </c>
      <c r="F3" s="54">
        <v>2</v>
      </c>
    </row>
    <row r="4" spans="1:6" x14ac:dyDescent="0.2">
      <c r="E4" s="260" t="s">
        <v>109</v>
      </c>
      <c r="F4" s="54">
        <v>2</v>
      </c>
    </row>
    <row r="5" spans="1:6" x14ac:dyDescent="0.2">
      <c r="E5" s="260" t="s">
        <v>110</v>
      </c>
      <c r="F5" s="55" t="s">
        <v>289</v>
      </c>
    </row>
    <row r="6" spans="1:6" x14ac:dyDescent="0.2">
      <c r="E6" s="260"/>
      <c r="F6" s="53"/>
    </row>
    <row r="7" spans="1:6" x14ac:dyDescent="0.2">
      <c r="E7" s="260" t="s">
        <v>112</v>
      </c>
      <c r="F7" s="56">
        <v>41702</v>
      </c>
    </row>
    <row r="9" spans="1:6" ht="18" x14ac:dyDescent="0.25">
      <c r="A9" s="886" t="s">
        <v>290</v>
      </c>
      <c r="B9" s="886"/>
      <c r="C9" s="886"/>
      <c r="D9" s="886"/>
      <c r="E9" s="886"/>
      <c r="F9" s="886"/>
    </row>
    <row r="10" spans="1:6" ht="18" x14ac:dyDescent="0.25">
      <c r="A10" s="887" t="s">
        <v>291</v>
      </c>
      <c r="B10" s="887"/>
      <c r="C10" s="887"/>
      <c r="D10" s="887"/>
      <c r="E10" s="887"/>
      <c r="F10" s="887"/>
    </row>
    <row r="11" spans="1:6" x14ac:dyDescent="0.2">
      <c r="A11" s="261"/>
      <c r="B11" s="261"/>
      <c r="C11" s="261"/>
      <c r="D11" s="261"/>
      <c r="E11" s="261"/>
      <c r="F11" s="261"/>
    </row>
    <row r="12" spans="1:6" ht="15.75" x14ac:dyDescent="0.25">
      <c r="A12" s="262" t="s">
        <v>292</v>
      </c>
      <c r="B12" s="262"/>
      <c r="C12" s="262"/>
      <c r="D12" s="262"/>
      <c r="E12" s="262"/>
      <c r="F12" s="262"/>
    </row>
    <row r="13" spans="1:6" ht="15.75" x14ac:dyDescent="0.25">
      <c r="A13" s="262"/>
      <c r="B13" s="262"/>
      <c r="C13" s="262"/>
      <c r="D13" s="262"/>
      <c r="E13" s="262"/>
      <c r="F13" s="262"/>
    </row>
    <row r="14" spans="1:6" x14ac:dyDescent="0.2">
      <c r="A14" s="888" t="s">
        <v>293</v>
      </c>
      <c r="B14" s="889"/>
      <c r="C14" s="889"/>
      <c r="D14" s="889"/>
      <c r="E14" s="889"/>
      <c r="F14" s="889"/>
    </row>
    <row r="15" spans="1:6" ht="15.75" x14ac:dyDescent="0.25">
      <c r="A15" s="262"/>
      <c r="B15" s="262"/>
      <c r="C15" s="262"/>
      <c r="D15" s="262"/>
      <c r="E15" s="262"/>
      <c r="F15" s="262"/>
    </row>
    <row r="16" spans="1:6" x14ac:dyDescent="0.2">
      <c r="A16" s="888" t="s">
        <v>294</v>
      </c>
      <c r="B16" s="889"/>
      <c r="C16" s="889"/>
      <c r="D16" s="889"/>
      <c r="E16" s="889"/>
      <c r="F16" s="889"/>
    </row>
    <row r="17" spans="1:6" x14ac:dyDescent="0.2">
      <c r="A17" s="263"/>
      <c r="B17" s="264"/>
      <c r="C17" s="264"/>
      <c r="D17" s="264"/>
      <c r="E17" s="264"/>
      <c r="F17" s="264"/>
    </row>
    <row r="18" spans="1:6" x14ac:dyDescent="0.2">
      <c r="A18" s="888" t="s">
        <v>295</v>
      </c>
      <c r="B18" s="889"/>
      <c r="C18" s="889"/>
      <c r="D18" s="889"/>
      <c r="E18" s="889"/>
      <c r="F18" s="889"/>
    </row>
    <row r="19" spans="1:6" ht="15.75" thickBot="1" x14ac:dyDescent="0.25">
      <c r="A19" s="263"/>
      <c r="B19" s="264"/>
      <c r="C19" s="264"/>
      <c r="D19" s="264"/>
      <c r="E19" s="264"/>
      <c r="F19" s="264"/>
    </row>
    <row r="20" spans="1:6" ht="15.75" x14ac:dyDescent="0.25">
      <c r="A20" s="881" t="s">
        <v>296</v>
      </c>
      <c r="B20" s="882"/>
      <c r="C20" s="882"/>
      <c r="D20" s="882"/>
      <c r="E20" s="882"/>
      <c r="F20" s="883"/>
    </row>
    <row r="21" spans="1:6" ht="15.75" x14ac:dyDescent="0.25">
      <c r="A21" s="874">
        <v>13300000</v>
      </c>
      <c r="B21" s="875"/>
      <c r="C21" s="875"/>
      <c r="D21" s="875"/>
      <c r="E21" s="875"/>
      <c r="F21" s="876"/>
    </row>
    <row r="22" spans="1:6" ht="15.75" x14ac:dyDescent="0.25">
      <c r="A22" s="265"/>
      <c r="B22" s="266">
        <v>2011</v>
      </c>
      <c r="C22" s="266">
        <v>2012</v>
      </c>
      <c r="D22" s="266">
        <v>2013</v>
      </c>
      <c r="E22" s="266">
        <v>2014</v>
      </c>
      <c r="F22" s="267" t="s">
        <v>102</v>
      </c>
    </row>
    <row r="23" spans="1:6" ht="15.75" x14ac:dyDescent="0.25">
      <c r="A23" s="268" t="s">
        <v>297</v>
      </c>
      <c r="B23" s="269">
        <f>B29/$F$33</f>
        <v>0.11719556390977444</v>
      </c>
      <c r="C23" s="269">
        <f t="shared" ref="C23:E26" si="0">C29/$F$33</f>
        <v>0.11710255639097744</v>
      </c>
      <c r="D23" s="269">
        <f t="shared" si="0"/>
        <v>0.11710255639097744</v>
      </c>
      <c r="E23" s="270">
        <f t="shared" si="0"/>
        <v>0.11396150375939849</v>
      </c>
      <c r="F23" s="271">
        <f>SUM(B23:E23)</f>
        <v>0.46536218045112782</v>
      </c>
    </row>
    <row r="24" spans="1:6" ht="15.75" x14ac:dyDescent="0.25">
      <c r="A24" s="268" t="s">
        <v>298</v>
      </c>
      <c r="B24" s="272"/>
      <c r="C24" s="269">
        <f t="shared" si="0"/>
        <v>7.6111578947368419E-2</v>
      </c>
      <c r="D24" s="269">
        <f t="shared" si="0"/>
        <v>7.587330827067669E-2</v>
      </c>
      <c r="E24" s="270">
        <f t="shared" si="0"/>
        <v>7.587323308270677E-2</v>
      </c>
      <c r="F24" s="271">
        <f t="shared" ref="F24:F26" si="1">SUM(B24:E24)</f>
        <v>0.22785812030075187</v>
      </c>
    </row>
    <row r="25" spans="1:6" ht="15.75" x14ac:dyDescent="0.25">
      <c r="A25" s="268" t="s">
        <v>299</v>
      </c>
      <c r="B25" s="272"/>
      <c r="C25" s="272"/>
      <c r="D25" s="269">
        <f t="shared" si="0"/>
        <v>0.10225989974937344</v>
      </c>
      <c r="E25" s="270">
        <f t="shared" si="0"/>
        <v>0.10225989974937344</v>
      </c>
      <c r="F25" s="271">
        <f t="shared" si="1"/>
        <v>0.20451979949874688</v>
      </c>
    </row>
    <row r="26" spans="1:6" ht="16.5" thickBot="1" x14ac:dyDescent="0.3">
      <c r="A26" s="273" t="s">
        <v>300</v>
      </c>
      <c r="B26" s="274"/>
      <c r="C26" s="274"/>
      <c r="D26" s="274"/>
      <c r="E26" s="275">
        <f t="shared" si="0"/>
        <v>0.10225989974937344</v>
      </c>
      <c r="F26" s="276">
        <f t="shared" si="1"/>
        <v>0.10225989974937344</v>
      </c>
    </row>
    <row r="27" spans="1:6" ht="16.5" thickTop="1" x14ac:dyDescent="0.25">
      <c r="A27" s="277" t="s">
        <v>301</v>
      </c>
      <c r="B27" s="278">
        <f>SUM(B23:B26)</f>
        <v>0.11719556390977444</v>
      </c>
      <c r="C27" s="278">
        <f t="shared" ref="C27:E27" si="2">SUM(C23:C26)</f>
        <v>0.19321413533834586</v>
      </c>
      <c r="D27" s="278">
        <f t="shared" si="2"/>
        <v>0.29523576441102756</v>
      </c>
      <c r="E27" s="279">
        <f t="shared" si="2"/>
        <v>0.39435453634085216</v>
      </c>
      <c r="F27" s="280">
        <f>SUM(B27:E27)</f>
        <v>1</v>
      </c>
    </row>
    <row r="28" spans="1:6" x14ac:dyDescent="0.2">
      <c r="A28" s="877" t="s">
        <v>302</v>
      </c>
      <c r="B28" s="878"/>
      <c r="C28" s="878"/>
      <c r="D28" s="878"/>
      <c r="E28" s="878"/>
      <c r="F28" s="879"/>
    </row>
    <row r="29" spans="1:6" ht="15.75" x14ac:dyDescent="0.25">
      <c r="A29" s="268" t="s">
        <v>297</v>
      </c>
      <c r="B29" s="332">
        <v>1558701</v>
      </c>
      <c r="C29" s="332">
        <v>1557464</v>
      </c>
      <c r="D29" s="332">
        <v>1557464</v>
      </c>
      <c r="E29" s="333">
        <v>1515688</v>
      </c>
      <c r="F29" s="334">
        <f>SUM(B29:E29)</f>
        <v>6189317</v>
      </c>
    </row>
    <row r="30" spans="1:6" ht="15.75" x14ac:dyDescent="0.25">
      <c r="A30" s="268" t="s">
        <v>298</v>
      </c>
      <c r="B30" s="335"/>
      <c r="C30" s="336">
        <v>1012284</v>
      </c>
      <c r="D30" s="336">
        <v>1009115</v>
      </c>
      <c r="E30" s="337">
        <v>1009114</v>
      </c>
      <c r="F30" s="334">
        <f t="shared" ref="F30:F32" si="3">SUM(B30:E30)</f>
        <v>3030513</v>
      </c>
    </row>
    <row r="31" spans="1:6" ht="15.75" x14ac:dyDescent="0.25">
      <c r="A31" s="268" t="s">
        <v>299</v>
      </c>
      <c r="B31" s="335"/>
      <c r="C31" s="335"/>
      <c r="D31" s="335">
        <f>(A21-SUM(F29:F30))/3</f>
        <v>1360056.6666666667</v>
      </c>
      <c r="E31" s="338">
        <f>D31</f>
        <v>1360056.6666666667</v>
      </c>
      <c r="F31" s="334">
        <f t="shared" si="3"/>
        <v>2720113.3333333335</v>
      </c>
    </row>
    <row r="32" spans="1:6" ht="16.5" thickBot="1" x14ac:dyDescent="0.3">
      <c r="A32" s="273" t="s">
        <v>300</v>
      </c>
      <c r="B32" s="339"/>
      <c r="C32" s="339"/>
      <c r="D32" s="339"/>
      <c r="E32" s="340">
        <f>D31</f>
        <v>1360056.6666666667</v>
      </c>
      <c r="F32" s="341">
        <f t="shared" si="3"/>
        <v>1360056.6666666667</v>
      </c>
    </row>
    <row r="33" spans="1:6" ht="17.25" thickTop="1" thickBot="1" x14ac:dyDescent="0.3">
      <c r="A33" s="281" t="s">
        <v>301</v>
      </c>
      <c r="B33" s="342">
        <f>SUM(B29:B32)</f>
        <v>1558701</v>
      </c>
      <c r="C33" s="342">
        <f t="shared" ref="C33:E33" si="4">SUM(C29:C32)</f>
        <v>2569748</v>
      </c>
      <c r="D33" s="342">
        <f t="shared" si="4"/>
        <v>3926635.666666667</v>
      </c>
      <c r="E33" s="343">
        <f t="shared" si="4"/>
        <v>5244915.333333334</v>
      </c>
      <c r="F33" s="344">
        <f>A21</f>
        <v>13300000</v>
      </c>
    </row>
    <row r="34" spans="1:6" ht="15.75" x14ac:dyDescent="0.25">
      <c r="A34" s="282"/>
      <c r="B34" s="345"/>
      <c r="C34" s="345"/>
      <c r="D34" s="345"/>
      <c r="E34" s="345"/>
      <c r="F34" s="345"/>
    </row>
    <row r="35" spans="1:6" ht="15.75" x14ac:dyDescent="0.25">
      <c r="A35" s="262"/>
      <c r="B35" s="262"/>
      <c r="C35" s="262"/>
      <c r="D35" s="262"/>
      <c r="E35" s="283" t="s">
        <v>303</v>
      </c>
      <c r="F35" s="284">
        <f>SUM(F29:F32)</f>
        <v>13300000</v>
      </c>
    </row>
    <row r="36" spans="1:6" x14ac:dyDescent="0.2">
      <c r="A36" s="869" t="s">
        <v>304</v>
      </c>
      <c r="B36" s="859"/>
      <c r="C36" s="859"/>
      <c r="D36" s="859"/>
      <c r="E36" s="859"/>
      <c r="F36" s="859"/>
    </row>
    <row r="37" spans="1:6" x14ac:dyDescent="0.2">
      <c r="A37" s="880" t="s">
        <v>305</v>
      </c>
      <c r="B37" s="880"/>
      <c r="C37" s="880"/>
      <c r="D37" s="880"/>
      <c r="E37" s="880"/>
      <c r="F37" s="880"/>
    </row>
    <row r="38" spans="1:6" ht="15.75" thickBot="1" x14ac:dyDescent="0.25">
      <c r="A38" s="285"/>
      <c r="B38" s="286"/>
      <c r="C38" s="286"/>
      <c r="D38" s="286"/>
      <c r="E38" s="286"/>
      <c r="F38" s="286"/>
    </row>
    <row r="39" spans="1:6" ht="15.75" x14ac:dyDescent="0.25">
      <c r="A39" s="881" t="s">
        <v>306</v>
      </c>
      <c r="B39" s="882"/>
      <c r="C39" s="882"/>
      <c r="D39" s="882"/>
      <c r="E39" s="882"/>
      <c r="F39" s="883"/>
    </row>
    <row r="40" spans="1:6" ht="15.75" x14ac:dyDescent="0.25">
      <c r="A40" s="287"/>
      <c r="B40" s="288"/>
      <c r="C40" s="288"/>
      <c r="D40" s="288"/>
      <c r="E40" s="288"/>
      <c r="F40" s="289"/>
    </row>
    <row r="41" spans="1:6" ht="15.75" x14ac:dyDescent="0.25">
      <c r="A41" s="884" t="s">
        <v>307</v>
      </c>
      <c r="B41" s="885"/>
      <c r="C41" s="885"/>
      <c r="D41" s="885"/>
      <c r="E41" s="885"/>
      <c r="F41" s="290" t="s">
        <v>308</v>
      </c>
    </row>
    <row r="42" spans="1:6" ht="15.75" x14ac:dyDescent="0.25">
      <c r="A42" s="287"/>
      <c r="B42" s="288"/>
      <c r="C42" s="288"/>
      <c r="D42" s="288"/>
      <c r="E42" s="288"/>
      <c r="F42" s="289"/>
    </row>
    <row r="43" spans="1:6" ht="45" x14ac:dyDescent="0.25">
      <c r="A43" s="291"/>
      <c r="B43" s="292"/>
      <c r="C43" s="288" t="s">
        <v>309</v>
      </c>
      <c r="D43" s="288" t="s">
        <v>310</v>
      </c>
      <c r="E43" s="288" t="s">
        <v>311</v>
      </c>
      <c r="F43" s="293" t="s">
        <v>312</v>
      </c>
    </row>
    <row r="44" spans="1:6" x14ac:dyDescent="0.2">
      <c r="A44" s="865" t="s">
        <v>313</v>
      </c>
      <c r="B44" s="866"/>
      <c r="C44" s="294" t="s">
        <v>302</v>
      </c>
      <c r="D44" s="294" t="s">
        <v>302</v>
      </c>
      <c r="E44" s="294" t="s">
        <v>302</v>
      </c>
      <c r="F44" s="295" t="s">
        <v>314</v>
      </c>
    </row>
    <row r="45" spans="1:6" x14ac:dyDescent="0.2">
      <c r="A45" s="296" t="s">
        <v>315</v>
      </c>
      <c r="B45" s="297"/>
      <c r="C45" s="298">
        <v>10125000</v>
      </c>
      <c r="D45" s="298">
        <v>6135000</v>
      </c>
      <c r="E45" s="299"/>
      <c r="F45" s="300"/>
    </row>
    <row r="46" spans="1:6" x14ac:dyDescent="0.2">
      <c r="A46" s="296" t="s">
        <v>316</v>
      </c>
      <c r="B46" s="297"/>
      <c r="C46" s="301" t="s">
        <v>317</v>
      </c>
      <c r="D46" s="301">
        <v>1515688</v>
      </c>
      <c r="E46" s="299"/>
      <c r="F46" s="300"/>
    </row>
    <row r="47" spans="1:6" ht="15.75" thickBot="1" x14ac:dyDescent="0.25">
      <c r="A47" s="302" t="s">
        <v>318</v>
      </c>
      <c r="B47" s="303"/>
      <c r="C47" s="304" t="s">
        <v>317</v>
      </c>
      <c r="D47" s="304">
        <v>1009114</v>
      </c>
      <c r="E47" s="299"/>
      <c r="F47" s="300"/>
    </row>
    <row r="48" spans="1:6" ht="17.25" thickTop="1" thickBot="1" x14ac:dyDescent="0.3">
      <c r="A48" s="867" t="s">
        <v>319</v>
      </c>
      <c r="B48" s="868"/>
      <c r="C48" s="305">
        <f>SUM(C45:C47)</f>
        <v>10125000</v>
      </c>
      <c r="D48" s="305">
        <f>SUM(D45:D47)</f>
        <v>8659802</v>
      </c>
      <c r="E48" s="306">
        <f>C48-D48</f>
        <v>1465198</v>
      </c>
      <c r="F48" s="307">
        <f>IF(D48=0,0,IF(F41="net",0,E48/D48))</f>
        <v>0</v>
      </c>
    </row>
    <row r="49" spans="1:6" ht="15.75" x14ac:dyDescent="0.25">
      <c r="A49" s="308"/>
      <c r="B49" s="308"/>
      <c r="C49" s="309"/>
      <c r="D49" s="309"/>
      <c r="E49" s="272"/>
      <c r="F49" s="310"/>
    </row>
    <row r="50" spans="1:6" x14ac:dyDescent="0.2">
      <c r="A50" s="869" t="s">
        <v>320</v>
      </c>
      <c r="B50" s="859"/>
      <c r="C50" s="859"/>
      <c r="D50" s="859"/>
      <c r="E50" s="859"/>
      <c r="F50" s="859"/>
    </row>
    <row r="51" spans="1:6" x14ac:dyDescent="0.2">
      <c r="A51" s="869" t="s">
        <v>321</v>
      </c>
      <c r="B51" s="859"/>
      <c r="C51" s="859"/>
      <c r="D51" s="859"/>
      <c r="E51" s="859"/>
      <c r="F51" s="859"/>
    </row>
    <row r="52" spans="1:6" ht="16.5" thickBot="1" x14ac:dyDescent="0.3">
      <c r="A52" s="308"/>
      <c r="B52" s="311"/>
      <c r="C52" s="309"/>
      <c r="D52" s="309"/>
      <c r="E52" s="309"/>
      <c r="F52" s="310"/>
    </row>
    <row r="53" spans="1:6" x14ac:dyDescent="0.2">
      <c r="A53" s="870" t="s">
        <v>322</v>
      </c>
      <c r="B53" s="871"/>
      <c r="C53" s="871"/>
      <c r="D53" s="871"/>
      <c r="E53" s="871"/>
      <c r="F53" s="872"/>
    </row>
    <row r="54" spans="1:6" x14ac:dyDescent="0.2">
      <c r="A54" s="312"/>
      <c r="B54" s="313">
        <v>2011</v>
      </c>
      <c r="C54" s="313">
        <v>2012</v>
      </c>
      <c r="D54" s="313">
        <v>2013</v>
      </c>
      <c r="E54" s="313">
        <v>2014</v>
      </c>
      <c r="F54" s="314"/>
    </row>
    <row r="55" spans="1:6" ht="60" x14ac:dyDescent="0.2">
      <c r="A55" s="315" t="s">
        <v>323</v>
      </c>
      <c r="B55" s="316">
        <v>0</v>
      </c>
      <c r="C55" s="316">
        <v>0</v>
      </c>
      <c r="D55" s="316">
        <v>1</v>
      </c>
      <c r="E55" s="316">
        <v>0.5</v>
      </c>
      <c r="F55" s="317" t="s">
        <v>324</v>
      </c>
    </row>
    <row r="56" spans="1:6" ht="135.75" thickBot="1" x14ac:dyDescent="0.25">
      <c r="A56" s="318" t="s">
        <v>325</v>
      </c>
      <c r="B56" s="319" t="s">
        <v>326</v>
      </c>
      <c r="C56" s="319" t="s">
        <v>327</v>
      </c>
      <c r="D56" s="319" t="s">
        <v>328</v>
      </c>
      <c r="E56" s="319" t="s">
        <v>329</v>
      </c>
      <c r="F56" s="307"/>
    </row>
    <row r="57" spans="1:6" x14ac:dyDescent="0.2">
      <c r="A57" s="308"/>
      <c r="B57" s="320"/>
      <c r="C57" s="320"/>
      <c r="D57" s="320"/>
      <c r="E57" s="320"/>
      <c r="F57" s="310"/>
    </row>
    <row r="58" spans="1:6" x14ac:dyDescent="0.2">
      <c r="A58" s="321"/>
      <c r="B58" s="320"/>
      <c r="C58" s="320"/>
      <c r="D58" s="320"/>
      <c r="E58" s="320"/>
      <c r="F58" s="310"/>
    </row>
    <row r="59" spans="1:6" x14ac:dyDescent="0.2">
      <c r="A59" s="873" t="s">
        <v>330</v>
      </c>
      <c r="B59" s="873"/>
      <c r="C59" s="873"/>
      <c r="D59" s="873"/>
      <c r="E59" s="873"/>
      <c r="F59" s="873"/>
    </row>
    <row r="60" spans="1:6" ht="15.75" x14ac:dyDescent="0.25">
      <c r="A60" s="262"/>
      <c r="B60" s="262"/>
      <c r="C60" s="262"/>
      <c r="D60" s="262"/>
      <c r="E60" s="262"/>
      <c r="F60" s="262"/>
    </row>
    <row r="61" spans="1:6" ht="15.75" x14ac:dyDescent="0.25">
      <c r="A61" s="322" t="s">
        <v>331</v>
      </c>
      <c r="B61" s="262"/>
      <c r="C61" s="262"/>
      <c r="D61" s="262"/>
      <c r="E61" s="262"/>
      <c r="F61" s="262"/>
    </row>
    <row r="62" spans="1:6" ht="15.75" x14ac:dyDescent="0.25">
      <c r="A62" s="262"/>
      <c r="B62" s="262"/>
      <c r="C62" s="262"/>
      <c r="D62" s="262"/>
      <c r="E62" s="262"/>
      <c r="F62" s="262"/>
    </row>
    <row r="63" spans="1:6" x14ac:dyDescent="0.2">
      <c r="A63" s="859" t="s">
        <v>332</v>
      </c>
      <c r="B63" s="859"/>
      <c r="C63" s="859"/>
      <c r="D63" s="859"/>
      <c r="E63" s="859"/>
      <c r="F63" s="859"/>
    </row>
    <row r="64" spans="1:6" ht="15.75" x14ac:dyDescent="0.25">
      <c r="A64" s="262"/>
      <c r="B64" s="262"/>
      <c r="C64" s="262"/>
      <c r="D64" s="262"/>
      <c r="E64" s="262"/>
      <c r="F64" s="262"/>
    </row>
    <row r="65" spans="1:6" x14ac:dyDescent="0.2">
      <c r="A65" s="859" t="s">
        <v>333</v>
      </c>
      <c r="B65" s="859"/>
      <c r="C65" s="859"/>
      <c r="D65" s="859"/>
      <c r="E65" s="859"/>
      <c r="F65" s="859"/>
    </row>
    <row r="66" spans="1:6" ht="15.75" x14ac:dyDescent="0.25">
      <c r="A66" s="262"/>
      <c r="B66" s="262"/>
      <c r="C66" s="262"/>
      <c r="D66" s="262"/>
      <c r="E66" s="262"/>
      <c r="F66" s="262"/>
    </row>
    <row r="67" spans="1:6" x14ac:dyDescent="0.2">
      <c r="A67" s="859" t="s">
        <v>334</v>
      </c>
      <c r="B67" s="859"/>
      <c r="C67" s="859"/>
      <c r="D67" s="859"/>
      <c r="E67" s="859"/>
      <c r="F67" s="859"/>
    </row>
    <row r="68" spans="1:6" ht="16.5" thickBot="1" x14ac:dyDescent="0.3">
      <c r="A68" s="308"/>
      <c r="B68" s="311"/>
      <c r="C68" s="309"/>
      <c r="D68" s="309"/>
      <c r="E68" s="309"/>
      <c r="F68" s="310"/>
    </row>
    <row r="69" spans="1:6" ht="15.75" x14ac:dyDescent="0.25">
      <c r="A69" s="323"/>
      <c r="B69" s="324">
        <v>2011</v>
      </c>
      <c r="C69" s="324">
        <v>2012</v>
      </c>
      <c r="D69" s="324">
        <v>2013</v>
      </c>
      <c r="E69" s="324">
        <v>2014</v>
      </c>
      <c r="F69" s="325" t="s">
        <v>335</v>
      </c>
    </row>
    <row r="70" spans="1:6" ht="15.75" x14ac:dyDescent="0.25">
      <c r="A70" s="268"/>
      <c r="B70" s="860" t="s">
        <v>302</v>
      </c>
      <c r="C70" s="860"/>
      <c r="D70" s="860"/>
      <c r="E70" s="860"/>
      <c r="F70" s="861"/>
    </row>
    <row r="71" spans="1:6" ht="45" x14ac:dyDescent="0.25">
      <c r="A71" s="326" t="s">
        <v>336</v>
      </c>
      <c r="B71" s="327">
        <f>E29</f>
        <v>1515688</v>
      </c>
      <c r="C71" s="327">
        <f>E30</f>
        <v>1009114</v>
      </c>
      <c r="D71" s="327">
        <f>E31</f>
        <v>1360056.6666666667</v>
      </c>
      <c r="E71" s="327">
        <f>E32</f>
        <v>1360056.6666666667</v>
      </c>
      <c r="F71" s="328">
        <f>SUM(B71:E71)</f>
        <v>5244915.333333334</v>
      </c>
    </row>
    <row r="72" spans="1:6" ht="15.75" x14ac:dyDescent="0.25">
      <c r="A72" s="268"/>
      <c r="B72" s="329"/>
      <c r="C72" s="329"/>
      <c r="D72" s="329"/>
      <c r="E72" s="329"/>
      <c r="F72" s="330"/>
    </row>
    <row r="73" spans="1:6" ht="45" x14ac:dyDescent="0.25">
      <c r="A73" s="326" t="s">
        <v>337</v>
      </c>
      <c r="B73" s="346">
        <f>B71*(1+F48)*B55</f>
        <v>0</v>
      </c>
      <c r="C73" s="346">
        <f>ROUND(C71*(1+F48)*C55,0)</f>
        <v>0</v>
      </c>
      <c r="D73" s="346">
        <f>ROUND(D71*(1+F48)*D55,0)</f>
        <v>1360057</v>
      </c>
      <c r="E73" s="346">
        <f>ROUND(E71*(1+F48)*E55,0)</f>
        <v>680028</v>
      </c>
      <c r="F73" s="347">
        <f>SUM(B73:E73)</f>
        <v>2040085</v>
      </c>
    </row>
    <row r="74" spans="1:6" ht="15.75" x14ac:dyDescent="0.25">
      <c r="A74" s="326"/>
      <c r="B74" s="346"/>
      <c r="C74" s="346"/>
      <c r="D74" s="346"/>
      <c r="E74" s="346"/>
      <c r="F74" s="347"/>
    </row>
    <row r="75" spans="1:6" ht="15.75" x14ac:dyDescent="0.25">
      <c r="A75" s="326" t="s">
        <v>338</v>
      </c>
      <c r="B75" s="331">
        <v>1.0663000000000001E-2</v>
      </c>
      <c r="C75" s="346" t="s">
        <v>339</v>
      </c>
      <c r="D75" s="348"/>
      <c r="E75" s="346"/>
      <c r="F75" s="347"/>
    </row>
    <row r="76" spans="1:6" ht="45" x14ac:dyDescent="0.25">
      <c r="A76" s="326" t="s">
        <v>340</v>
      </c>
      <c r="B76" s="346">
        <f>B73*(1+$B75)</f>
        <v>0</v>
      </c>
      <c r="C76" s="346">
        <f t="shared" ref="C76:E76" si="5">C73*(1+$B75)</f>
        <v>0</v>
      </c>
      <c r="D76" s="346">
        <f t="shared" si="5"/>
        <v>1374559.2877910002</v>
      </c>
      <c r="E76" s="346">
        <f t="shared" si="5"/>
        <v>687279.13856400002</v>
      </c>
      <c r="F76" s="347">
        <f>SUM(B76:E76)</f>
        <v>2061838.4263550001</v>
      </c>
    </row>
    <row r="77" spans="1:6" ht="15.75" thickBot="1" x14ac:dyDescent="0.25">
      <c r="A77" s="862" t="s">
        <v>341</v>
      </c>
      <c r="B77" s="863"/>
      <c r="C77" s="863"/>
      <c r="D77" s="863"/>
      <c r="E77" s="863"/>
      <c r="F77" s="864"/>
    </row>
    <row r="78" spans="1:6" ht="15.75" x14ac:dyDescent="0.25">
      <c r="A78" s="262"/>
      <c r="B78" s="262"/>
      <c r="C78" s="262"/>
      <c r="D78" s="262"/>
      <c r="E78" s="262"/>
      <c r="F78" s="262"/>
    </row>
  </sheetData>
  <mergeCells count="23">
    <mergeCell ref="A20:F20"/>
    <mergeCell ref="A9:F9"/>
    <mergeCell ref="A10:F10"/>
    <mergeCell ref="A14:F14"/>
    <mergeCell ref="A16:F16"/>
    <mergeCell ref="A18:F18"/>
    <mergeCell ref="A59:F59"/>
    <mergeCell ref="A21:F21"/>
    <mergeCell ref="A28:F28"/>
    <mergeCell ref="A36:F36"/>
    <mergeCell ref="A37:F37"/>
    <mergeCell ref="A39:F39"/>
    <mergeCell ref="A41:E41"/>
    <mergeCell ref="A44:B44"/>
    <mergeCell ref="A48:B48"/>
    <mergeCell ref="A50:F50"/>
    <mergeCell ref="A51:F51"/>
    <mergeCell ref="A53:F53"/>
    <mergeCell ref="A63:F63"/>
    <mergeCell ref="A65:F65"/>
    <mergeCell ref="A67:F67"/>
    <mergeCell ref="B70:F70"/>
    <mergeCell ref="A77:F7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16" workbookViewId="0">
      <selection activeCell="F45" sqref="F45"/>
    </sheetView>
  </sheetViews>
  <sheetFormatPr defaultRowHeight="15" x14ac:dyDescent="0.2"/>
  <cols>
    <col min="1" max="1" width="3.21875" customWidth="1"/>
    <col min="2" max="2" width="31.6640625" customWidth="1"/>
    <col min="3" max="3" width="13.77734375" customWidth="1"/>
    <col min="4" max="8" width="10.6640625" customWidth="1"/>
    <col min="9" max="9" width="11.6640625" customWidth="1"/>
    <col min="10" max="10" width="10" customWidth="1"/>
    <col min="11" max="11" width="10.6640625" customWidth="1"/>
  </cols>
  <sheetData>
    <row r="1" spans="1:11" x14ac:dyDescent="0.2">
      <c r="J1" s="260" t="s">
        <v>106</v>
      </c>
      <c r="K1" s="53" t="str">
        <f>EBNUMBER</f>
        <v>EB-2013-0134</v>
      </c>
    </row>
    <row r="2" spans="1:11" x14ac:dyDescent="0.2">
      <c r="J2" s="260" t="s">
        <v>107</v>
      </c>
      <c r="K2" s="54">
        <v>4</v>
      </c>
    </row>
    <row r="3" spans="1:11" x14ac:dyDescent="0.2">
      <c r="J3" s="260" t="s">
        <v>108</v>
      </c>
      <c r="K3" s="54">
        <v>2</v>
      </c>
    </row>
    <row r="4" spans="1:11" x14ac:dyDescent="0.2">
      <c r="J4" s="260" t="s">
        <v>109</v>
      </c>
      <c r="K4" s="54">
        <v>8</v>
      </c>
    </row>
    <row r="5" spans="1:11" x14ac:dyDescent="0.2">
      <c r="J5" s="260" t="s">
        <v>110</v>
      </c>
      <c r="K5" s="55">
        <v>1</v>
      </c>
    </row>
    <row r="6" spans="1:11" x14ac:dyDescent="0.2">
      <c r="J6" s="260"/>
      <c r="K6" s="53"/>
    </row>
    <row r="7" spans="1:11" x14ac:dyDescent="0.2">
      <c r="J7" s="260" t="s">
        <v>112</v>
      </c>
      <c r="K7" s="56">
        <v>41702</v>
      </c>
    </row>
    <row r="9" spans="1:11" ht="18" x14ac:dyDescent="0.25">
      <c r="A9" s="886" t="s">
        <v>342</v>
      </c>
      <c r="B9" s="886"/>
      <c r="C9" s="886"/>
      <c r="D9" s="886"/>
      <c r="E9" s="886"/>
      <c r="F9" s="886"/>
      <c r="G9" s="886"/>
      <c r="H9" s="886"/>
      <c r="I9" s="886"/>
      <c r="J9" s="886"/>
      <c r="K9" s="886"/>
    </row>
    <row r="10" spans="1:11" ht="18" x14ac:dyDescent="0.25">
      <c r="A10" s="887" t="s">
        <v>343</v>
      </c>
      <c r="B10" s="887"/>
      <c r="C10" s="887"/>
      <c r="D10" s="887"/>
      <c r="E10" s="887"/>
      <c r="F10" s="887"/>
      <c r="G10" s="887"/>
      <c r="H10" s="887"/>
      <c r="I10" s="887"/>
      <c r="J10" s="887"/>
      <c r="K10" s="887"/>
    </row>
    <row r="11" spans="1:11" x14ac:dyDescent="0.2">
      <c r="E11" s="349" t="s">
        <v>344</v>
      </c>
    </row>
    <row r="12" spans="1:11" ht="15.75" thickBot="1" x14ac:dyDescent="0.25">
      <c r="E12" s="349" t="s">
        <v>345</v>
      </c>
    </row>
    <row r="13" spans="1:11" ht="51" x14ac:dyDescent="0.2">
      <c r="A13" s="890" t="s">
        <v>346</v>
      </c>
      <c r="B13" s="891"/>
      <c r="C13" s="350" t="s">
        <v>347</v>
      </c>
      <c r="D13" s="350" t="s">
        <v>348</v>
      </c>
      <c r="E13" s="350" t="s">
        <v>349</v>
      </c>
      <c r="F13" s="28" t="str">
        <f>"Last Rebasing Year (" &amp; RebaseYear &amp; " Board Approved)"</f>
        <v>Last Rebasing Year (2010 Board Approved)</v>
      </c>
      <c r="G13" s="28" t="str">
        <f>"Most Current Actuals               Year " &amp; TestYear - 2</f>
        <v>Most Current Actuals               Year 2012</v>
      </c>
      <c r="H13" s="28" t="str">
        <f>TestYear -1 &amp; " Bridge Year"</f>
        <v>2013 Bridge Year</v>
      </c>
      <c r="I13" s="350" t="s">
        <v>350</v>
      </c>
      <c r="J13" s="28" t="str">
        <f>TestYear &amp; " Test Year"</f>
        <v>2014 Test Year</v>
      </c>
      <c r="K13" s="351" t="s">
        <v>350</v>
      </c>
    </row>
    <row r="14" spans="1:11" x14ac:dyDescent="0.2">
      <c r="A14" s="892" t="s">
        <v>351</v>
      </c>
      <c r="B14" s="893"/>
      <c r="C14" s="352" t="s">
        <v>352</v>
      </c>
      <c r="D14" s="352" t="s">
        <v>353</v>
      </c>
      <c r="E14" s="352" t="s">
        <v>354</v>
      </c>
      <c r="F14" s="352" t="s">
        <v>355</v>
      </c>
      <c r="G14" s="352" t="s">
        <v>356</v>
      </c>
      <c r="H14" s="352" t="s">
        <v>357</v>
      </c>
      <c r="I14" s="352" t="s">
        <v>358</v>
      </c>
      <c r="J14" s="352" t="s">
        <v>359</v>
      </c>
      <c r="K14" s="353" t="s">
        <v>360</v>
      </c>
    </row>
    <row r="15" spans="1:11" x14ac:dyDescent="0.2">
      <c r="A15" s="354">
        <v>1</v>
      </c>
      <c r="B15" s="355" t="s">
        <v>361</v>
      </c>
      <c r="C15" s="356">
        <v>5655</v>
      </c>
      <c r="D15" s="213"/>
      <c r="E15" s="357" t="s">
        <v>344</v>
      </c>
      <c r="F15" s="198">
        <v>75428</v>
      </c>
      <c r="G15" s="198">
        <v>64217</v>
      </c>
      <c r="H15" s="198">
        <v>84056</v>
      </c>
      <c r="I15" s="358">
        <f>IF(G15=0,"",(H15-G15)/G15)</f>
        <v>0.30893688587134249</v>
      </c>
      <c r="J15" s="198">
        <v>88100</v>
      </c>
      <c r="K15" s="359">
        <f>IF(H15=0,"",(J15-H15)/H15)</f>
        <v>4.8110783287332252E-2</v>
      </c>
    </row>
    <row r="16" spans="1:11" x14ac:dyDescent="0.2">
      <c r="A16" s="354">
        <v>2</v>
      </c>
      <c r="B16" s="360" t="s">
        <v>362</v>
      </c>
      <c r="C16" s="356">
        <v>5655</v>
      </c>
      <c r="D16" s="213"/>
      <c r="E16" s="357" t="s">
        <v>344</v>
      </c>
      <c r="F16" s="198">
        <v>800</v>
      </c>
      <c r="G16" s="198">
        <v>800</v>
      </c>
      <c r="H16" s="198">
        <v>800</v>
      </c>
      <c r="I16" s="358">
        <f>IF(G16=0,"",(H16-G16)/G16)</f>
        <v>0</v>
      </c>
      <c r="J16" s="198">
        <v>800</v>
      </c>
      <c r="K16" s="359">
        <f>IF(H16=0,"",(J16-H16)/H16)</f>
        <v>0</v>
      </c>
    </row>
    <row r="17" spans="1:11" ht="30" x14ac:dyDescent="0.2">
      <c r="A17" s="354">
        <v>3</v>
      </c>
      <c r="B17" s="355" t="s">
        <v>363</v>
      </c>
      <c r="C17" s="356">
        <v>5655</v>
      </c>
      <c r="D17" s="213"/>
      <c r="E17" s="357"/>
      <c r="F17" s="198"/>
      <c r="G17" s="213"/>
      <c r="H17" s="198"/>
      <c r="I17" s="358" t="str">
        <f t="shared" ref="I17:I30" si="0">IF(G17=0,"",(H17-G17)/G17)</f>
        <v/>
      </c>
      <c r="J17" s="198"/>
      <c r="K17" s="359" t="str">
        <f t="shared" ref="K17:K30" si="1">IF(H17=0,"",(J17-H17)/H17)</f>
        <v/>
      </c>
    </row>
    <row r="18" spans="1:11" x14ac:dyDescent="0.2">
      <c r="A18" s="354">
        <v>4</v>
      </c>
      <c r="B18" s="355" t="s">
        <v>364</v>
      </c>
      <c r="C18" s="356">
        <v>5655</v>
      </c>
      <c r="D18" s="213"/>
      <c r="E18" s="357" t="s">
        <v>344</v>
      </c>
      <c r="F18" s="198">
        <v>2000</v>
      </c>
      <c r="G18" s="198">
        <v>6192</v>
      </c>
      <c r="H18" s="198">
        <f>3000+(500-190)</f>
        <v>3310</v>
      </c>
      <c r="I18" s="358">
        <f t="shared" si="0"/>
        <v>-0.46543927648578809</v>
      </c>
      <c r="J18" s="198">
        <v>5000</v>
      </c>
      <c r="K18" s="359">
        <f t="shared" si="1"/>
        <v>0.51057401812688818</v>
      </c>
    </row>
    <row r="19" spans="1:11" ht="30" x14ac:dyDescent="0.2">
      <c r="A19" s="354">
        <v>5</v>
      </c>
      <c r="B19" s="355" t="s">
        <v>365</v>
      </c>
      <c r="C19" s="356"/>
      <c r="D19" s="213"/>
      <c r="E19" s="357"/>
      <c r="F19" s="198"/>
      <c r="G19" s="213"/>
      <c r="H19" s="198"/>
      <c r="I19" s="358" t="str">
        <f t="shared" si="0"/>
        <v/>
      </c>
      <c r="J19" s="198"/>
      <c r="K19" s="359" t="str">
        <f t="shared" si="1"/>
        <v/>
      </c>
    </row>
    <row r="20" spans="1:11" x14ac:dyDescent="0.2">
      <c r="A20" s="354">
        <v>6</v>
      </c>
      <c r="B20" s="355" t="s">
        <v>366</v>
      </c>
      <c r="C20" s="356">
        <v>5630</v>
      </c>
      <c r="D20" s="213"/>
      <c r="E20" s="357" t="s">
        <v>345</v>
      </c>
      <c r="F20" s="198">
        <f>(30000+30000)/4</f>
        <v>15000</v>
      </c>
      <c r="G20" s="213"/>
      <c r="H20" s="198"/>
      <c r="I20" s="358" t="str">
        <f t="shared" si="0"/>
        <v/>
      </c>
      <c r="J20" s="198">
        <f>E37/5</f>
        <v>6000</v>
      </c>
      <c r="K20" s="359" t="str">
        <f t="shared" si="1"/>
        <v/>
      </c>
    </row>
    <row r="21" spans="1:11" ht="30" x14ac:dyDescent="0.2">
      <c r="A21" s="354">
        <v>7</v>
      </c>
      <c r="B21" s="355" t="s">
        <v>367</v>
      </c>
      <c r="C21" s="356">
        <v>5630</v>
      </c>
      <c r="D21" s="213"/>
      <c r="E21" s="357" t="s">
        <v>345</v>
      </c>
      <c r="F21" s="198">
        <f>(25000+37500+40000+12000)/4</f>
        <v>28625</v>
      </c>
      <c r="G21" s="213">
        <v>5199</v>
      </c>
      <c r="H21" s="198">
        <v>118160</v>
      </c>
      <c r="I21" s="358">
        <f t="shared" si="0"/>
        <v>21.727447586074245</v>
      </c>
      <c r="J21" s="198">
        <f>E38/5</f>
        <v>12100</v>
      </c>
      <c r="K21" s="359">
        <f t="shared" si="1"/>
        <v>-0.89759647935003384</v>
      </c>
    </row>
    <row r="22" spans="1:11" ht="45" x14ac:dyDescent="0.2">
      <c r="A22" s="354">
        <v>8</v>
      </c>
      <c r="B22" s="355" t="s">
        <v>368</v>
      </c>
      <c r="C22" s="361"/>
      <c r="D22" s="213"/>
      <c r="E22" s="357"/>
      <c r="F22" s="198"/>
      <c r="G22" s="213"/>
      <c r="H22" s="198"/>
      <c r="I22" s="358" t="str">
        <f t="shared" si="0"/>
        <v/>
      </c>
      <c r="J22" s="198"/>
      <c r="K22" s="359" t="str">
        <f t="shared" si="1"/>
        <v/>
      </c>
    </row>
    <row r="23" spans="1:11" ht="45" x14ac:dyDescent="0.2">
      <c r="A23" s="354">
        <v>9</v>
      </c>
      <c r="B23" s="355" t="s">
        <v>369</v>
      </c>
      <c r="C23" s="361"/>
      <c r="D23" s="213"/>
      <c r="E23" s="357"/>
      <c r="F23" s="198"/>
      <c r="G23" s="213"/>
      <c r="H23" s="198"/>
      <c r="I23" s="358" t="str">
        <f t="shared" si="0"/>
        <v/>
      </c>
      <c r="J23" s="198"/>
      <c r="K23" s="359" t="str">
        <f t="shared" si="1"/>
        <v/>
      </c>
    </row>
    <row r="24" spans="1:11" ht="30" x14ac:dyDescent="0.2">
      <c r="A24" s="354">
        <v>10</v>
      </c>
      <c r="B24" s="355" t="s">
        <v>370</v>
      </c>
      <c r="C24" s="356">
        <v>5655</v>
      </c>
      <c r="D24" s="213"/>
      <c r="E24" s="357" t="s">
        <v>344</v>
      </c>
      <c r="F24" s="198">
        <v>10980</v>
      </c>
      <c r="G24" s="198">
        <v>11603</v>
      </c>
      <c r="H24" s="198">
        <v>11522</v>
      </c>
      <c r="I24" s="358">
        <f t="shared" si="0"/>
        <v>-6.9809532017581664E-3</v>
      </c>
      <c r="J24" s="198">
        <v>12345</v>
      </c>
      <c r="K24" s="359">
        <f t="shared" si="1"/>
        <v>7.1428571428571425E-2</v>
      </c>
    </row>
    <row r="25" spans="1:11" ht="25.5" x14ac:dyDescent="0.2">
      <c r="A25" s="362" t="s">
        <v>371</v>
      </c>
      <c r="B25" s="360" t="s">
        <v>372</v>
      </c>
      <c r="C25" s="356">
        <v>5655</v>
      </c>
      <c r="D25" s="213"/>
      <c r="E25" s="357" t="s">
        <v>344</v>
      </c>
      <c r="F25" s="198"/>
      <c r="G25" s="198">
        <v>4959</v>
      </c>
      <c r="H25" s="198">
        <v>3000</v>
      </c>
      <c r="I25" s="358">
        <f t="shared" si="0"/>
        <v>-0.39503932244404116</v>
      </c>
      <c r="J25" s="198">
        <v>3000</v>
      </c>
      <c r="K25" s="359">
        <f t="shared" si="1"/>
        <v>0</v>
      </c>
    </row>
    <row r="26" spans="1:11" ht="51" x14ac:dyDescent="0.2">
      <c r="A26" s="362" t="s">
        <v>373</v>
      </c>
      <c r="B26" s="360" t="s">
        <v>374</v>
      </c>
      <c r="C26" s="356">
        <v>5655</v>
      </c>
      <c r="D26" s="213"/>
      <c r="E26" s="357" t="s">
        <v>345</v>
      </c>
      <c r="F26" s="198"/>
      <c r="G26" s="198">
        <v>-1577</v>
      </c>
      <c r="H26" s="198"/>
      <c r="I26" s="358">
        <f t="shared" si="0"/>
        <v>-1</v>
      </c>
      <c r="J26" s="198"/>
      <c r="K26" s="359" t="str">
        <f t="shared" si="1"/>
        <v/>
      </c>
    </row>
    <row r="27" spans="1:11" ht="15.75" thickBot="1" x14ac:dyDescent="0.25">
      <c r="A27" s="363">
        <v>12</v>
      </c>
      <c r="B27" s="364" t="s">
        <v>375</v>
      </c>
      <c r="C27" s="365">
        <v>5655</v>
      </c>
      <c r="D27" s="366"/>
      <c r="E27" s="357" t="s">
        <v>345</v>
      </c>
      <c r="F27" s="367">
        <f>(12000*4)/4</f>
        <v>12000</v>
      </c>
      <c r="G27" s="367">
        <v>1188</v>
      </c>
      <c r="H27" s="367">
        <v>190</v>
      </c>
      <c r="I27" s="368">
        <f t="shared" si="0"/>
        <v>-0.84006734006734007</v>
      </c>
      <c r="J27" s="367">
        <f>E41/5</f>
        <v>11000</v>
      </c>
      <c r="K27" s="369">
        <f t="shared" si="1"/>
        <v>56.89473684210526</v>
      </c>
    </row>
    <row r="28" spans="1:11" x14ac:dyDescent="0.2">
      <c r="A28" s="370">
        <v>13</v>
      </c>
      <c r="B28" s="371" t="s">
        <v>376</v>
      </c>
      <c r="C28" s="372"/>
      <c r="D28" s="373">
        <f>SUMIF($E15:$E27,$E11,D15:D27)</f>
        <v>0</v>
      </c>
      <c r="E28" s="372"/>
      <c r="F28" s="373">
        <f>SUMIF($E15:$E27,$E11,F15:F27)</f>
        <v>89208</v>
      </c>
      <c r="G28" s="373">
        <f>SUMIF($E15:$E27,$E11,G15:G27)</f>
        <v>87771</v>
      </c>
      <c r="H28" s="373">
        <f>SUMIF($E15:$E27,$E11,H15:H27)</f>
        <v>102688</v>
      </c>
      <c r="I28" s="374">
        <f t="shared" si="0"/>
        <v>0.16995362933087238</v>
      </c>
      <c r="J28" s="373">
        <f>SUMIF($E15:$E27,$E11,J15:J27)</f>
        <v>109245</v>
      </c>
      <c r="K28" s="375">
        <f t="shared" si="1"/>
        <v>6.3853614833281391E-2</v>
      </c>
    </row>
    <row r="29" spans="1:11" ht="15.75" thickBot="1" x14ac:dyDescent="0.25">
      <c r="A29" s="376">
        <v>14</v>
      </c>
      <c r="B29" s="377" t="s">
        <v>377</v>
      </c>
      <c r="C29" s="378"/>
      <c r="D29" s="379">
        <f>SUMIF($E15:$E27,$E12,D15:D27)</f>
        <v>0</v>
      </c>
      <c r="E29" s="378"/>
      <c r="F29" s="379">
        <f>SUMIF($E15:$E27,$E12,F15:F27)</f>
        <v>55625</v>
      </c>
      <c r="G29" s="379">
        <f>SUMIF($E15:$E27,$E12,G15:G27)</f>
        <v>4810</v>
      </c>
      <c r="H29" s="379">
        <f>SUMIF($E15:$E27,$E12,H15:H27)</f>
        <v>118350</v>
      </c>
      <c r="I29" s="380">
        <f t="shared" si="0"/>
        <v>23.604989604989605</v>
      </c>
      <c r="J29" s="379">
        <f>SUMIF($E15:$E27,$E12,J15:J27)</f>
        <v>29100</v>
      </c>
      <c r="K29" s="381">
        <f t="shared" si="1"/>
        <v>-0.75411913814955644</v>
      </c>
    </row>
    <row r="30" spans="1:11" ht="16.5" thickTop="1" thickBot="1" x14ac:dyDescent="0.25">
      <c r="A30" s="382">
        <v>15</v>
      </c>
      <c r="B30" s="383" t="s">
        <v>102</v>
      </c>
      <c r="C30" s="384"/>
      <c r="D30" s="385">
        <f>D28+D29</f>
        <v>0</v>
      </c>
      <c r="E30" s="384"/>
      <c r="F30" s="385">
        <f>F28+F29</f>
        <v>144833</v>
      </c>
      <c r="G30" s="385">
        <f>G28+G29</f>
        <v>92581</v>
      </c>
      <c r="H30" s="385">
        <f>H28+H29</f>
        <v>221038</v>
      </c>
      <c r="I30" s="386">
        <f t="shared" si="0"/>
        <v>1.3875093161663841</v>
      </c>
      <c r="J30" s="385">
        <f>J28+J29</f>
        <v>138345</v>
      </c>
      <c r="K30" s="387">
        <f t="shared" si="1"/>
        <v>-0.37411214361331535</v>
      </c>
    </row>
    <row r="33" spans="1:5" x14ac:dyDescent="0.2">
      <c r="A33" s="52" t="s">
        <v>378</v>
      </c>
    </row>
    <row r="34" spans="1:5" ht="15.75" thickBot="1" x14ac:dyDescent="0.25"/>
    <row r="35" spans="1:5" ht="26.25" thickBot="1" x14ac:dyDescent="0.25">
      <c r="C35" s="388" t="s">
        <v>379</v>
      </c>
      <c r="D35" s="388" t="str">
        <f>H13</f>
        <v>2013 Bridge Year</v>
      </c>
      <c r="E35" s="389" t="str">
        <f>J13</f>
        <v>2014 Test Year</v>
      </c>
    </row>
    <row r="36" spans="1:5" x14ac:dyDescent="0.2">
      <c r="A36" s="390">
        <v>5</v>
      </c>
      <c r="B36" s="391" t="s">
        <v>380</v>
      </c>
      <c r="C36" s="392"/>
      <c r="D36" s="392"/>
      <c r="E36" s="393"/>
    </row>
    <row r="37" spans="1:5" x14ac:dyDescent="0.2">
      <c r="A37" s="354">
        <v>6</v>
      </c>
      <c r="B37" s="360" t="s">
        <v>381</v>
      </c>
      <c r="C37" s="394"/>
      <c r="D37" s="394"/>
      <c r="E37" s="395">
        <v>30000</v>
      </c>
    </row>
    <row r="38" spans="1:5" x14ac:dyDescent="0.2">
      <c r="A38" s="354">
        <v>7</v>
      </c>
      <c r="B38" s="396" t="s">
        <v>382</v>
      </c>
      <c r="C38" s="395"/>
      <c r="D38" s="394"/>
      <c r="E38" s="395">
        <f>15000+25500+20000</f>
        <v>60500</v>
      </c>
    </row>
    <row r="39" spans="1:5" ht="38.25" x14ac:dyDescent="0.2">
      <c r="A39" s="354">
        <v>8</v>
      </c>
      <c r="B39" s="396" t="s">
        <v>383</v>
      </c>
      <c r="C39" s="397"/>
      <c r="D39" s="397"/>
      <c r="E39" s="398"/>
    </row>
    <row r="40" spans="1:5" ht="38.25" x14ac:dyDescent="0.2">
      <c r="A40" s="354">
        <v>9</v>
      </c>
      <c r="B40" s="396" t="s">
        <v>384</v>
      </c>
      <c r="C40" s="397"/>
      <c r="D40" s="397"/>
      <c r="E40" s="398"/>
    </row>
    <row r="41" spans="1:5" ht="15.75" thickBot="1" x14ac:dyDescent="0.25">
      <c r="A41" s="363">
        <v>12</v>
      </c>
      <c r="B41" s="399" t="s">
        <v>375</v>
      </c>
      <c r="C41" s="400"/>
      <c r="D41" s="400"/>
      <c r="E41" s="401">
        <v>55000</v>
      </c>
    </row>
  </sheetData>
  <mergeCells count="4">
    <mergeCell ref="A9:K9"/>
    <mergeCell ref="A10:K10"/>
    <mergeCell ref="A13:B13"/>
    <mergeCell ref="A14:B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topLeftCell="A13" workbookViewId="0">
      <selection activeCell="I46" sqref="I46"/>
    </sheetView>
  </sheetViews>
  <sheetFormatPr defaultRowHeight="15" x14ac:dyDescent="0.2"/>
  <cols>
    <col min="1" max="1" width="24.88671875" customWidth="1"/>
    <col min="2" max="2" width="12" bestFit="1" customWidth="1"/>
    <col min="3" max="3" width="12.109375" customWidth="1"/>
    <col min="4" max="4" width="12.44140625" customWidth="1"/>
    <col min="5" max="5" width="13.6640625" customWidth="1"/>
    <col min="6" max="6" width="12.6640625" customWidth="1"/>
  </cols>
  <sheetData>
    <row r="1" spans="1:6" x14ac:dyDescent="0.2">
      <c r="E1" s="260" t="s">
        <v>106</v>
      </c>
      <c r="F1" s="181" t="str">
        <f>EBNUMBER</f>
        <v>EB-2013-0134</v>
      </c>
    </row>
    <row r="2" spans="1:6" x14ac:dyDescent="0.2">
      <c r="E2" s="260" t="s">
        <v>107</v>
      </c>
      <c r="F2" s="54">
        <v>7</v>
      </c>
    </row>
    <row r="3" spans="1:6" x14ac:dyDescent="0.2">
      <c r="E3" s="260" t="s">
        <v>108</v>
      </c>
      <c r="F3" s="54">
        <v>1</v>
      </c>
    </row>
    <row r="4" spans="1:6" x14ac:dyDescent="0.2">
      <c r="E4" s="260" t="s">
        <v>109</v>
      </c>
      <c r="F4" s="54">
        <v>4</v>
      </c>
    </row>
    <row r="5" spans="1:6" x14ac:dyDescent="0.2">
      <c r="E5" s="260" t="s">
        <v>110</v>
      </c>
      <c r="F5" s="55" t="s">
        <v>385</v>
      </c>
    </row>
    <row r="6" spans="1:6" x14ac:dyDescent="0.2">
      <c r="E6" s="260"/>
      <c r="F6" s="53"/>
    </row>
    <row r="7" spans="1:6" x14ac:dyDescent="0.2">
      <c r="E7" s="260" t="s">
        <v>112</v>
      </c>
      <c r="F7" s="56">
        <v>41702</v>
      </c>
    </row>
    <row r="9" spans="1:6" ht="18" x14ac:dyDescent="0.25">
      <c r="A9" s="886" t="s">
        <v>386</v>
      </c>
      <c r="B9" s="886"/>
      <c r="C9" s="886"/>
      <c r="D9" s="886"/>
      <c r="E9" s="886"/>
      <c r="F9" s="886"/>
    </row>
    <row r="10" spans="1:6" ht="18" x14ac:dyDescent="0.25">
      <c r="A10" s="887" t="s">
        <v>387</v>
      </c>
      <c r="B10" s="887"/>
      <c r="C10" s="887"/>
      <c r="D10" s="887"/>
      <c r="E10" s="887"/>
      <c r="F10" s="887"/>
    </row>
    <row r="12" spans="1:6" x14ac:dyDescent="0.2">
      <c r="A12" t="s">
        <v>388</v>
      </c>
    </row>
    <row r="14" spans="1:6" x14ac:dyDescent="0.2">
      <c r="A14" s="52" t="s">
        <v>389</v>
      </c>
      <c r="B14" s="52"/>
    </row>
    <row r="15" spans="1:6" ht="15.75" thickBot="1" x14ac:dyDescent="0.25"/>
    <row r="16" spans="1:6" ht="76.5" x14ac:dyDescent="0.2">
      <c r="A16" s="402" t="s">
        <v>390</v>
      </c>
      <c r="B16" s="28" t="s">
        <v>391</v>
      </c>
      <c r="C16" s="28" t="s">
        <v>125</v>
      </c>
      <c r="D16" s="28" t="s">
        <v>392</v>
      </c>
      <c r="E16" s="403" t="s">
        <v>125</v>
      </c>
    </row>
    <row r="17" spans="1:6" x14ac:dyDescent="0.2">
      <c r="A17" s="404" t="s">
        <v>393</v>
      </c>
      <c r="B17" s="208">
        <v>9256358</v>
      </c>
      <c r="C17" s="405">
        <f t="shared" ref="C17:C25" si="0">IF(B$26=0,"",B17/B$26)</f>
        <v>0.67388109923986006</v>
      </c>
      <c r="D17" s="208">
        <v>9571013</v>
      </c>
      <c r="E17" s="406">
        <f t="shared" ref="E17:E25" si="1">IF(D$26=0,"",D17/D$26)</f>
        <v>0.69614885680380756</v>
      </c>
    </row>
    <row r="18" spans="1:6" x14ac:dyDescent="0.2">
      <c r="A18" s="407" t="s">
        <v>394</v>
      </c>
      <c r="B18" s="208">
        <v>2195844</v>
      </c>
      <c r="C18" s="405">
        <f t="shared" si="0"/>
        <v>0.15986176944314937</v>
      </c>
      <c r="D18" s="208">
        <v>1819586</v>
      </c>
      <c r="E18" s="406">
        <f t="shared" si="1"/>
        <v>0.1323478208373777</v>
      </c>
    </row>
    <row r="19" spans="1:6" x14ac:dyDescent="0.2">
      <c r="A19" s="408" t="s">
        <v>395</v>
      </c>
      <c r="B19" s="208">
        <v>1409865</v>
      </c>
      <c r="C19" s="405">
        <f t="shared" si="0"/>
        <v>0.10264094971043744</v>
      </c>
      <c r="D19" s="208">
        <v>1395844</v>
      </c>
      <c r="E19" s="406">
        <f t="shared" si="1"/>
        <v>0.1015268921770824</v>
      </c>
    </row>
    <row r="20" spans="1:6" x14ac:dyDescent="0.2">
      <c r="A20" s="404" t="s">
        <v>396</v>
      </c>
      <c r="B20" s="208">
        <v>465608</v>
      </c>
      <c r="C20" s="405">
        <f t="shared" si="0"/>
        <v>3.389717973903697E-2</v>
      </c>
      <c r="D20" s="208">
        <v>390115</v>
      </c>
      <c r="E20" s="406">
        <f t="shared" si="1"/>
        <v>2.8375064506966752E-2</v>
      </c>
    </row>
    <row r="21" spans="1:6" x14ac:dyDescent="0.2">
      <c r="A21" s="404" t="s">
        <v>397</v>
      </c>
      <c r="B21" s="208">
        <v>204538</v>
      </c>
      <c r="C21" s="405">
        <f t="shared" si="0"/>
        <v>1.4890769379957269E-2</v>
      </c>
      <c r="D21" s="208">
        <v>170507</v>
      </c>
      <c r="E21" s="406">
        <f t="shared" si="1"/>
        <v>1.2401848490546069E-2</v>
      </c>
    </row>
    <row r="22" spans="1:6" ht="30" x14ac:dyDescent="0.2">
      <c r="A22" s="404" t="s">
        <v>398</v>
      </c>
      <c r="B22" s="208">
        <v>30758</v>
      </c>
      <c r="C22" s="405">
        <f t="shared" si="0"/>
        <v>2.2392429992897441E-3</v>
      </c>
      <c r="D22" s="208">
        <v>23822</v>
      </c>
      <c r="E22" s="406">
        <f t="shared" si="1"/>
        <v>1.7326962221010779E-3</v>
      </c>
    </row>
    <row r="23" spans="1:6" ht="25.5" x14ac:dyDescent="0.2">
      <c r="A23" s="408" t="s">
        <v>399</v>
      </c>
      <c r="B23" s="208">
        <v>172921</v>
      </c>
      <c r="C23" s="405">
        <f t="shared" si="0"/>
        <v>1.2588989488269127E-2</v>
      </c>
      <c r="D23" s="208">
        <v>377628</v>
      </c>
      <c r="E23" s="406">
        <f t="shared" si="1"/>
        <v>2.7466820962118454E-2</v>
      </c>
    </row>
    <row r="24" spans="1:6" x14ac:dyDescent="0.2">
      <c r="A24" s="409"/>
      <c r="B24" s="208"/>
      <c r="C24" s="405">
        <f t="shared" si="0"/>
        <v>0</v>
      </c>
      <c r="D24" s="208"/>
      <c r="E24" s="406">
        <f t="shared" si="1"/>
        <v>0</v>
      </c>
    </row>
    <row r="25" spans="1:6" x14ac:dyDescent="0.2">
      <c r="A25" s="408"/>
      <c r="B25" s="208"/>
      <c r="C25" s="405">
        <f t="shared" si="0"/>
        <v>0</v>
      </c>
      <c r="D25" s="208"/>
      <c r="E25" s="406">
        <f t="shared" si="1"/>
        <v>0</v>
      </c>
    </row>
    <row r="26" spans="1:6" ht="15.75" thickBot="1" x14ac:dyDescent="0.25">
      <c r="A26" s="410" t="s">
        <v>102</v>
      </c>
      <c r="B26" s="411">
        <f>SUM(B17:B25)</f>
        <v>13735892</v>
      </c>
      <c r="C26" s="412">
        <f>SUM(C17:C25)</f>
        <v>1</v>
      </c>
      <c r="D26" s="411">
        <f>SUM(D17:D25)</f>
        <v>13748515</v>
      </c>
      <c r="E26" s="413">
        <f>SUM(E17:E25)</f>
        <v>1</v>
      </c>
    </row>
    <row r="28" spans="1:6" x14ac:dyDescent="0.2">
      <c r="A28" s="52" t="s">
        <v>400</v>
      </c>
    </row>
    <row r="30" spans="1:6" x14ac:dyDescent="0.2">
      <c r="A30" s="938" t="s">
        <v>401</v>
      </c>
      <c r="B30" s="938"/>
      <c r="C30" s="938"/>
      <c r="D30" s="938"/>
      <c r="E30" s="938"/>
    </row>
    <row r="31" spans="1:6" x14ac:dyDescent="0.2">
      <c r="A31" s="938"/>
      <c r="B31" s="938"/>
      <c r="C31" s="938"/>
      <c r="D31" s="938"/>
      <c r="E31" s="938"/>
    </row>
    <row r="32" spans="1:6" x14ac:dyDescent="0.2">
      <c r="B32" s="414"/>
      <c r="C32" s="414"/>
      <c r="D32" s="414"/>
      <c r="E32" s="414"/>
      <c r="F32" s="414"/>
    </row>
    <row r="33" spans="1:6" x14ac:dyDescent="0.2">
      <c r="A33" s="939" t="s">
        <v>402</v>
      </c>
      <c r="B33" s="939"/>
      <c r="C33" s="939"/>
      <c r="D33" s="939"/>
      <c r="E33" s="939"/>
      <c r="F33" s="414"/>
    </row>
    <row r="34" spans="1:6" x14ac:dyDescent="0.2">
      <c r="A34" s="939"/>
      <c r="B34" s="939"/>
      <c r="C34" s="939"/>
      <c r="D34" s="939"/>
      <c r="E34" s="939"/>
      <c r="F34" s="415"/>
    </row>
    <row r="35" spans="1:6" x14ac:dyDescent="0.2">
      <c r="A35" s="939"/>
      <c r="B35" s="939"/>
      <c r="C35" s="939"/>
      <c r="D35" s="939"/>
      <c r="E35" s="939"/>
      <c r="F35" s="415"/>
    </row>
    <row r="36" spans="1:6" x14ac:dyDescent="0.2">
      <c r="A36" s="416" t="s">
        <v>403</v>
      </c>
      <c r="B36" s="416"/>
      <c r="C36" s="416"/>
      <c r="D36" s="416"/>
      <c r="E36" s="416"/>
      <c r="F36" s="416"/>
    </row>
    <row r="37" spans="1:6" x14ac:dyDescent="0.2">
      <c r="A37" s="939" t="s">
        <v>404</v>
      </c>
      <c r="B37" s="939"/>
      <c r="C37" s="939"/>
      <c r="D37" s="939"/>
      <c r="E37" s="939"/>
      <c r="F37" s="417"/>
    </row>
    <row r="38" spans="1:6" ht="27.75" customHeight="1" x14ac:dyDescent="0.2">
      <c r="A38" s="939"/>
      <c r="B38" s="939"/>
      <c r="C38" s="939"/>
      <c r="D38" s="939"/>
      <c r="E38" s="939"/>
    </row>
    <row r="41" spans="1:6" x14ac:dyDescent="0.2">
      <c r="A41" s="418" t="s">
        <v>405</v>
      </c>
      <c r="B41" s="940"/>
      <c r="C41" s="940"/>
      <c r="D41" s="940"/>
      <c r="E41" s="940"/>
      <c r="F41" s="940"/>
    </row>
    <row r="42" spans="1:6" ht="15.75" thickBot="1" x14ac:dyDescent="0.25">
      <c r="A42" s="418"/>
      <c r="B42" s="419"/>
    </row>
    <row r="43" spans="1:6" x14ac:dyDescent="0.2">
      <c r="A43" s="931"/>
      <c r="B43" s="932"/>
      <c r="C43" s="420" t="s">
        <v>406</v>
      </c>
      <c r="D43" s="420" t="s">
        <v>407</v>
      </c>
      <c r="E43" s="420" t="s">
        <v>408</v>
      </c>
      <c r="F43" s="421" t="s">
        <v>409</v>
      </c>
    </row>
    <row r="44" spans="1:6" x14ac:dyDescent="0.2">
      <c r="A44" s="933" t="s">
        <v>410</v>
      </c>
      <c r="B44" s="934"/>
      <c r="C44" s="935" t="s">
        <v>411</v>
      </c>
      <c r="D44" s="935" t="s">
        <v>412</v>
      </c>
      <c r="E44" s="935" t="s">
        <v>413</v>
      </c>
      <c r="F44" s="936" t="s">
        <v>414</v>
      </c>
    </row>
    <row r="45" spans="1:6" ht="24.75" customHeight="1" x14ac:dyDescent="0.2">
      <c r="A45" s="901"/>
      <c r="B45" s="902"/>
      <c r="C45" s="922"/>
      <c r="D45" s="922"/>
      <c r="E45" s="922"/>
      <c r="F45" s="937"/>
    </row>
    <row r="46" spans="1:6" x14ac:dyDescent="0.2">
      <c r="A46" s="895" t="str">
        <f t="shared" ref="A46:A52" si="2">A17</f>
        <v>Residential</v>
      </c>
      <c r="B46" s="896"/>
      <c r="C46" s="208">
        <v>8563399</v>
      </c>
      <c r="D46" s="208">
        <v>8443647</v>
      </c>
      <c r="E46" s="208">
        <v>8717101</v>
      </c>
      <c r="F46" s="422">
        <v>853912</v>
      </c>
    </row>
    <row r="47" spans="1:6" x14ac:dyDescent="0.2">
      <c r="A47" s="895" t="str">
        <f t="shared" si="2"/>
        <v>General Service Less Than 50 kW</v>
      </c>
      <c r="B47" s="896"/>
      <c r="C47" s="208">
        <v>1915015</v>
      </c>
      <c r="D47" s="208">
        <v>1888235</v>
      </c>
      <c r="E47" s="208">
        <v>1666279</v>
      </c>
      <c r="F47" s="422">
        <v>153307</v>
      </c>
    </row>
    <row r="48" spans="1:6" x14ac:dyDescent="0.2">
      <c r="A48" s="895" t="str">
        <f t="shared" si="2"/>
        <v>General Service  50 to 4,999 kW</v>
      </c>
      <c r="B48" s="896"/>
      <c r="C48" s="208">
        <v>1719072</v>
      </c>
      <c r="D48" s="208">
        <v>1695032</v>
      </c>
      <c r="E48" s="208">
        <v>1410243</v>
      </c>
      <c r="F48" s="422">
        <v>85369</v>
      </c>
    </row>
    <row r="49" spans="1:6" x14ac:dyDescent="0.2">
      <c r="A49" s="895" t="str">
        <f t="shared" si="2"/>
        <v>Street Lighting</v>
      </c>
      <c r="B49" s="896"/>
      <c r="C49" s="208">
        <v>319861</v>
      </c>
      <c r="D49" s="208">
        <v>315388</v>
      </c>
      <c r="E49" s="208">
        <v>315301</v>
      </c>
      <c r="F49" s="422">
        <v>22539</v>
      </c>
    </row>
    <row r="50" spans="1:6" x14ac:dyDescent="0.2">
      <c r="A50" s="895" t="str">
        <f t="shared" si="2"/>
        <v>Sentinel Lighting</v>
      </c>
      <c r="B50" s="896"/>
      <c r="C50" s="208">
        <v>107225</v>
      </c>
      <c r="D50" s="208">
        <v>105725</v>
      </c>
      <c r="E50" s="208">
        <v>114609</v>
      </c>
      <c r="F50" s="422">
        <v>12930</v>
      </c>
    </row>
    <row r="51" spans="1:6" x14ac:dyDescent="0.2">
      <c r="A51" s="895" t="str">
        <f t="shared" si="2"/>
        <v>Unmetered Scattered Load (USL)</v>
      </c>
      <c r="B51" s="896"/>
      <c r="C51" s="208">
        <v>17694</v>
      </c>
      <c r="D51" s="208">
        <v>17446</v>
      </c>
      <c r="E51" s="208">
        <v>17438</v>
      </c>
      <c r="F51" s="422">
        <v>1858</v>
      </c>
    </row>
    <row r="52" spans="1:6" x14ac:dyDescent="0.2">
      <c r="A52" s="895" t="str">
        <f t="shared" si="2"/>
        <v>Embedded Distributor - Hydro One Networks Inc.</v>
      </c>
      <c r="B52" s="896"/>
      <c r="C52" s="208">
        <v>147037</v>
      </c>
      <c r="D52" s="208">
        <v>144981</v>
      </c>
      <c r="E52" s="208">
        <v>369483</v>
      </c>
      <c r="F52" s="422">
        <v>8145</v>
      </c>
    </row>
    <row r="53" spans="1:6" x14ac:dyDescent="0.2">
      <c r="A53" s="924"/>
      <c r="B53" s="925"/>
      <c r="C53" s="208"/>
      <c r="D53" s="208"/>
      <c r="E53" s="208"/>
      <c r="F53" s="422"/>
    </row>
    <row r="54" spans="1:6" ht="15.75" thickBot="1" x14ac:dyDescent="0.25">
      <c r="A54" s="926">
        <f>A25</f>
        <v>0</v>
      </c>
      <c r="B54" s="927"/>
      <c r="C54" s="423"/>
      <c r="D54" s="423"/>
      <c r="E54" s="423"/>
      <c r="F54" s="424"/>
    </row>
    <row r="55" spans="1:6" ht="15.75" thickTop="1" x14ac:dyDescent="0.2">
      <c r="A55" s="928" t="str">
        <f>A26</f>
        <v>Total</v>
      </c>
      <c r="B55" s="929"/>
      <c r="C55" s="425">
        <f>SUM(C46:C54)</f>
        <v>12789303</v>
      </c>
      <c r="D55" s="425">
        <f>SUM(D46:D54)</f>
        <v>12610454</v>
      </c>
      <c r="E55" s="425">
        <f>SUM(E46:E54)</f>
        <v>12610454</v>
      </c>
      <c r="F55" s="426">
        <f>SUM(F46:F54)</f>
        <v>1138060</v>
      </c>
    </row>
    <row r="57" spans="1:6" x14ac:dyDescent="0.2">
      <c r="A57" s="52" t="s">
        <v>27</v>
      </c>
      <c r="B57" s="51"/>
      <c r="C57" s="51"/>
      <c r="D57" s="51"/>
      <c r="E57" s="51"/>
      <c r="F57" s="51"/>
    </row>
    <row r="58" spans="1:6" x14ac:dyDescent="0.2">
      <c r="A58" s="51"/>
      <c r="B58" s="51"/>
      <c r="C58" s="51"/>
      <c r="D58" s="51"/>
      <c r="E58" s="51"/>
      <c r="F58" s="51"/>
    </row>
    <row r="59" spans="1:6" x14ac:dyDescent="0.2">
      <c r="A59" s="894" t="s">
        <v>415</v>
      </c>
      <c r="B59" s="894"/>
      <c r="C59" s="894"/>
      <c r="D59" s="894"/>
      <c r="E59" s="894"/>
      <c r="F59" s="894"/>
    </row>
    <row r="60" spans="1:6" x14ac:dyDescent="0.2">
      <c r="A60" s="894"/>
      <c r="B60" s="894"/>
      <c r="C60" s="894"/>
      <c r="D60" s="894"/>
      <c r="E60" s="894"/>
      <c r="F60" s="894"/>
    </row>
    <row r="61" spans="1:6" x14ac:dyDescent="0.2">
      <c r="A61" s="414"/>
      <c r="B61" s="414"/>
      <c r="C61" s="414"/>
      <c r="D61" s="414"/>
      <c r="E61" s="414"/>
      <c r="F61" s="414"/>
    </row>
    <row r="62" spans="1:6" x14ac:dyDescent="0.2">
      <c r="A62" s="930" t="s">
        <v>416</v>
      </c>
      <c r="B62" s="930"/>
      <c r="C62" s="930"/>
      <c r="D62" s="930"/>
      <c r="E62" s="930"/>
      <c r="F62" s="930"/>
    </row>
    <row r="63" spans="1:6" x14ac:dyDescent="0.2">
      <c r="A63" s="427"/>
      <c r="B63" s="51"/>
      <c r="C63" s="51"/>
      <c r="D63" s="51"/>
      <c r="E63" s="51"/>
      <c r="F63" s="51"/>
    </row>
    <row r="64" spans="1:6" x14ac:dyDescent="0.2">
      <c r="A64" s="786" t="s">
        <v>417</v>
      </c>
      <c r="B64" s="786"/>
      <c r="C64" s="786"/>
      <c r="D64" s="786"/>
      <c r="E64" s="786"/>
      <c r="F64" s="786"/>
    </row>
    <row r="65" spans="1:6" x14ac:dyDescent="0.2">
      <c r="A65" s="786"/>
      <c r="B65" s="786"/>
      <c r="C65" s="786"/>
      <c r="D65" s="786"/>
      <c r="E65" s="786"/>
      <c r="F65" s="786"/>
    </row>
    <row r="66" spans="1:6" x14ac:dyDescent="0.2">
      <c r="A66" s="51"/>
      <c r="B66" s="51"/>
      <c r="C66" s="51"/>
      <c r="D66" s="51"/>
      <c r="E66" s="51"/>
      <c r="F66" s="51"/>
    </row>
    <row r="67" spans="1:6" x14ac:dyDescent="0.2">
      <c r="A67" s="786" t="s">
        <v>418</v>
      </c>
      <c r="B67" s="786"/>
      <c r="C67" s="786"/>
      <c r="D67" s="786"/>
      <c r="E67" s="786"/>
      <c r="F67" s="786"/>
    </row>
    <row r="68" spans="1:6" x14ac:dyDescent="0.2">
      <c r="A68" s="786"/>
      <c r="B68" s="786"/>
      <c r="C68" s="786"/>
      <c r="D68" s="786"/>
      <c r="E68" s="786"/>
      <c r="F68" s="786"/>
    </row>
    <row r="69" spans="1:6" x14ac:dyDescent="0.2">
      <c r="A69" s="428"/>
      <c r="B69" s="428"/>
      <c r="C69" s="428"/>
      <c r="D69" s="428"/>
      <c r="E69" s="428"/>
      <c r="F69" s="428"/>
    </row>
    <row r="70" spans="1:6" x14ac:dyDescent="0.2">
      <c r="A70" s="52" t="s">
        <v>419</v>
      </c>
      <c r="B70" s="51"/>
      <c r="C70" s="51"/>
      <c r="D70" s="51"/>
      <c r="E70" s="51"/>
      <c r="F70" s="51"/>
    </row>
    <row r="71" spans="1:6" ht="15.75" thickBot="1" x14ac:dyDescent="0.25">
      <c r="A71" s="51"/>
      <c r="B71" s="51"/>
      <c r="C71" s="51"/>
      <c r="D71" s="51"/>
      <c r="E71" s="51"/>
      <c r="F71" s="51"/>
    </row>
    <row r="72" spans="1:6" ht="38.25" x14ac:dyDescent="0.2">
      <c r="A72" s="916" t="s">
        <v>420</v>
      </c>
      <c r="B72" s="917"/>
      <c r="C72" s="429" t="s">
        <v>421</v>
      </c>
      <c r="D72" s="429" t="s">
        <v>422</v>
      </c>
      <c r="E72" s="429" t="s">
        <v>423</v>
      </c>
      <c r="F72" s="904" t="s">
        <v>424</v>
      </c>
    </row>
    <row r="73" spans="1:6" ht="25.5" x14ac:dyDescent="0.2">
      <c r="A73" s="918"/>
      <c r="B73" s="919"/>
      <c r="C73" s="430" t="s">
        <v>425</v>
      </c>
      <c r="D73" s="922" t="s">
        <v>426</v>
      </c>
      <c r="E73" s="922" t="s">
        <v>427</v>
      </c>
      <c r="F73" s="920"/>
    </row>
    <row r="74" spans="1:6" x14ac:dyDescent="0.2">
      <c r="A74" s="918"/>
      <c r="B74" s="919"/>
      <c r="C74" s="431">
        <v>2011</v>
      </c>
      <c r="D74" s="923"/>
      <c r="E74" s="923"/>
      <c r="F74" s="921"/>
    </row>
    <row r="75" spans="1:6" x14ac:dyDescent="0.2">
      <c r="A75" s="914"/>
      <c r="B75" s="915"/>
      <c r="C75" s="432" t="s">
        <v>125</v>
      </c>
      <c r="D75" s="433" t="s">
        <v>125</v>
      </c>
      <c r="E75" s="433" t="s">
        <v>125</v>
      </c>
      <c r="F75" s="434" t="s">
        <v>125</v>
      </c>
    </row>
    <row r="76" spans="1:6" x14ac:dyDescent="0.2">
      <c r="A76" s="908" t="str">
        <f t="shared" ref="A76:A82" si="3">A46</f>
        <v>Residential</v>
      </c>
      <c r="B76" s="909"/>
      <c r="C76" s="435">
        <v>99.86</v>
      </c>
      <c r="D76" s="436">
        <f t="shared" ref="D76:D84" si="4">IF(D17=0,"",(D46+F46)/D17*100)</f>
        <v>97.142893860869279</v>
      </c>
      <c r="E76" s="436">
        <f t="shared" ref="E76:E84" si="5">IF(D17=0,"",(E46+F46)/D17*100)</f>
        <v>100</v>
      </c>
      <c r="F76" s="437" t="s">
        <v>428</v>
      </c>
    </row>
    <row r="77" spans="1:6" x14ac:dyDescent="0.2">
      <c r="A77" s="908" t="str">
        <f t="shared" si="3"/>
        <v>General Service Less Than 50 kW</v>
      </c>
      <c r="B77" s="909"/>
      <c r="C77" s="435">
        <v>101.78</v>
      </c>
      <c r="D77" s="436">
        <f t="shared" si="4"/>
        <v>112.19815936152509</v>
      </c>
      <c r="E77" s="436">
        <f t="shared" si="5"/>
        <v>100</v>
      </c>
      <c r="F77" s="437" t="s">
        <v>429</v>
      </c>
    </row>
    <row r="78" spans="1:6" x14ac:dyDescent="0.2">
      <c r="A78" s="906" t="str">
        <f t="shared" si="3"/>
        <v>General Service  50 to 4,999 kW</v>
      </c>
      <c r="B78" s="907"/>
      <c r="C78" s="435">
        <v>112.88</v>
      </c>
      <c r="D78" s="436">
        <f t="shared" si="4"/>
        <v>127.55014170637979</v>
      </c>
      <c r="E78" s="436">
        <f>ROUND(IF(D19=0,"",(E48+F48)/D19*100),1)</f>
        <v>107.1</v>
      </c>
      <c r="F78" s="437" t="s">
        <v>429</v>
      </c>
    </row>
    <row r="79" spans="1:6" x14ac:dyDescent="0.2">
      <c r="A79" s="908" t="str">
        <f t="shared" si="3"/>
        <v>Street Lighting</v>
      </c>
      <c r="B79" s="909"/>
      <c r="C79" s="435">
        <v>70</v>
      </c>
      <c r="D79" s="436">
        <f t="shared" si="4"/>
        <v>86.622406213552409</v>
      </c>
      <c r="E79" s="436">
        <f t="shared" si="5"/>
        <v>86.600105097214922</v>
      </c>
      <c r="F79" s="437" t="s">
        <v>430</v>
      </c>
    </row>
    <row r="80" spans="1:6" x14ac:dyDescent="0.2">
      <c r="A80" s="908" t="str">
        <f t="shared" si="3"/>
        <v>Sentinel Lighting</v>
      </c>
      <c r="B80" s="909"/>
      <c r="C80" s="435">
        <v>70</v>
      </c>
      <c r="D80" s="436">
        <f t="shared" si="4"/>
        <v>69.589518318895998</v>
      </c>
      <c r="E80" s="436">
        <f t="shared" si="5"/>
        <v>74.79986158926026</v>
      </c>
      <c r="F80" s="437" t="s">
        <v>429</v>
      </c>
    </row>
    <row r="81" spans="1:6" x14ac:dyDescent="0.2">
      <c r="A81" s="906" t="str">
        <f t="shared" si="3"/>
        <v>Unmetered Scattered Load (USL)</v>
      </c>
      <c r="B81" s="907"/>
      <c r="C81" s="435">
        <v>80.81</v>
      </c>
      <c r="D81" s="436">
        <f t="shared" si="4"/>
        <v>81.034338006884383</v>
      </c>
      <c r="E81" s="436">
        <f t="shared" si="5"/>
        <v>81.000755604063471</v>
      </c>
      <c r="F81" s="437" t="s">
        <v>429</v>
      </c>
    </row>
    <row r="82" spans="1:6" x14ac:dyDescent="0.2">
      <c r="A82" s="908" t="str">
        <f t="shared" si="3"/>
        <v>Embedded Distributor - Hydro One Networks Inc.</v>
      </c>
      <c r="B82" s="909"/>
      <c r="C82" s="435">
        <v>100</v>
      </c>
      <c r="D82" s="436">
        <f t="shared" si="4"/>
        <v>40.549429597381547</v>
      </c>
      <c r="E82" s="436">
        <f t="shared" si="5"/>
        <v>100</v>
      </c>
      <c r="F82" s="438" t="s">
        <v>429</v>
      </c>
    </row>
    <row r="83" spans="1:6" x14ac:dyDescent="0.2">
      <c r="A83" s="910"/>
      <c r="B83" s="911"/>
      <c r="C83" s="435"/>
      <c r="D83" s="436" t="str">
        <f t="shared" si="4"/>
        <v/>
      </c>
      <c r="E83" s="436" t="str">
        <f t="shared" si="5"/>
        <v/>
      </c>
      <c r="F83" s="439"/>
    </row>
    <row r="84" spans="1:6" ht="15.75" thickBot="1" x14ac:dyDescent="0.25">
      <c r="A84" s="912">
        <f>A54</f>
        <v>0</v>
      </c>
      <c r="B84" s="913"/>
      <c r="C84" s="440"/>
      <c r="D84" s="441" t="str">
        <f t="shared" si="4"/>
        <v/>
      </c>
      <c r="E84" s="441" t="str">
        <f t="shared" si="5"/>
        <v/>
      </c>
      <c r="F84" s="442"/>
    </row>
    <row r="86" spans="1:6" x14ac:dyDescent="0.2">
      <c r="A86" s="52" t="s">
        <v>400</v>
      </c>
      <c r="B86" s="51"/>
      <c r="C86" s="51"/>
      <c r="D86" s="51"/>
      <c r="E86" s="51"/>
      <c r="F86" s="51"/>
    </row>
    <row r="87" spans="1:6" x14ac:dyDescent="0.2">
      <c r="A87" s="51"/>
      <c r="B87" s="51"/>
      <c r="C87" s="51"/>
      <c r="D87" s="51"/>
      <c r="E87" s="51"/>
      <c r="F87" s="51"/>
    </row>
    <row r="88" spans="1:6" x14ac:dyDescent="0.2">
      <c r="A88" s="894" t="s">
        <v>431</v>
      </c>
      <c r="B88" s="894"/>
      <c r="C88" s="894"/>
      <c r="D88" s="894"/>
      <c r="E88" s="894"/>
      <c r="F88" s="894"/>
    </row>
    <row r="89" spans="1:6" x14ac:dyDescent="0.2">
      <c r="A89" s="894"/>
      <c r="B89" s="894"/>
      <c r="C89" s="894"/>
      <c r="D89" s="894"/>
      <c r="E89" s="894"/>
      <c r="F89" s="894"/>
    </row>
    <row r="90" spans="1:6" x14ac:dyDescent="0.2">
      <c r="A90" s="443"/>
      <c r="B90" s="443"/>
      <c r="C90" s="443"/>
      <c r="D90" s="443"/>
      <c r="E90" s="443"/>
      <c r="F90" s="443"/>
    </row>
    <row r="91" spans="1:6" x14ac:dyDescent="0.2">
      <c r="A91" s="786" t="s">
        <v>432</v>
      </c>
      <c r="B91" s="786"/>
      <c r="C91" s="786"/>
      <c r="D91" s="786"/>
      <c r="E91" s="786"/>
      <c r="F91" s="786"/>
    </row>
    <row r="92" spans="1:6" x14ac:dyDescent="0.2">
      <c r="A92" s="51"/>
      <c r="B92" s="51"/>
      <c r="C92" s="51"/>
      <c r="D92" s="51"/>
      <c r="E92" s="51"/>
      <c r="F92" s="51"/>
    </row>
    <row r="93" spans="1:6" x14ac:dyDescent="0.2">
      <c r="A93" s="444" t="s">
        <v>433</v>
      </c>
      <c r="B93" s="445"/>
      <c r="C93" s="445"/>
      <c r="D93" s="445"/>
      <c r="E93" s="445"/>
      <c r="F93" s="445"/>
    </row>
    <row r="94" spans="1:6" ht="15.75" thickBot="1" x14ac:dyDescent="0.25"/>
    <row r="95" spans="1:6" x14ac:dyDescent="0.2">
      <c r="A95" s="899" t="s">
        <v>420</v>
      </c>
      <c r="B95" s="900"/>
      <c r="C95" s="903" t="s">
        <v>434</v>
      </c>
      <c r="D95" s="903"/>
      <c r="E95" s="903"/>
      <c r="F95" s="904" t="s">
        <v>424</v>
      </c>
    </row>
    <row r="96" spans="1:6" x14ac:dyDescent="0.2">
      <c r="A96" s="901"/>
      <c r="B96" s="902"/>
      <c r="C96" s="446">
        <f>TestYear</f>
        <v>2014</v>
      </c>
      <c r="D96" s="446">
        <f>C96+1</f>
        <v>2015</v>
      </c>
      <c r="E96" s="446">
        <f>D96+1</f>
        <v>2016</v>
      </c>
      <c r="F96" s="905"/>
    </row>
    <row r="97" spans="1:6" x14ac:dyDescent="0.2">
      <c r="A97" s="901"/>
      <c r="B97" s="902"/>
      <c r="C97" s="446" t="s">
        <v>125</v>
      </c>
      <c r="D97" s="446" t="s">
        <v>125</v>
      </c>
      <c r="E97" s="446" t="s">
        <v>125</v>
      </c>
      <c r="F97" s="447" t="s">
        <v>125</v>
      </c>
    </row>
    <row r="98" spans="1:6" x14ac:dyDescent="0.2">
      <c r="A98" s="895" t="str">
        <f>A76</f>
        <v>Residential</v>
      </c>
      <c r="B98" s="896"/>
      <c r="C98" s="448">
        <f>E76</f>
        <v>100</v>
      </c>
      <c r="D98" s="449">
        <f>C98</f>
        <v>100</v>
      </c>
      <c r="E98" s="450"/>
      <c r="F98" s="451" t="str">
        <f>F76</f>
        <v>85 - 115</v>
      </c>
    </row>
    <row r="99" spans="1:6" x14ac:dyDescent="0.2">
      <c r="A99" s="895" t="str">
        <f>A77</f>
        <v>General Service Less Than 50 kW</v>
      </c>
      <c r="B99" s="896"/>
      <c r="C99" s="448">
        <f>E77</f>
        <v>100</v>
      </c>
      <c r="D99" s="449">
        <f t="shared" ref="D99:D104" si="6">C99</f>
        <v>100</v>
      </c>
      <c r="E99" s="450"/>
      <c r="F99" s="451" t="str">
        <f>F77</f>
        <v>80 - 120</v>
      </c>
    </row>
    <row r="100" spans="1:6" x14ac:dyDescent="0.2">
      <c r="A100" s="895" t="str">
        <f>A78</f>
        <v>General Service  50 to 4,999 kW</v>
      </c>
      <c r="B100" s="896"/>
      <c r="C100" s="448">
        <f>E78</f>
        <v>107.1</v>
      </c>
      <c r="D100" s="449">
        <v>106.5</v>
      </c>
      <c r="E100" s="450"/>
      <c r="F100" s="451" t="str">
        <f>F78</f>
        <v>80 - 120</v>
      </c>
    </row>
    <row r="101" spans="1:6" x14ac:dyDescent="0.2">
      <c r="A101" s="895" t="str">
        <f t="shared" ref="A101:A106" si="7">A79</f>
        <v>Street Lighting</v>
      </c>
      <c r="B101" s="896"/>
      <c r="C101" s="448">
        <f t="shared" ref="C101:C106" si="8">E79</f>
        <v>86.600105097214922</v>
      </c>
      <c r="D101" s="449">
        <f t="shared" si="6"/>
        <v>86.600105097214922</v>
      </c>
      <c r="E101" s="450"/>
      <c r="F101" s="451" t="str">
        <f t="shared" ref="F101:F103" si="9">F79</f>
        <v>70 - 120</v>
      </c>
    </row>
    <row r="102" spans="1:6" x14ac:dyDescent="0.2">
      <c r="A102" s="895" t="str">
        <f t="shared" si="7"/>
        <v>Sentinel Lighting</v>
      </c>
      <c r="B102" s="896"/>
      <c r="C102" s="448">
        <f t="shared" si="8"/>
        <v>74.79986158926026</v>
      </c>
      <c r="D102" s="449">
        <v>80</v>
      </c>
      <c r="E102" s="450"/>
      <c r="F102" s="451" t="str">
        <f t="shared" si="9"/>
        <v>80 - 120</v>
      </c>
    </row>
    <row r="103" spans="1:6" x14ac:dyDescent="0.2">
      <c r="A103" s="895" t="str">
        <f t="shared" si="7"/>
        <v>Unmetered Scattered Load (USL)</v>
      </c>
      <c r="B103" s="896"/>
      <c r="C103" s="448">
        <f t="shared" si="8"/>
        <v>81.000755604063471</v>
      </c>
      <c r="D103" s="449">
        <f t="shared" si="6"/>
        <v>81.000755604063471</v>
      </c>
      <c r="E103" s="450"/>
      <c r="F103" s="451" t="str">
        <f t="shared" si="9"/>
        <v>80 - 120</v>
      </c>
    </row>
    <row r="104" spans="1:6" x14ac:dyDescent="0.2">
      <c r="A104" s="895" t="str">
        <f t="shared" si="7"/>
        <v>Embedded Distributor - Hydro One Networks Inc.</v>
      </c>
      <c r="B104" s="896"/>
      <c r="C104" s="448">
        <f t="shared" si="8"/>
        <v>100</v>
      </c>
      <c r="D104" s="449">
        <f t="shared" si="6"/>
        <v>100</v>
      </c>
      <c r="E104" s="450"/>
      <c r="F104" s="452" t="str">
        <f>F82</f>
        <v>80 - 120</v>
      </c>
    </row>
    <row r="105" spans="1:6" x14ac:dyDescent="0.2">
      <c r="A105" s="895"/>
      <c r="B105" s="896"/>
      <c r="C105" s="448" t="str">
        <f t="shared" si="8"/>
        <v/>
      </c>
      <c r="D105" s="450"/>
      <c r="E105" s="450"/>
      <c r="F105" s="452">
        <f>F83</f>
        <v>0</v>
      </c>
    </row>
    <row r="106" spans="1:6" ht="15.75" thickBot="1" x14ac:dyDescent="0.25">
      <c r="A106" s="897">
        <f t="shared" si="7"/>
        <v>0</v>
      </c>
      <c r="B106" s="898"/>
      <c r="C106" s="453" t="str">
        <f t="shared" si="8"/>
        <v/>
      </c>
      <c r="D106" s="454"/>
      <c r="E106" s="454"/>
      <c r="F106" s="455"/>
    </row>
    <row r="108" spans="1:6" x14ac:dyDescent="0.2">
      <c r="A108" s="52" t="s">
        <v>435</v>
      </c>
    </row>
    <row r="109" spans="1:6" x14ac:dyDescent="0.2">
      <c r="A109" s="894" t="s">
        <v>436</v>
      </c>
      <c r="B109" s="894"/>
      <c r="C109" s="894"/>
      <c r="D109" s="894"/>
      <c r="E109" s="894"/>
      <c r="F109" s="894"/>
    </row>
    <row r="110" spans="1:6" x14ac:dyDescent="0.2">
      <c r="A110" s="894"/>
      <c r="B110" s="894"/>
      <c r="C110" s="894"/>
      <c r="D110" s="894"/>
      <c r="E110" s="894"/>
      <c r="F110" s="894"/>
    </row>
    <row r="111" spans="1:6" x14ac:dyDescent="0.2">
      <c r="A111" s="894"/>
      <c r="B111" s="894"/>
      <c r="C111" s="894"/>
      <c r="D111" s="894"/>
      <c r="E111" s="894"/>
      <c r="F111" s="894"/>
    </row>
    <row r="112" spans="1:6" x14ac:dyDescent="0.2">
      <c r="A112" s="894"/>
      <c r="B112" s="894"/>
      <c r="C112" s="894"/>
      <c r="D112" s="894"/>
      <c r="E112" s="894"/>
      <c r="F112" s="894"/>
    </row>
  </sheetData>
  <mergeCells count="55">
    <mergeCell ref="F44:F45"/>
    <mergeCell ref="A9:F9"/>
    <mergeCell ref="A10:F10"/>
    <mergeCell ref="A30:E31"/>
    <mergeCell ref="A33:E35"/>
    <mergeCell ref="A37:E38"/>
    <mergeCell ref="B41:F41"/>
    <mergeCell ref="A43:B43"/>
    <mergeCell ref="A44:B45"/>
    <mergeCell ref="C44:C45"/>
    <mergeCell ref="D44:D45"/>
    <mergeCell ref="E44:E45"/>
    <mergeCell ref="A62:F62"/>
    <mergeCell ref="A46:B46"/>
    <mergeCell ref="A47:B47"/>
    <mergeCell ref="A48:B48"/>
    <mergeCell ref="A49:B49"/>
    <mergeCell ref="A50:B50"/>
    <mergeCell ref="A51:B51"/>
    <mergeCell ref="A52:B52"/>
    <mergeCell ref="A53:B53"/>
    <mergeCell ref="A54:B54"/>
    <mergeCell ref="A55:B55"/>
    <mergeCell ref="A59:F60"/>
    <mergeCell ref="A80:B80"/>
    <mergeCell ref="A64:F65"/>
    <mergeCell ref="A67:F68"/>
    <mergeCell ref="A72:B74"/>
    <mergeCell ref="F72:F74"/>
    <mergeCell ref="D73:D74"/>
    <mergeCell ref="E73:E74"/>
    <mergeCell ref="A75:B75"/>
    <mergeCell ref="A76:B76"/>
    <mergeCell ref="A77:B77"/>
    <mergeCell ref="A78:B78"/>
    <mergeCell ref="A79:B79"/>
    <mergeCell ref="A100:B100"/>
    <mergeCell ref="A81:B81"/>
    <mergeCell ref="A82:B82"/>
    <mergeCell ref="A83:B83"/>
    <mergeCell ref="A84:B84"/>
    <mergeCell ref="A88:F89"/>
    <mergeCell ref="A91:F91"/>
    <mergeCell ref="A95:B97"/>
    <mergeCell ref="C95:E95"/>
    <mergeCell ref="F95:F96"/>
    <mergeCell ref="A98:B98"/>
    <mergeCell ref="A99:B99"/>
    <mergeCell ref="A109:F112"/>
    <mergeCell ref="A101:B101"/>
    <mergeCell ref="A102:B102"/>
    <mergeCell ref="A103:B103"/>
    <mergeCell ref="A104:B104"/>
    <mergeCell ref="A105:B105"/>
    <mergeCell ref="A106:B10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App.2-AA_Capital Projects</vt:lpstr>
      <vt:lpstr>App.2-AB_Capital Expenditures</vt:lpstr>
      <vt:lpstr>App.2_BA1_Fix.Asset Cont.CGAAP</vt:lpstr>
      <vt:lpstr>App.2-CT_NewCGAAP_DepExp_2013</vt:lpstr>
      <vt:lpstr>App.2-CU_NewCGAAP_DepExp_2014</vt:lpstr>
      <vt:lpstr>App.2-EE_Account(1576) (2013)</vt:lpstr>
      <vt:lpstr>App.2-I_LF_CDM_WF</vt:lpstr>
      <vt:lpstr>App.2-M_Regulatory Costs</vt:lpstr>
      <vt:lpstr>App.2-P_Cost Allocation</vt:lpstr>
      <vt:lpstr>App.2-R_Loss Factors</vt:lpstr>
      <vt:lpstr>App.2-W_Bill Impacts</vt:lpstr>
      <vt:lpstr>App.2-YB_CGAAP Summary Impacts</vt:lpstr>
      <vt:lpstr>App.2-Z_Tariff</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Graham</dc:creator>
  <cp:lastModifiedBy>Sherry Graham</cp:lastModifiedBy>
  <dcterms:created xsi:type="dcterms:W3CDTF">2014-03-04T13:53:22Z</dcterms:created>
  <dcterms:modified xsi:type="dcterms:W3CDTF">2014-03-04T20:08:41Z</dcterms:modified>
</cp:coreProperties>
</file>