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00" yWindow="30" windowWidth="12120" windowHeight="5730" tabRatio="831"/>
  </bookViews>
  <sheets>
    <sheet name="Summary" sheetId="11" r:id="rId1"/>
    <sheet name="Purchased Power Model " sheetId="19" r:id="rId2"/>
    <sheet name="Rate Class Energy Model" sheetId="9" r:id="rId3"/>
    <sheet name="Rate Class Customer Model" sheetId="17" r:id="rId4"/>
    <sheet name="Rate Class Load Model" sheetId="18" r:id="rId5"/>
    <sheet name="CDM Activity" sheetId="23" r:id="rId6"/>
    <sheet name="HDD and CDD" sheetId="27" r:id="rId7"/>
    <sheet name="2014 Cost of Power" sheetId="29" r:id="rId8"/>
    <sheet name="Chart1" sheetId="26" r:id="rId9"/>
    <sheet name="Sheet3" sheetId="33" r:id="rId10"/>
  </sheets>
  <externalReferences>
    <externalReference r:id="rId11"/>
    <externalReference r:id="rId12"/>
    <externalReference r:id="rId13"/>
    <externalReference r:id="rId14"/>
  </externalReferences>
  <definedNames>
    <definedName name="_Order1" hidden="1">255</definedName>
    <definedName name="_Sort" localSheetId="7" hidden="1">[1]Sheet1!$G$40:$K$40</definedName>
    <definedName name="_Sort" localSheetId="5" hidden="1">[2]Sheet1!$G$40:$K$40</definedName>
    <definedName name="_Sort" localSheetId="6" hidden="1">#REF!</definedName>
    <definedName name="_Sort" hidden="1">[3]Sheet1!$G$40:$K$40</definedName>
    <definedName name="CAfile">[4]Refs!$B$2</definedName>
    <definedName name="CArevReq">[4]Refs!$B$6</definedName>
    <definedName name="ClassRange1">[4]Refs!$B$3</definedName>
    <definedName name="ClassRange2">[4]Refs!$B$4</definedName>
    <definedName name="FolderPath">[4]Menu!$C$8</definedName>
    <definedName name="NewRevReq">[4]Refs!$B$8</definedName>
    <definedName name="PAGE11" localSheetId="7">#REF!</definedName>
    <definedName name="PAGE11" localSheetId="6">#REF!</definedName>
    <definedName name="PAGE11">#REF!</definedName>
    <definedName name="PAGE2" localSheetId="7">[1]Sheet1!$A$1:$I$40</definedName>
    <definedName name="PAGE2" localSheetId="5">[2]Sheet1!$A$1:$I$40</definedName>
    <definedName name="PAGE2" localSheetId="6">#REF!</definedName>
    <definedName name="PAGE2">[3]Sheet1!$A$1:$I$40</definedName>
    <definedName name="PAGE3" localSheetId="7">#REF!</definedName>
    <definedName name="PAGE3" localSheetId="6">#REF!</definedName>
    <definedName name="PAGE3">#REF!</definedName>
    <definedName name="PAGE4" localSheetId="7">#REF!</definedName>
    <definedName name="PAGE4" localSheetId="6">#REF!</definedName>
    <definedName name="PAGE4">#REF!</definedName>
    <definedName name="PAGE7" localSheetId="7">#REF!</definedName>
    <definedName name="PAGE7" localSheetId="6">#REF!</definedName>
    <definedName name="PAGE7">#REF!</definedName>
    <definedName name="PAGE9" localSheetId="7">#REF!</definedName>
    <definedName name="PAGE9" localSheetId="6">#REF!</definedName>
    <definedName name="PAGE9">#REF!</definedName>
    <definedName name="_xlnm.Print_Area" localSheetId="5">'CDM Activity'!$A$1:$Y$123</definedName>
    <definedName name="_xlnm.Print_Area" localSheetId="1">'Purchased Power Model '!$A$1:$L$185</definedName>
    <definedName name="_xlnm.Print_Titles" localSheetId="1">'Purchased Power Model '!$2:$3</definedName>
    <definedName name="RevReqLookupKey">[4]Refs!$B$5</definedName>
    <definedName name="RevReqRange">[4]Refs!$B$7</definedName>
  </definedNames>
  <calcPr calcId="145621" iterate="1"/>
</workbook>
</file>

<file path=xl/calcChain.xml><?xml version="1.0" encoding="utf-8"?>
<calcChain xmlns="http://schemas.openxmlformats.org/spreadsheetml/2006/main">
  <c r="F21" i="9" l="1"/>
  <c r="F9" i="23"/>
  <c r="G75" i="9" l="1"/>
  <c r="S12" i="23"/>
  <c r="R12" i="23"/>
  <c r="Q12" i="23"/>
  <c r="P12" i="23"/>
  <c r="I60" i="9" l="1"/>
  <c r="J60" i="9"/>
  <c r="K60" i="9"/>
  <c r="L60" i="9"/>
  <c r="M60" i="9"/>
  <c r="H60" i="9"/>
  <c r="D29" i="18"/>
  <c r="C29" i="18"/>
  <c r="B29" i="18"/>
  <c r="K36" i="9"/>
  <c r="K49" i="9" s="1"/>
  <c r="K53" i="9" s="1"/>
  <c r="L53" i="9"/>
  <c r="J53" i="9"/>
  <c r="M36" i="9"/>
  <c r="L36" i="9"/>
  <c r="L49" i="9" s="1"/>
  <c r="I36" i="9"/>
  <c r="J36" i="9"/>
  <c r="J49" i="9" s="1"/>
  <c r="H36" i="9"/>
  <c r="I49" i="9"/>
  <c r="I53" i="9" s="1"/>
  <c r="M49" i="9"/>
  <c r="M53" i="9" s="1"/>
  <c r="B27" i="18"/>
  <c r="C27" i="18"/>
  <c r="D27" i="18"/>
  <c r="B17" i="9"/>
  <c r="G17" i="9"/>
  <c r="F17" i="9" s="1"/>
  <c r="X22" i="27" l="1"/>
  <c r="X23" i="27"/>
  <c r="X24" i="27"/>
  <c r="X25" i="27"/>
  <c r="X26" i="27"/>
  <c r="X27" i="27"/>
  <c r="X28" i="27"/>
  <c r="X29" i="27"/>
  <c r="X30" i="27"/>
  <c r="X31" i="27"/>
  <c r="X32" i="27"/>
  <c r="X21" i="27"/>
  <c r="X6" i="27"/>
  <c r="X7" i="27"/>
  <c r="X8" i="27"/>
  <c r="X9" i="27"/>
  <c r="X10" i="27"/>
  <c r="X11" i="27"/>
  <c r="X12" i="27"/>
  <c r="X13" i="27"/>
  <c r="X14" i="27"/>
  <c r="X15" i="27"/>
  <c r="X16" i="27"/>
  <c r="X5" i="27"/>
  <c r="W22" i="27"/>
  <c r="W23" i="27"/>
  <c r="W24" i="27"/>
  <c r="W25" i="27"/>
  <c r="W26" i="27"/>
  <c r="W27" i="27"/>
  <c r="W28" i="27"/>
  <c r="W29" i="27"/>
  <c r="W30" i="27"/>
  <c r="W31" i="27"/>
  <c r="W32" i="27"/>
  <c r="W21" i="27"/>
  <c r="W6" i="27"/>
  <c r="W7" i="27"/>
  <c r="W8" i="27"/>
  <c r="W9" i="27"/>
  <c r="W10" i="27"/>
  <c r="W11" i="27"/>
  <c r="W12" i="27"/>
  <c r="W13" i="27"/>
  <c r="W14" i="27"/>
  <c r="W15" i="27"/>
  <c r="W16" i="27"/>
  <c r="W5" i="27"/>
  <c r="V34" i="27"/>
  <c r="V18" i="27"/>
  <c r="D137" i="19"/>
  <c r="D138" i="19"/>
  <c r="D139" i="19"/>
  <c r="D140" i="19"/>
  <c r="D141" i="19"/>
  <c r="D142" i="19"/>
  <c r="D143" i="19"/>
  <c r="D144" i="19"/>
  <c r="D145" i="19"/>
  <c r="D146" i="19"/>
  <c r="D147" i="19"/>
  <c r="D136" i="19"/>
  <c r="C137" i="19"/>
  <c r="C138" i="19"/>
  <c r="C139" i="19"/>
  <c r="C140" i="19"/>
  <c r="C141" i="19"/>
  <c r="C142" i="19"/>
  <c r="C143" i="19"/>
  <c r="C144" i="19"/>
  <c r="C145" i="19"/>
  <c r="C146" i="19"/>
  <c r="C147" i="19"/>
  <c r="C136" i="19"/>
  <c r="B164" i="19" l="1"/>
  <c r="B161" i="19"/>
  <c r="E82" i="29"/>
  <c r="E83" i="29" s="1"/>
  <c r="E84" i="29" s="1"/>
  <c r="E85" i="29" s="1"/>
  <c r="E86" i="29" s="1"/>
  <c r="E81" i="29"/>
  <c r="E16" i="29"/>
  <c r="E17" i="29"/>
  <c r="E18" i="29"/>
  <c r="E19" i="29" s="1"/>
  <c r="E20" i="29" s="1"/>
  <c r="E15" i="29"/>
  <c r="C30" i="17" l="1"/>
  <c r="G30" i="17"/>
  <c r="F30" i="17"/>
  <c r="E30" i="17"/>
  <c r="D30" i="17"/>
  <c r="B30" i="17"/>
  <c r="F26" i="17"/>
  <c r="G26" i="17"/>
  <c r="E26" i="17"/>
  <c r="D26" i="17"/>
  <c r="C26" i="17"/>
  <c r="B26" i="17"/>
  <c r="C5" i="29" l="1"/>
  <c r="E70" i="29" l="1"/>
  <c r="E71" i="29"/>
  <c r="E72" i="29"/>
  <c r="E73" i="29"/>
  <c r="E74" i="29"/>
  <c r="E75" i="29"/>
  <c r="E69" i="29"/>
  <c r="B5" i="29"/>
  <c r="B17" i="29" s="1"/>
  <c r="D17" i="29" s="1"/>
  <c r="F17" i="29" s="1"/>
  <c r="A5" i="29"/>
  <c r="B39" i="29" l="1"/>
  <c r="D190" i="19"/>
  <c r="D191" i="19"/>
  <c r="D192" i="19"/>
  <c r="D193" i="19"/>
  <c r="D194" i="19"/>
  <c r="D195" i="19"/>
  <c r="D196" i="19"/>
  <c r="D197" i="19"/>
  <c r="D198" i="19"/>
  <c r="D199" i="19"/>
  <c r="D200" i="19"/>
  <c r="D189" i="19"/>
  <c r="C189" i="19"/>
  <c r="J189" i="19" l="1"/>
  <c r="I64" i="9"/>
  <c r="H64" i="9"/>
  <c r="S13" i="23" l="1"/>
  <c r="C12" i="18" l="1"/>
  <c r="C11" i="18"/>
  <c r="C10" i="18"/>
  <c r="C9" i="18"/>
  <c r="E12" i="17"/>
  <c r="E11" i="17"/>
  <c r="E10" i="17"/>
  <c r="E9" i="17"/>
  <c r="K16" i="9"/>
  <c r="K15" i="9"/>
  <c r="K14" i="9"/>
  <c r="K13" i="9"/>
  <c r="C12" i="17" l="1"/>
  <c r="B12" i="17"/>
  <c r="C11" i="17" l="1"/>
  <c r="B11" i="17"/>
  <c r="B12" i="18" l="1"/>
  <c r="B11" i="18"/>
  <c r="B10" i="18"/>
  <c r="B9" i="18"/>
  <c r="B8" i="18"/>
  <c r="B7" i="18"/>
  <c r="B6" i="18"/>
  <c r="B5" i="18"/>
  <c r="B4" i="18"/>
  <c r="C10" i="17"/>
  <c r="C9" i="17"/>
  <c r="C8" i="17"/>
  <c r="C7" i="17"/>
  <c r="D12" i="17"/>
  <c r="D11" i="17"/>
  <c r="D10" i="17"/>
  <c r="D9" i="17"/>
  <c r="D8" i="17"/>
  <c r="D7" i="17"/>
  <c r="D6" i="17"/>
  <c r="D5" i="17"/>
  <c r="D4" i="17"/>
  <c r="C6" i="17"/>
  <c r="C5" i="17"/>
  <c r="C4" i="17"/>
  <c r="J16" i="9"/>
  <c r="I16" i="9"/>
  <c r="I15" i="9"/>
  <c r="J15" i="9"/>
  <c r="J14" i="9"/>
  <c r="I14" i="9"/>
  <c r="I13" i="9"/>
  <c r="J13" i="9"/>
  <c r="J12" i="9"/>
  <c r="I12" i="9"/>
  <c r="I11" i="9"/>
  <c r="J11" i="9"/>
  <c r="J10" i="9"/>
  <c r="I10" i="9"/>
  <c r="I9" i="9"/>
  <c r="J9" i="9"/>
  <c r="J8" i="9"/>
  <c r="I8" i="9"/>
  <c r="B3" i="18"/>
  <c r="D3" i="17"/>
  <c r="C3" i="17"/>
  <c r="J7" i="9"/>
  <c r="I7" i="9"/>
  <c r="J5" i="19" l="1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" i="19"/>
  <c r="I136" i="19" l="1"/>
  <c r="I137" i="19" l="1"/>
  <c r="I138" i="19" l="1"/>
  <c r="I139" i="19" l="1"/>
  <c r="I140" i="19" l="1"/>
  <c r="I141" i="19" l="1"/>
  <c r="G16" i="9"/>
  <c r="G15" i="9"/>
  <c r="G14" i="9"/>
  <c r="G13" i="9"/>
  <c r="I142" i="19" l="1"/>
  <c r="I143" i="19" l="1"/>
  <c r="I144" i="19" l="1"/>
  <c r="F11" i="23"/>
  <c r="F10" i="23"/>
  <c r="I145" i="19" l="1"/>
  <c r="I146" i="19" l="1"/>
  <c r="G5" i="17"/>
  <c r="I147" i="19" l="1"/>
  <c r="G41" i="19" l="1"/>
  <c r="J41" i="19" s="1"/>
  <c r="G42" i="19"/>
  <c r="J42" i="19" s="1"/>
  <c r="G43" i="19"/>
  <c r="J43" i="19" s="1"/>
  <c r="G44" i="19"/>
  <c r="J44" i="19" s="1"/>
  <c r="G45" i="19"/>
  <c r="J45" i="19" s="1"/>
  <c r="G46" i="19"/>
  <c r="J46" i="19" s="1"/>
  <c r="G47" i="19"/>
  <c r="J47" i="19" s="1"/>
  <c r="G48" i="19"/>
  <c r="J48" i="19" s="1"/>
  <c r="G49" i="19"/>
  <c r="J49" i="19" s="1"/>
  <c r="G50" i="19"/>
  <c r="J50" i="19" s="1"/>
  <c r="G51" i="19"/>
  <c r="J51" i="19" s="1"/>
  <c r="G52" i="19"/>
  <c r="J52" i="19" s="1"/>
  <c r="G53" i="19"/>
  <c r="J53" i="19" s="1"/>
  <c r="G54" i="19"/>
  <c r="J54" i="19" s="1"/>
  <c r="G55" i="19"/>
  <c r="J55" i="19" s="1"/>
  <c r="G56" i="19"/>
  <c r="J56" i="19" s="1"/>
  <c r="G57" i="19"/>
  <c r="J57" i="19" s="1"/>
  <c r="G58" i="19"/>
  <c r="J58" i="19" s="1"/>
  <c r="G59" i="19"/>
  <c r="J59" i="19" s="1"/>
  <c r="G60" i="19"/>
  <c r="J60" i="19" s="1"/>
  <c r="G61" i="19"/>
  <c r="J61" i="19" s="1"/>
  <c r="G62" i="19"/>
  <c r="J62" i="19" s="1"/>
  <c r="G63" i="19"/>
  <c r="J63" i="19" s="1"/>
  <c r="G64" i="19"/>
  <c r="J64" i="19" s="1"/>
  <c r="G65" i="19"/>
  <c r="J65" i="19" s="1"/>
  <c r="G66" i="19"/>
  <c r="J66" i="19" s="1"/>
  <c r="G67" i="19"/>
  <c r="J67" i="19" s="1"/>
  <c r="G68" i="19"/>
  <c r="J68" i="19" s="1"/>
  <c r="G69" i="19"/>
  <c r="J69" i="19" s="1"/>
  <c r="G70" i="19"/>
  <c r="J70" i="19" s="1"/>
  <c r="G71" i="19"/>
  <c r="J71" i="19" s="1"/>
  <c r="G72" i="19"/>
  <c r="J72" i="19" s="1"/>
  <c r="G73" i="19"/>
  <c r="J73" i="19" s="1"/>
  <c r="G74" i="19"/>
  <c r="J74" i="19" s="1"/>
  <c r="G75" i="19"/>
  <c r="J75" i="19" s="1"/>
  <c r="G76" i="19"/>
  <c r="J76" i="19" s="1"/>
  <c r="G77" i="19"/>
  <c r="J77" i="19" s="1"/>
  <c r="G78" i="19"/>
  <c r="J78" i="19" s="1"/>
  <c r="G79" i="19"/>
  <c r="J79" i="19" s="1"/>
  <c r="G80" i="19"/>
  <c r="J80" i="19" s="1"/>
  <c r="G81" i="19"/>
  <c r="J81" i="19" s="1"/>
  <c r="G82" i="19"/>
  <c r="J82" i="19" s="1"/>
  <c r="G83" i="19"/>
  <c r="J83" i="19" s="1"/>
  <c r="G84" i="19"/>
  <c r="J84" i="19" s="1"/>
  <c r="G85" i="19"/>
  <c r="J85" i="19" s="1"/>
  <c r="G86" i="19"/>
  <c r="J86" i="19" s="1"/>
  <c r="G87" i="19"/>
  <c r="J87" i="19" s="1"/>
  <c r="G88" i="19"/>
  <c r="J88" i="19" s="1"/>
  <c r="G89" i="19"/>
  <c r="J89" i="19" s="1"/>
  <c r="G90" i="19"/>
  <c r="J90" i="19" s="1"/>
  <c r="G91" i="19"/>
  <c r="J91" i="19" s="1"/>
  <c r="G92" i="19"/>
  <c r="J92" i="19" s="1"/>
  <c r="G93" i="19"/>
  <c r="J93" i="19" s="1"/>
  <c r="G94" i="19"/>
  <c r="J94" i="19" s="1"/>
  <c r="G95" i="19"/>
  <c r="J95" i="19" s="1"/>
  <c r="G96" i="19"/>
  <c r="J96" i="19" s="1"/>
  <c r="G97" i="19"/>
  <c r="J97" i="19" s="1"/>
  <c r="G98" i="19"/>
  <c r="J98" i="19" s="1"/>
  <c r="G99" i="19"/>
  <c r="J99" i="19" s="1"/>
  <c r="G40" i="19"/>
  <c r="J40" i="19" s="1"/>
  <c r="E14" i="17" l="1"/>
  <c r="K36" i="11" l="1"/>
  <c r="J36" i="11"/>
  <c r="I36" i="11"/>
  <c r="H36" i="11"/>
  <c r="G36" i="11"/>
  <c r="F36" i="11"/>
  <c r="K31" i="11"/>
  <c r="J31" i="11"/>
  <c r="I31" i="11"/>
  <c r="H31" i="11"/>
  <c r="G31" i="11"/>
  <c r="F31" i="11"/>
  <c r="E31" i="11"/>
  <c r="D31" i="11"/>
  <c r="C31" i="11"/>
  <c r="B31" i="11"/>
  <c r="K26" i="11"/>
  <c r="J26" i="11"/>
  <c r="E26" i="11"/>
  <c r="F26" i="11"/>
  <c r="G26" i="11"/>
  <c r="H26" i="11"/>
  <c r="I26" i="11"/>
  <c r="K21" i="11"/>
  <c r="J21" i="11"/>
  <c r="I21" i="11"/>
  <c r="H21" i="11"/>
  <c r="G21" i="11"/>
  <c r="F21" i="11"/>
  <c r="E21" i="11"/>
  <c r="D21" i="11"/>
  <c r="C21" i="11"/>
  <c r="B21" i="11"/>
  <c r="K17" i="11"/>
  <c r="J17" i="11"/>
  <c r="I17" i="11"/>
  <c r="H17" i="11"/>
  <c r="G17" i="11"/>
  <c r="F17" i="11"/>
  <c r="C17" i="11"/>
  <c r="B17" i="11"/>
  <c r="K13" i="11"/>
  <c r="J13" i="11"/>
  <c r="I13" i="11"/>
  <c r="H13" i="11"/>
  <c r="D17" i="18"/>
  <c r="D18" i="18"/>
  <c r="D19" i="18"/>
  <c r="C20" i="18"/>
  <c r="D20" i="18"/>
  <c r="C21" i="18"/>
  <c r="D21" i="18"/>
  <c r="C22" i="18"/>
  <c r="D22" i="18"/>
  <c r="C23" i="18"/>
  <c r="D23" i="18"/>
  <c r="C24" i="18"/>
  <c r="D24" i="18"/>
  <c r="C25" i="18"/>
  <c r="D25" i="18"/>
  <c r="C26" i="18"/>
  <c r="D26" i="18"/>
  <c r="B21" i="18"/>
  <c r="B22" i="18"/>
  <c r="B23" i="18"/>
  <c r="B24" i="18"/>
  <c r="B25" i="18"/>
  <c r="B26" i="18"/>
  <c r="L26" i="9"/>
  <c r="L27" i="9"/>
  <c r="L28" i="9"/>
  <c r="K29" i="9"/>
  <c r="L29" i="9"/>
  <c r="K30" i="9"/>
  <c r="L30" i="9"/>
  <c r="M30" i="9"/>
  <c r="K31" i="9"/>
  <c r="L31" i="9"/>
  <c r="M31" i="9"/>
  <c r="K32" i="9"/>
  <c r="L32" i="9"/>
  <c r="M32" i="9"/>
  <c r="K33" i="9"/>
  <c r="L33" i="9"/>
  <c r="M33" i="9"/>
  <c r="K34" i="9"/>
  <c r="L34" i="9"/>
  <c r="M34" i="9"/>
  <c r="K35" i="9"/>
  <c r="L35" i="9"/>
  <c r="M35" i="9"/>
  <c r="J30" i="9"/>
  <c r="J31" i="9"/>
  <c r="J32" i="9"/>
  <c r="J33" i="9"/>
  <c r="J34" i="9"/>
  <c r="J35" i="9"/>
  <c r="I26" i="9"/>
  <c r="I27" i="9"/>
  <c r="I30" i="9"/>
  <c r="I31" i="9"/>
  <c r="I32" i="9"/>
  <c r="I33" i="9"/>
  <c r="I34" i="9"/>
  <c r="I35" i="9"/>
  <c r="H32" i="9"/>
  <c r="H33" i="9"/>
  <c r="H34" i="9"/>
  <c r="H35" i="9"/>
  <c r="I40" i="9" l="1"/>
  <c r="L41" i="9"/>
  <c r="M48" i="9"/>
  <c r="K46" i="9"/>
  <c r="L42" i="9"/>
  <c r="J40" i="11"/>
  <c r="K40" i="11"/>
  <c r="I44" i="9"/>
  <c r="L43" i="9"/>
  <c r="H40" i="11"/>
  <c r="L48" i="9"/>
  <c r="M45" i="9"/>
  <c r="K43" i="9"/>
  <c r="I40" i="11"/>
  <c r="J47" i="9"/>
  <c r="L47" i="9"/>
  <c r="H47" i="9"/>
  <c r="J45" i="9"/>
  <c r="M46" i="9"/>
  <c r="K44" i="9"/>
  <c r="K37" i="9"/>
  <c r="I47" i="9"/>
  <c r="M47" i="9"/>
  <c r="K45" i="9"/>
  <c r="M44" i="9"/>
  <c r="K48" i="9"/>
  <c r="H48" i="9"/>
  <c r="I45" i="9"/>
  <c r="J46" i="9"/>
  <c r="L45" i="9"/>
  <c r="L40" i="9"/>
  <c r="K47" i="9"/>
  <c r="H46" i="9"/>
  <c r="J44" i="9"/>
  <c r="L46" i="9"/>
  <c r="I48" i="9"/>
  <c r="I46" i="9"/>
  <c r="L44" i="9"/>
  <c r="J48" i="9"/>
  <c r="M10" i="9" l="1"/>
  <c r="M9" i="9"/>
  <c r="K9" i="9"/>
  <c r="M8" i="9"/>
  <c r="K8" i="9"/>
  <c r="M7" i="9"/>
  <c r="K7" i="9"/>
  <c r="H12" i="9"/>
  <c r="G12" i="9" s="1"/>
  <c r="H11" i="9"/>
  <c r="G11" i="9" s="1"/>
  <c r="H10" i="9"/>
  <c r="H9" i="9"/>
  <c r="H8" i="9"/>
  <c r="H7" i="9"/>
  <c r="G10" i="9" l="1"/>
  <c r="G8" i="9"/>
  <c r="G9" i="9"/>
  <c r="G7" i="9"/>
  <c r="C13" i="11"/>
  <c r="D17" i="11"/>
  <c r="E13" i="11"/>
  <c r="K28" i="9"/>
  <c r="K42" i="9" s="1"/>
  <c r="C19" i="18"/>
  <c r="D26" i="11"/>
  <c r="F13" i="11"/>
  <c r="F40" i="11" s="1"/>
  <c r="M28" i="9"/>
  <c r="D36" i="11"/>
  <c r="D13" i="11"/>
  <c r="K27" i="9"/>
  <c r="C26" i="11"/>
  <c r="C18" i="18"/>
  <c r="G13" i="11"/>
  <c r="G40" i="11" s="1"/>
  <c r="M29" i="9"/>
  <c r="M43" i="9" s="1"/>
  <c r="E36" i="11"/>
  <c r="K26" i="9"/>
  <c r="B26" i="11"/>
  <c r="C17" i="18"/>
  <c r="M26" i="9"/>
  <c r="B36" i="11"/>
  <c r="M27" i="9"/>
  <c r="C36" i="11"/>
  <c r="I29" i="9"/>
  <c r="I43" i="9" s="1"/>
  <c r="E17" i="11"/>
  <c r="B13" i="11"/>
  <c r="J28" i="9"/>
  <c r="B19" i="18"/>
  <c r="J29" i="9"/>
  <c r="B20" i="18"/>
  <c r="J26" i="9"/>
  <c r="B17" i="18"/>
  <c r="J27" i="9"/>
  <c r="B18" i="18"/>
  <c r="B8" i="17"/>
  <c r="B7" i="17"/>
  <c r="B6" i="17"/>
  <c r="B5" i="17"/>
  <c r="B4" i="17"/>
  <c r="B3" i="17"/>
  <c r="X34" i="27"/>
  <c r="W34" i="27"/>
  <c r="U34" i="27"/>
  <c r="U18" i="27"/>
  <c r="T34" i="27"/>
  <c r="T18" i="27"/>
  <c r="S34" i="27"/>
  <c r="S18" i="27"/>
  <c r="R34" i="27"/>
  <c r="R18" i="27"/>
  <c r="C18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B18" i="27"/>
  <c r="C34" i="27"/>
  <c r="D34" i="27"/>
  <c r="E34" i="27"/>
  <c r="F34" i="27"/>
  <c r="G34" i="27"/>
  <c r="H34" i="27"/>
  <c r="I34" i="27"/>
  <c r="J34" i="27"/>
  <c r="K34" i="27"/>
  <c r="L34" i="27"/>
  <c r="M34" i="27"/>
  <c r="N34" i="27"/>
  <c r="O34" i="27"/>
  <c r="P34" i="27"/>
  <c r="Q34" i="27"/>
  <c r="B34" i="27"/>
  <c r="B20" i="27"/>
  <c r="C20" i="27"/>
  <c r="D20" i="27"/>
  <c r="E20" i="27"/>
  <c r="F20" i="27"/>
  <c r="G20" i="27"/>
  <c r="H20" i="27"/>
  <c r="I20" i="27"/>
  <c r="B40" i="11" l="1"/>
  <c r="E40" i="11"/>
  <c r="M42" i="9"/>
  <c r="H31" i="9"/>
  <c r="H45" i="9" s="1"/>
  <c r="H28" i="9"/>
  <c r="I28" i="9"/>
  <c r="H26" i="9"/>
  <c r="H29" i="9"/>
  <c r="H30" i="9"/>
  <c r="M41" i="9"/>
  <c r="K40" i="9"/>
  <c r="H27" i="9"/>
  <c r="D40" i="11"/>
  <c r="M40" i="9"/>
  <c r="C40" i="11"/>
  <c r="K41" i="9"/>
  <c r="J40" i="9"/>
  <c r="J41" i="9"/>
  <c r="J42" i="9"/>
  <c r="J43" i="9"/>
  <c r="P2" i="23"/>
  <c r="P6" i="23"/>
  <c r="H41" i="9" l="1"/>
  <c r="H42" i="9"/>
  <c r="H44" i="9"/>
  <c r="I41" i="9"/>
  <c r="I42" i="9"/>
  <c r="H40" i="9"/>
  <c r="H43" i="9"/>
  <c r="C59" i="29" l="1"/>
  <c r="C60" i="29"/>
  <c r="C61" i="29"/>
  <c r="C62" i="29"/>
  <c r="C63" i="29"/>
  <c r="C64" i="29"/>
  <c r="C58" i="29"/>
  <c r="C26" i="29"/>
  <c r="C37" i="29" s="1"/>
  <c r="C27" i="29"/>
  <c r="C38" i="29" s="1"/>
  <c r="C29" i="29"/>
  <c r="C40" i="29" s="1"/>
  <c r="C30" i="29"/>
  <c r="C41" i="29" s="1"/>
  <c r="C31" i="29"/>
  <c r="C42" i="29" s="1"/>
  <c r="A17" i="29"/>
  <c r="A28" i="29" s="1"/>
  <c r="A4" i="29"/>
  <c r="A16" i="29" s="1"/>
  <c r="A27" i="29" s="1"/>
  <c r="A3" i="29"/>
  <c r="A15" i="29" s="1"/>
  <c r="A26" i="29" s="1"/>
  <c r="A2" i="29"/>
  <c r="A14" i="29" s="1"/>
  <c r="A25" i="29" s="1"/>
  <c r="F8" i="23"/>
  <c r="R7" i="23"/>
  <c r="S7" i="23"/>
  <c r="Q7" i="23"/>
  <c r="E5" i="23"/>
  <c r="D4" i="23"/>
  <c r="E4" i="23" s="1"/>
  <c r="D5" i="23"/>
  <c r="D6" i="23"/>
  <c r="E6" i="23" s="1"/>
  <c r="D7" i="23"/>
  <c r="E7" i="23" s="1"/>
  <c r="D8" i="23"/>
  <c r="E8" i="23" s="1"/>
  <c r="D9" i="23"/>
  <c r="E9" i="23" s="1"/>
  <c r="D10" i="23" s="1"/>
  <c r="E10" i="23" s="1"/>
  <c r="C12" i="23"/>
  <c r="C25" i="17"/>
  <c r="D25" i="17"/>
  <c r="E25" i="17"/>
  <c r="F25" i="17"/>
  <c r="G25" i="17"/>
  <c r="B25" i="17"/>
  <c r="B160" i="19"/>
  <c r="K4" i="11" s="1"/>
  <c r="B159" i="19"/>
  <c r="B158" i="19"/>
  <c r="I4" i="11" s="1"/>
  <c r="B157" i="19"/>
  <c r="H4" i="11" s="1"/>
  <c r="H55" i="11" s="1"/>
  <c r="B156" i="19"/>
  <c r="G4" i="11" s="1"/>
  <c r="G55" i="11" s="1"/>
  <c r="B155" i="19"/>
  <c r="F4" i="11" s="1"/>
  <c r="F55" i="11" s="1"/>
  <c r="B154" i="19"/>
  <c r="E4" i="11" s="1"/>
  <c r="E55" i="11" s="1"/>
  <c r="B153" i="19"/>
  <c r="D4" i="11" s="1"/>
  <c r="D55" i="11" s="1"/>
  <c r="B152" i="19"/>
  <c r="C4" i="11" s="1"/>
  <c r="C55" i="11" s="1"/>
  <c r="B151" i="19"/>
  <c r="B4" i="11" s="1"/>
  <c r="B55" i="11" s="1"/>
  <c r="K55" i="11" l="1"/>
  <c r="I55" i="11"/>
  <c r="A49" i="29"/>
  <c r="A60" i="29" s="1"/>
  <c r="A71" i="29" s="1"/>
  <c r="A82" i="29" s="1"/>
  <c r="A38" i="29"/>
  <c r="A48" i="29"/>
  <c r="A59" i="29" s="1"/>
  <c r="A70" i="29" s="1"/>
  <c r="A81" i="29" s="1"/>
  <c r="A37" i="29"/>
  <c r="A47" i="29"/>
  <c r="A58" i="29" s="1"/>
  <c r="A69" i="29" s="1"/>
  <c r="A80" i="29" s="1"/>
  <c r="A36" i="29"/>
  <c r="A50" i="29"/>
  <c r="A61" i="29" s="1"/>
  <c r="A72" i="29" s="1"/>
  <c r="A83" i="29" s="1"/>
  <c r="A39" i="29"/>
  <c r="J4" i="11"/>
  <c r="B15" i="9"/>
  <c r="B12" i="23"/>
  <c r="D11" i="23"/>
  <c r="E11" i="23" s="1"/>
  <c r="C25" i="29"/>
  <c r="C36" i="29" s="1"/>
  <c r="D185" i="19"/>
  <c r="D184" i="19"/>
  <c r="D183" i="19"/>
  <c r="D182" i="19"/>
  <c r="D181" i="19"/>
  <c r="D180" i="19"/>
  <c r="D179" i="19"/>
  <c r="D178" i="19"/>
  <c r="D177" i="19"/>
  <c r="D176" i="19"/>
  <c r="D175" i="19"/>
  <c r="D174" i="19"/>
  <c r="C175" i="19"/>
  <c r="C176" i="19"/>
  <c r="C177" i="19"/>
  <c r="C178" i="19"/>
  <c r="C179" i="19"/>
  <c r="C180" i="19"/>
  <c r="C181" i="19"/>
  <c r="C182" i="19"/>
  <c r="C183" i="19"/>
  <c r="C184" i="19"/>
  <c r="C185" i="19"/>
  <c r="C174" i="19"/>
  <c r="C191" i="19"/>
  <c r="J191" i="19" s="1"/>
  <c r="C195" i="19"/>
  <c r="J195" i="19" s="1"/>
  <c r="C199" i="19"/>
  <c r="J199" i="19" s="1"/>
  <c r="U20" i="27"/>
  <c r="T20" i="27"/>
  <c r="S20" i="27"/>
  <c r="R20" i="27"/>
  <c r="Q20" i="27"/>
  <c r="P20" i="27"/>
  <c r="O20" i="27"/>
  <c r="N20" i="27"/>
  <c r="M20" i="27"/>
  <c r="L20" i="27"/>
  <c r="K20" i="27"/>
  <c r="J20" i="27"/>
  <c r="C200" i="19"/>
  <c r="J200" i="19" s="1"/>
  <c r="C198" i="19"/>
  <c r="J198" i="19" s="1"/>
  <c r="C197" i="19"/>
  <c r="J197" i="19" s="1"/>
  <c r="C196" i="19"/>
  <c r="J196" i="19" s="1"/>
  <c r="C194" i="19"/>
  <c r="J194" i="19" s="1"/>
  <c r="C193" i="19"/>
  <c r="J193" i="19" s="1"/>
  <c r="C192" i="19"/>
  <c r="J192" i="19" s="1"/>
  <c r="C190" i="19"/>
  <c r="J190" i="19" s="1"/>
  <c r="K200" i="19" l="1"/>
  <c r="J55" i="11"/>
  <c r="E4" i="18"/>
  <c r="S6" i="23"/>
  <c r="F3" i="23"/>
  <c r="B7" i="9"/>
  <c r="B8" i="9"/>
  <c r="B9" i="9"/>
  <c r="B10" i="9"/>
  <c r="B11" i="9"/>
  <c r="B12" i="9"/>
  <c r="B13" i="9"/>
  <c r="B14" i="9"/>
  <c r="B16" i="9"/>
  <c r="N14" i="23"/>
  <c r="E17" i="17"/>
  <c r="E16" i="11"/>
  <c r="F20" i="17"/>
  <c r="G16" i="11"/>
  <c r="E21" i="17"/>
  <c r="H12" i="11"/>
  <c r="H35" i="11"/>
  <c r="G23" i="17"/>
  <c r="G24" i="17"/>
  <c r="E27" i="11"/>
  <c r="F32" i="11"/>
  <c r="J32" i="11"/>
  <c r="A34" i="11"/>
  <c r="A7" i="9"/>
  <c r="A26" i="9" s="1"/>
  <c r="G2" i="23"/>
  <c r="H2" i="23" s="1"/>
  <c r="A8" i="9"/>
  <c r="A27" i="9" s="1"/>
  <c r="A9" i="9"/>
  <c r="A28" i="9" s="1"/>
  <c r="A10" i="9"/>
  <c r="A29" i="9" s="1"/>
  <c r="A11" i="9"/>
  <c r="A30" i="9" s="1"/>
  <c r="A12" i="9"/>
  <c r="A31" i="9" s="1"/>
  <c r="A13" i="9"/>
  <c r="A32" i="9" s="1"/>
  <c r="A14" i="9"/>
  <c r="A33" i="9" s="1"/>
  <c r="A15" i="9"/>
  <c r="A34" i="9" s="1"/>
  <c r="A16" i="9"/>
  <c r="A35" i="9" s="1"/>
  <c r="A17" i="9"/>
  <c r="A36" i="9" s="1"/>
  <c r="A18" i="9"/>
  <c r="A37" i="9" s="1"/>
  <c r="A15" i="11"/>
  <c r="A11" i="11"/>
  <c r="B2" i="18"/>
  <c r="A29" i="11"/>
  <c r="A24" i="11"/>
  <c r="A19" i="11"/>
  <c r="D3" i="23"/>
  <c r="D12" i="23" s="1"/>
  <c r="E12" i="23" s="1"/>
  <c r="H25" i="11"/>
  <c r="D27" i="11"/>
  <c r="D25" i="11"/>
  <c r="I30" i="11"/>
  <c r="B32" i="11"/>
  <c r="B22" i="11"/>
  <c r="J16" i="11"/>
  <c r="C20" i="17"/>
  <c r="E23" i="17"/>
  <c r="F16" i="11"/>
  <c r="C21" i="17"/>
  <c r="I12" i="11"/>
  <c r="C22" i="11"/>
  <c r="J27" i="11"/>
  <c r="C12" i="11"/>
  <c r="I25" i="11"/>
  <c r="G22" i="11"/>
  <c r="J12" i="11"/>
  <c r="F20" i="11"/>
  <c r="H20" i="11"/>
  <c r="H30" i="11"/>
  <c r="E30" i="11"/>
  <c r="B16" i="11"/>
  <c r="G22" i="17"/>
  <c r="G12" i="11"/>
  <c r="B22" i="17"/>
  <c r="F5" i="23"/>
  <c r="E19" i="17"/>
  <c r="H32" i="11"/>
  <c r="G27" i="11"/>
  <c r="E22" i="11"/>
  <c r="C32" i="11"/>
  <c r="F22" i="11"/>
  <c r="B17" i="17"/>
  <c r="I35" i="11"/>
  <c r="H9" i="17"/>
  <c r="F27" i="11"/>
  <c r="E32" i="11"/>
  <c r="G20" i="11"/>
  <c r="C16" i="11"/>
  <c r="F35" i="11"/>
  <c r="Q6" i="23"/>
  <c r="E7" i="18"/>
  <c r="C20" i="11"/>
  <c r="D17" i="17"/>
  <c r="I27" i="11"/>
  <c r="G20" i="17"/>
  <c r="D22" i="11"/>
  <c r="J35" i="11"/>
  <c r="I20" i="11"/>
  <c r="D23" i="17"/>
  <c r="C22" i="17"/>
  <c r="H16" i="11"/>
  <c r="B25" i="11"/>
  <c r="F23" i="17"/>
  <c r="E11" i="18"/>
  <c r="E35" i="11"/>
  <c r="C35" i="11"/>
  <c r="D32" i="11"/>
  <c r="F12" i="11"/>
  <c r="F18" i="17"/>
  <c r="B12" i="11"/>
  <c r="H3" i="17"/>
  <c r="E24" i="17"/>
  <c r="J25" i="11"/>
  <c r="F25" i="11"/>
  <c r="E20" i="17"/>
  <c r="B20" i="17"/>
  <c r="H7" i="17"/>
  <c r="E25" i="11"/>
  <c r="E12" i="11"/>
  <c r="H6" i="17"/>
  <c r="D20" i="11"/>
  <c r="D19" i="17"/>
  <c r="D18" i="17"/>
  <c r="C30" i="11"/>
  <c r="F17" i="17"/>
  <c r="H4" i="17"/>
  <c r="B21" i="17"/>
  <c r="F19" i="17"/>
  <c r="D30" i="11"/>
  <c r="E3" i="18"/>
  <c r="B27" i="11"/>
  <c r="J22" i="11"/>
  <c r="E9" i="18"/>
  <c r="H22" i="11"/>
  <c r="E8" i="18"/>
  <c r="E5" i="18"/>
  <c r="B23" i="17"/>
  <c r="G25" i="11"/>
  <c r="E22" i="17"/>
  <c r="B30" i="11"/>
  <c r="I32" i="11"/>
  <c r="H27" i="11"/>
  <c r="G32" i="11"/>
  <c r="G35" i="11"/>
  <c r="G21" i="17"/>
  <c r="B20" i="11"/>
  <c r="G19" i="17"/>
  <c r="G18" i="17"/>
  <c r="C25" i="11"/>
  <c r="E18" i="17"/>
  <c r="B19" i="17"/>
  <c r="H5" i="17"/>
  <c r="D12" i="11"/>
  <c r="B18" i="17"/>
  <c r="B35" i="11"/>
  <c r="G17" i="17"/>
  <c r="F24" i="17"/>
  <c r="J30" i="11"/>
  <c r="D24" i="17"/>
  <c r="J20" i="11"/>
  <c r="F21" i="17"/>
  <c r="G30" i="11"/>
  <c r="F22" i="17"/>
  <c r="D22" i="17"/>
  <c r="D21" i="17"/>
  <c r="H8" i="17"/>
  <c r="D35" i="11"/>
  <c r="I16" i="11"/>
  <c r="C24" i="17"/>
  <c r="H10" i="17"/>
  <c r="C23" i="17"/>
  <c r="I22" i="11"/>
  <c r="C27" i="11"/>
  <c r="E20" i="11"/>
  <c r="D20" i="17"/>
  <c r="C19" i="17"/>
  <c r="D16" i="11"/>
  <c r="C18" i="17"/>
  <c r="C17" i="17"/>
  <c r="P10" i="23"/>
  <c r="F7" i="23"/>
  <c r="B24" i="17"/>
  <c r="H11" i="17"/>
  <c r="F30" i="11"/>
  <c r="E6" i="18"/>
  <c r="E10" i="18"/>
  <c r="J46" i="11" l="1"/>
  <c r="I46" i="11"/>
  <c r="H46" i="11"/>
  <c r="G46" i="11"/>
  <c r="F46" i="11"/>
  <c r="E46" i="11"/>
  <c r="D46" i="11"/>
  <c r="C46" i="11"/>
  <c r="B46" i="11"/>
  <c r="I41" i="11"/>
  <c r="J41" i="11"/>
  <c r="E41" i="11"/>
  <c r="G39" i="11"/>
  <c r="I39" i="11"/>
  <c r="F39" i="11"/>
  <c r="B41" i="11"/>
  <c r="B51" i="11" s="1"/>
  <c r="F41" i="11"/>
  <c r="D39" i="11"/>
  <c r="D41" i="11"/>
  <c r="J39" i="11"/>
  <c r="G41" i="11"/>
  <c r="C41" i="11"/>
  <c r="E39" i="11"/>
  <c r="H39" i="11"/>
  <c r="H41" i="11"/>
  <c r="B39" i="11"/>
  <c r="C39" i="11"/>
  <c r="G44" i="11"/>
  <c r="F44" i="11"/>
  <c r="E44" i="11"/>
  <c r="C44" i="11"/>
  <c r="B44" i="11"/>
  <c r="B8" i="11"/>
  <c r="B45" i="11"/>
  <c r="B50" i="11" s="1"/>
  <c r="D8" i="11"/>
  <c r="D45" i="11"/>
  <c r="C45" i="11"/>
  <c r="C8" i="11"/>
  <c r="E8" i="11"/>
  <c r="E45" i="11"/>
  <c r="E50" i="11" s="1"/>
  <c r="F45" i="11"/>
  <c r="F50" i="11" s="1"/>
  <c r="F8" i="11"/>
  <c r="G45" i="11"/>
  <c r="G8" i="11"/>
  <c r="D44" i="11"/>
  <c r="I44" i="11"/>
  <c r="J44" i="11"/>
  <c r="H45" i="11"/>
  <c r="H8" i="11"/>
  <c r="K45" i="11"/>
  <c r="K8" i="11"/>
  <c r="I45" i="11"/>
  <c r="I8" i="11"/>
  <c r="J45" i="11"/>
  <c r="J8" i="11"/>
  <c r="H44" i="11"/>
  <c r="A8" i="29"/>
  <c r="A20" i="29" s="1"/>
  <c r="A31" i="29" s="1"/>
  <c r="D2" i="18"/>
  <c r="A7" i="29"/>
  <c r="A19" i="29" s="1"/>
  <c r="A30" i="29" s="1"/>
  <c r="C2" i="18"/>
  <c r="A6" i="29"/>
  <c r="A18" i="29" s="1"/>
  <c r="A29" i="29" s="1"/>
  <c r="F28" i="17"/>
  <c r="G3" i="23"/>
  <c r="H3" i="23" s="1"/>
  <c r="F16" i="23" s="1"/>
  <c r="F8" i="9"/>
  <c r="F15" i="9"/>
  <c r="F13" i="9"/>
  <c r="F10" i="9"/>
  <c r="F16" i="9"/>
  <c r="F14" i="9"/>
  <c r="F12" i="9"/>
  <c r="F11" i="9"/>
  <c r="F7" i="9"/>
  <c r="F9" i="9"/>
  <c r="F17" i="23"/>
  <c r="R6" i="23"/>
  <c r="T6" i="23" s="1"/>
  <c r="E3" i="23"/>
  <c r="F4" i="23"/>
  <c r="F6" i="23"/>
  <c r="P16" i="23"/>
  <c r="T12" i="23"/>
  <c r="K30" i="11"/>
  <c r="J158" i="19"/>
  <c r="I5" i="11" s="1"/>
  <c r="X18" i="27"/>
  <c r="W18" i="27"/>
  <c r="J155" i="19"/>
  <c r="F5" i="11" s="1"/>
  <c r="F56" i="11" s="1"/>
  <c r="J152" i="19"/>
  <c r="C5" i="11" s="1"/>
  <c r="C56" i="11" s="1"/>
  <c r="J156" i="19"/>
  <c r="G5" i="11" s="1"/>
  <c r="G56" i="11" s="1"/>
  <c r="J154" i="19"/>
  <c r="J153" i="19"/>
  <c r="J157" i="19"/>
  <c r="H5" i="11" s="1"/>
  <c r="H56" i="11" s="1"/>
  <c r="F51" i="11" l="1"/>
  <c r="I56" i="11"/>
  <c r="A53" i="29"/>
  <c r="A64" i="29" s="1"/>
  <c r="A75" i="29" s="1"/>
  <c r="A86" i="29" s="1"/>
  <c r="A42" i="29"/>
  <c r="A52" i="29"/>
  <c r="A63" i="29" s="1"/>
  <c r="A74" i="29" s="1"/>
  <c r="A85" i="29" s="1"/>
  <c r="A41" i="29"/>
  <c r="A51" i="29"/>
  <c r="A62" i="29" s="1"/>
  <c r="A73" i="29" s="1"/>
  <c r="A84" i="29" s="1"/>
  <c r="A40" i="29"/>
  <c r="E51" i="11"/>
  <c r="G51" i="11"/>
  <c r="D51" i="11"/>
  <c r="C51" i="11"/>
  <c r="F49" i="11"/>
  <c r="B49" i="11"/>
  <c r="G49" i="11"/>
  <c r="E49" i="11"/>
  <c r="C49" i="11"/>
  <c r="C50" i="11"/>
  <c r="D49" i="11"/>
  <c r="J151" i="19"/>
  <c r="F14" i="17"/>
  <c r="K153" i="19"/>
  <c r="L153" i="19" s="1"/>
  <c r="D5" i="11"/>
  <c r="D56" i="11" s="1"/>
  <c r="K154" i="19"/>
  <c r="L154" i="19" s="1"/>
  <c r="E5" i="11"/>
  <c r="E56" i="11" s="1"/>
  <c r="L30" i="11"/>
  <c r="K157" i="19"/>
  <c r="L157" i="19" s="1"/>
  <c r="F12" i="23"/>
  <c r="F18" i="23"/>
  <c r="C12" i="9"/>
  <c r="D12" i="9" s="1"/>
  <c r="E12" i="9" s="1"/>
  <c r="I51" i="11"/>
  <c r="H50" i="11"/>
  <c r="I50" i="11"/>
  <c r="I51" i="9"/>
  <c r="M51" i="9"/>
  <c r="G50" i="11"/>
  <c r="H51" i="11"/>
  <c r="J50" i="11"/>
  <c r="D50" i="11"/>
  <c r="J51" i="11"/>
  <c r="K155" i="19"/>
  <c r="L155" i="19" s="1"/>
  <c r="K156" i="19"/>
  <c r="L156" i="19" s="1"/>
  <c r="C8" i="9"/>
  <c r="D8" i="9" s="1"/>
  <c r="E8" i="9" s="1"/>
  <c r="K152" i="19"/>
  <c r="L152" i="19" s="1"/>
  <c r="K158" i="19"/>
  <c r="L158" i="19" s="1"/>
  <c r="F19" i="23"/>
  <c r="Q10" i="23"/>
  <c r="J49" i="11"/>
  <c r="H49" i="11"/>
  <c r="C28" i="17"/>
  <c r="B28" i="17"/>
  <c r="M25" i="11"/>
  <c r="D28" i="17"/>
  <c r="D14" i="17" s="1"/>
  <c r="I49" i="11"/>
  <c r="G28" i="17"/>
  <c r="C14" i="9"/>
  <c r="D14" i="9" s="1"/>
  <c r="E14" i="9" s="1"/>
  <c r="C11" i="9"/>
  <c r="D11" i="9" s="1"/>
  <c r="E11" i="9" s="1"/>
  <c r="C10" i="9"/>
  <c r="D10" i="9" s="1"/>
  <c r="E10" i="9" s="1"/>
  <c r="C13" i="9"/>
  <c r="D13" i="9" s="1"/>
  <c r="E13" i="9" s="1"/>
  <c r="C9" i="9"/>
  <c r="D9" i="9" s="1"/>
  <c r="E9" i="9" s="1"/>
  <c r="B5" i="11" l="1"/>
  <c r="B56" i="11" s="1"/>
  <c r="K151" i="19"/>
  <c r="L151" i="19" s="1"/>
  <c r="C7" i="9"/>
  <c r="D7" i="9" s="1"/>
  <c r="E7" i="9" s="1"/>
  <c r="G14" i="17"/>
  <c r="M30" i="11"/>
  <c r="C14" i="17"/>
  <c r="B14" i="17"/>
  <c r="D6" i="11"/>
  <c r="M37" i="9"/>
  <c r="M56" i="9"/>
  <c r="I37" i="9"/>
  <c r="I56" i="9"/>
  <c r="Q16" i="23"/>
  <c r="T7" i="23"/>
  <c r="R8" i="23" s="1"/>
  <c r="R10" i="23" s="1"/>
  <c r="F20" i="23"/>
  <c r="L51" i="9"/>
  <c r="K51" i="9"/>
  <c r="K25" i="11"/>
  <c r="L25" i="11"/>
  <c r="K20" i="11"/>
  <c r="L20" i="11"/>
  <c r="J51" i="9"/>
  <c r="J56" i="9" s="1"/>
  <c r="K35" i="11"/>
  <c r="L35" i="11"/>
  <c r="K12" i="11"/>
  <c r="H12" i="17"/>
  <c r="K16" i="11"/>
  <c r="L16" i="11"/>
  <c r="C6" i="11"/>
  <c r="B6" i="11" l="1"/>
  <c r="M57" i="9"/>
  <c r="I57" i="9"/>
  <c r="I66" i="9" s="1"/>
  <c r="K39" i="11"/>
  <c r="H14" i="17"/>
  <c r="M44" i="11" s="1"/>
  <c r="M12" i="11"/>
  <c r="M35" i="11"/>
  <c r="M20" i="11"/>
  <c r="M16" i="11"/>
  <c r="K44" i="11"/>
  <c r="R14" i="23"/>
  <c r="S8" i="23"/>
  <c r="S9" i="23" s="1"/>
  <c r="T9" i="23" s="1"/>
  <c r="M66" i="9"/>
  <c r="J37" i="9"/>
  <c r="J57" i="9" s="1"/>
  <c r="K57" i="9"/>
  <c r="K56" i="9"/>
  <c r="L37" i="9"/>
  <c r="L57" i="9" s="1"/>
  <c r="L56" i="9"/>
  <c r="F21" i="23"/>
  <c r="H13" i="17"/>
  <c r="L44" i="11" s="1"/>
  <c r="L12" i="11"/>
  <c r="M65" i="9"/>
  <c r="G74" i="9" l="1"/>
  <c r="K74" i="9" s="1"/>
  <c r="M66" i="11"/>
  <c r="L39" i="11"/>
  <c r="M39" i="11"/>
  <c r="H74" i="9"/>
  <c r="J74" i="9"/>
  <c r="I74" i="9"/>
  <c r="R16" i="23"/>
  <c r="J66" i="9"/>
  <c r="L66" i="9"/>
  <c r="K66" i="9"/>
  <c r="S10" i="23"/>
  <c r="T10" i="23" s="1"/>
  <c r="F22" i="23"/>
  <c r="T13" i="23"/>
  <c r="T8" i="23"/>
  <c r="S14" i="23"/>
  <c r="K49" i="11"/>
  <c r="K65" i="9"/>
  <c r="L65" i="9"/>
  <c r="I65" i="9"/>
  <c r="J65" i="9"/>
  <c r="M49" i="11" l="1"/>
  <c r="S15" i="23"/>
  <c r="T14" i="23"/>
  <c r="F23" i="23"/>
  <c r="L49" i="11"/>
  <c r="M75" i="9" l="1"/>
  <c r="I75" i="9"/>
  <c r="H75" i="9"/>
  <c r="L75" i="9"/>
  <c r="K75" i="9"/>
  <c r="J75" i="9"/>
  <c r="T15" i="23"/>
  <c r="S16" i="23"/>
  <c r="T16" i="23" s="1"/>
  <c r="F24" i="23"/>
  <c r="N75" i="9" l="1"/>
  <c r="F25" i="23"/>
  <c r="L74" i="9" l="1"/>
  <c r="F26" i="23"/>
  <c r="M74" i="9" l="1"/>
  <c r="F27" i="23"/>
  <c r="N74" i="9" l="1"/>
  <c r="H27" i="23"/>
  <c r="G4" i="23" s="1"/>
  <c r="H4" i="23" s="1"/>
  <c r="F28" i="23"/>
  <c r="G27" i="23"/>
  <c r="J3" i="23" s="1"/>
  <c r="K3" i="23" s="1"/>
  <c r="F29" i="23" l="1"/>
  <c r="E6" i="11" l="1"/>
  <c r="F30" i="23"/>
  <c r="F31" i="23" l="1"/>
  <c r="F32" i="23" l="1"/>
  <c r="F33" i="23" l="1"/>
  <c r="F34" i="23" l="1"/>
  <c r="F35" i="23" l="1"/>
  <c r="F36" i="23" l="1"/>
  <c r="F37" i="23" l="1"/>
  <c r="F38" i="23" l="1"/>
  <c r="F39" i="23" l="1"/>
  <c r="H39" i="23" l="1"/>
  <c r="G5" i="23" s="1"/>
  <c r="H5" i="23" s="1"/>
  <c r="F40" i="23" s="1"/>
  <c r="G39" i="23"/>
  <c r="J4" i="23" s="1"/>
  <c r="K4" i="23" s="1"/>
  <c r="F41" i="23" l="1"/>
  <c r="F6" i="11" l="1"/>
  <c r="F42" i="23"/>
  <c r="F43" i="23" l="1"/>
  <c r="F44" i="23" l="1"/>
  <c r="F45" i="23" l="1"/>
  <c r="F46" i="23" l="1"/>
  <c r="F47" i="23" l="1"/>
  <c r="F48" i="23" l="1"/>
  <c r="F49" i="23" l="1"/>
  <c r="F50" i="23" l="1"/>
  <c r="F51" i="23" l="1"/>
  <c r="H51" i="23" l="1"/>
  <c r="G6" i="23" s="1"/>
  <c r="H6" i="23" s="1"/>
  <c r="F52" i="23" s="1"/>
  <c r="G51" i="23"/>
  <c r="J5" i="23" s="1"/>
  <c r="K5" i="23" s="1"/>
  <c r="F53" i="23" l="1"/>
  <c r="F54" i="23" l="1"/>
  <c r="F55" i="23" l="1"/>
  <c r="F56" i="23" l="1"/>
  <c r="F57" i="23" l="1"/>
  <c r="F58" i="23" l="1"/>
  <c r="F59" i="23" l="1"/>
  <c r="F60" i="23" l="1"/>
  <c r="F61" i="23" l="1"/>
  <c r="F62" i="23" l="1"/>
  <c r="F63" i="23" l="1"/>
  <c r="H63" i="23" l="1"/>
  <c r="G7" i="23" s="1"/>
  <c r="H7" i="23" s="1"/>
  <c r="F64" i="23" s="1"/>
  <c r="G63" i="23"/>
  <c r="J6" i="23" s="1"/>
  <c r="K6" i="23" s="1"/>
  <c r="F65" i="23" l="1"/>
  <c r="F66" i="23" l="1"/>
  <c r="F67" i="23" l="1"/>
  <c r="F68" i="23" l="1"/>
  <c r="F69" i="23" l="1"/>
  <c r="F70" i="23" l="1"/>
  <c r="F71" i="23" l="1"/>
  <c r="F72" i="23" l="1"/>
  <c r="F73" i="23" l="1"/>
  <c r="F74" i="23" l="1"/>
  <c r="F75" i="23" l="1"/>
  <c r="H75" i="23" l="1"/>
  <c r="G8" i="23" s="1"/>
  <c r="H8" i="23" s="1"/>
  <c r="F76" i="23" s="1"/>
  <c r="G100" i="19" s="1"/>
  <c r="J100" i="19" s="1"/>
  <c r="G75" i="23"/>
  <c r="J7" i="23" s="1"/>
  <c r="K7" i="23" s="1"/>
  <c r="F77" i="23" l="1"/>
  <c r="G101" i="19" s="1"/>
  <c r="J101" i="19" s="1"/>
  <c r="F78" i="23" l="1"/>
  <c r="G102" i="19" s="1"/>
  <c r="J102" i="19" s="1"/>
  <c r="I6" i="11"/>
  <c r="F79" i="23" l="1"/>
  <c r="G103" i="19" s="1"/>
  <c r="J103" i="19" s="1"/>
  <c r="F80" i="23" l="1"/>
  <c r="G104" i="19" s="1"/>
  <c r="J104" i="19" s="1"/>
  <c r="F81" i="23" l="1"/>
  <c r="G105" i="19" s="1"/>
  <c r="J105" i="19" s="1"/>
  <c r="F82" i="23" l="1"/>
  <c r="G106" i="19" s="1"/>
  <c r="J106" i="19" s="1"/>
  <c r="F83" i="23" l="1"/>
  <c r="G107" i="19" s="1"/>
  <c r="J107" i="19" s="1"/>
  <c r="F84" i="23" l="1"/>
  <c r="G108" i="19" s="1"/>
  <c r="J108" i="19" s="1"/>
  <c r="F85" i="23" l="1"/>
  <c r="G109" i="19" s="1"/>
  <c r="J109" i="19" s="1"/>
  <c r="F86" i="23" l="1"/>
  <c r="G110" i="19" s="1"/>
  <c r="J110" i="19" s="1"/>
  <c r="F87" i="23" l="1"/>
  <c r="G111" i="19" s="1"/>
  <c r="J111" i="19" s="1"/>
  <c r="J159" i="19" l="1"/>
  <c r="H87" i="23"/>
  <c r="G9" i="23" s="1"/>
  <c r="H9" i="23" s="1"/>
  <c r="F88" i="23" s="1"/>
  <c r="G112" i="19" s="1"/>
  <c r="J112" i="19" s="1"/>
  <c r="G87" i="23"/>
  <c r="J8" i="23" s="1"/>
  <c r="C15" i="9" l="1"/>
  <c r="D15" i="9" s="1"/>
  <c r="E15" i="9" s="1"/>
  <c r="K159" i="19"/>
  <c r="L159" i="19" s="1"/>
  <c r="J5" i="11"/>
  <c r="K8" i="23"/>
  <c r="F89" i="23"/>
  <c r="G113" i="19" s="1"/>
  <c r="J113" i="19" s="1"/>
  <c r="J56" i="11" l="1"/>
  <c r="J6" i="11"/>
  <c r="F90" i="23"/>
  <c r="G114" i="19" s="1"/>
  <c r="J114" i="19" s="1"/>
  <c r="F91" i="23" l="1"/>
  <c r="G115" i="19" s="1"/>
  <c r="J115" i="19" s="1"/>
  <c r="F92" i="23" l="1"/>
  <c r="G116" i="19" s="1"/>
  <c r="J116" i="19" s="1"/>
  <c r="F93" i="23" l="1"/>
  <c r="G117" i="19" s="1"/>
  <c r="J117" i="19" s="1"/>
  <c r="F94" i="23" l="1"/>
  <c r="G118" i="19" s="1"/>
  <c r="J118" i="19" s="1"/>
  <c r="F95" i="23" l="1"/>
  <c r="G119" i="19" s="1"/>
  <c r="J119" i="19" s="1"/>
  <c r="F96" i="23" l="1"/>
  <c r="G120" i="19" s="1"/>
  <c r="J120" i="19" s="1"/>
  <c r="F97" i="23" l="1"/>
  <c r="G121" i="19" s="1"/>
  <c r="J121" i="19" s="1"/>
  <c r="F98" i="23" l="1"/>
  <c r="G122" i="19" s="1"/>
  <c r="J122" i="19" s="1"/>
  <c r="F99" i="23" l="1"/>
  <c r="G123" i="19" s="1"/>
  <c r="J123" i="19" s="1"/>
  <c r="J160" i="19" l="1"/>
  <c r="H99" i="23"/>
  <c r="G10" i="23" s="1"/>
  <c r="H10" i="23" s="1"/>
  <c r="F100" i="23" s="1"/>
  <c r="G124" i="19" s="1"/>
  <c r="J124" i="19" s="1"/>
  <c r="G99" i="23"/>
  <c r="J9" i="23" s="1"/>
  <c r="K5" i="11" l="1"/>
  <c r="C16" i="9"/>
  <c r="D16" i="9" s="1"/>
  <c r="E16" i="9" s="1"/>
  <c r="K160" i="19"/>
  <c r="L160" i="19" s="1"/>
  <c r="K9" i="23"/>
  <c r="F101" i="23"/>
  <c r="G125" i="19" s="1"/>
  <c r="J125" i="19" s="1"/>
  <c r="K56" i="11" l="1"/>
  <c r="K6" i="11"/>
  <c r="F102" i="23"/>
  <c r="G126" i="19" s="1"/>
  <c r="J126" i="19" s="1"/>
  <c r="F103" i="23" l="1"/>
  <c r="G127" i="19" s="1"/>
  <c r="J127" i="19" s="1"/>
  <c r="G6" i="11" l="1"/>
  <c r="F104" i="23"/>
  <c r="G128" i="19" s="1"/>
  <c r="J128" i="19" s="1"/>
  <c r="H6" i="11" l="1"/>
  <c r="K32" i="11"/>
  <c r="F105" i="23"/>
  <c r="G129" i="19" s="1"/>
  <c r="J129" i="19" s="1"/>
  <c r="K27" i="11"/>
  <c r="E12" i="18" l="1"/>
  <c r="K22" i="11"/>
  <c r="K41" i="11" s="1"/>
  <c r="F106" i="23"/>
  <c r="G130" i="19" s="1"/>
  <c r="J130" i="19" s="1"/>
  <c r="K46" i="11" l="1"/>
  <c r="F107" i="23"/>
  <c r="G131" i="19" s="1"/>
  <c r="J131" i="19" s="1"/>
  <c r="K50" i="11"/>
  <c r="F108" i="23" l="1"/>
  <c r="G132" i="19" s="1"/>
  <c r="J132" i="19" s="1"/>
  <c r="K51" i="11"/>
  <c r="F109" i="23" l="1"/>
  <c r="G133" i="19" s="1"/>
  <c r="J133" i="19" s="1"/>
  <c r="F110" i="23" l="1"/>
  <c r="G134" i="19" s="1"/>
  <c r="J134" i="19" s="1"/>
  <c r="F111" i="23" l="1"/>
  <c r="G135" i="19" s="1"/>
  <c r="J135" i="19" s="1"/>
  <c r="H111" i="23" l="1"/>
  <c r="G11" i="23" s="1"/>
  <c r="H11" i="23" s="1"/>
  <c r="F112" i="23" s="1"/>
  <c r="G136" i="19" s="1"/>
  <c r="J136" i="19" s="1"/>
  <c r="G111" i="23"/>
  <c r="J10" i="23" s="1"/>
  <c r="K10" i="23" l="1"/>
  <c r="F113" i="23"/>
  <c r="G137" i="19" s="1"/>
  <c r="J137" i="19" s="1"/>
  <c r="J174" i="19" l="1"/>
  <c r="F114" i="23"/>
  <c r="G138" i="19" s="1"/>
  <c r="J138" i="19" s="1"/>
  <c r="J175" i="19" l="1"/>
  <c r="F115" i="23"/>
  <c r="G139" i="19" s="1"/>
  <c r="J139" i="19" s="1"/>
  <c r="J176" i="19" l="1"/>
  <c r="F116" i="23"/>
  <c r="G140" i="19" s="1"/>
  <c r="J140" i="19" s="1"/>
  <c r="J177" i="19" l="1"/>
  <c r="F117" i="23"/>
  <c r="G141" i="19" s="1"/>
  <c r="J141" i="19" s="1"/>
  <c r="J178" i="19" l="1"/>
  <c r="F118" i="23"/>
  <c r="G142" i="19" s="1"/>
  <c r="J142" i="19" s="1"/>
  <c r="J179" i="19" l="1"/>
  <c r="F119" i="23"/>
  <c r="G143" i="19" s="1"/>
  <c r="J143" i="19" s="1"/>
  <c r="J180" i="19" l="1"/>
  <c r="F120" i="23"/>
  <c r="G144" i="19" s="1"/>
  <c r="J144" i="19" s="1"/>
  <c r="J181" i="19" l="1"/>
  <c r="F121" i="23"/>
  <c r="G145" i="19" s="1"/>
  <c r="J145" i="19" s="1"/>
  <c r="J182" i="19" l="1"/>
  <c r="F122" i="23"/>
  <c r="G146" i="19" s="1"/>
  <c r="J146" i="19" s="1"/>
  <c r="J183" i="19" l="1"/>
  <c r="F123" i="23"/>
  <c r="G147" i="19" s="1"/>
  <c r="J147" i="19" s="1"/>
  <c r="J184" i="19" l="1"/>
  <c r="H123" i="23"/>
  <c r="G123" i="23"/>
  <c r="J11" i="23" s="1"/>
  <c r="J185" i="19" l="1"/>
  <c r="K11" i="23"/>
  <c r="K12" i="23" s="1"/>
  <c r="J12" i="23"/>
  <c r="D50" i="29" l="1"/>
  <c r="F50" i="29" s="1"/>
  <c r="D61" i="29" l="1"/>
  <c r="F61" i="29" s="1"/>
  <c r="J162" i="19" l="1"/>
  <c r="C18" i="9" s="1"/>
  <c r="J161" i="19"/>
  <c r="J149" i="19"/>
  <c r="C17" i="9" l="1"/>
  <c r="D17" i="9" s="1"/>
  <c r="E17" i="9" s="1"/>
  <c r="K161" i="19"/>
  <c r="L161" i="19" s="1"/>
  <c r="J164" i="19"/>
  <c r="K164" i="19" s="1"/>
  <c r="K185" i="19"/>
  <c r="G18" i="9"/>
  <c r="H18" i="9" s="1"/>
  <c r="M5" i="11"/>
  <c r="L5" i="11"/>
  <c r="J166" i="19"/>
  <c r="K166" i="19" s="1"/>
  <c r="M56" i="11" l="1"/>
  <c r="G60" i="9"/>
  <c r="L56" i="11"/>
  <c r="G61" i="9"/>
  <c r="L32" i="11" l="1"/>
  <c r="L27" i="11"/>
  <c r="E13" i="18" l="1"/>
  <c r="L46" i="11" s="1"/>
  <c r="L22" i="11"/>
  <c r="L41" i="11" l="1"/>
  <c r="B28" i="29"/>
  <c r="D28" i="29" l="1"/>
  <c r="F28" i="29" s="1"/>
  <c r="D39" i="29"/>
  <c r="F39" i="29" s="1"/>
  <c r="L51" i="11"/>
  <c r="D72" i="29" l="1"/>
  <c r="F72" i="29" s="1"/>
  <c r="D83" i="29" l="1"/>
  <c r="F83" i="29" s="1"/>
  <c r="H56" i="9" l="1"/>
  <c r="H49" i="9"/>
  <c r="H53" i="9" s="1"/>
  <c r="H51" i="9" s="1"/>
  <c r="H37" i="9" s="1"/>
  <c r="H57" i="9" s="1"/>
  <c r="H66" i="9" l="1"/>
  <c r="G57" i="9"/>
  <c r="G66" i="9" s="1"/>
  <c r="G56" i="9"/>
  <c r="G65" i="9" s="1"/>
  <c r="H65" i="9"/>
  <c r="N65" i="9" l="1"/>
  <c r="H69" i="9" s="1"/>
  <c r="N66" i="9"/>
  <c r="H70" i="9" s="1"/>
  <c r="H61" i="9" l="1"/>
  <c r="I70" i="9"/>
  <c r="I61" i="9" s="1"/>
  <c r="M17" i="11" s="1"/>
  <c r="B3" i="29" s="1"/>
  <c r="J70" i="9"/>
  <c r="J61" i="9" s="1"/>
  <c r="K70" i="9"/>
  <c r="K61" i="9" s="1"/>
  <c r="L70" i="9"/>
  <c r="L61" i="9" s="1"/>
  <c r="M70" i="9"/>
  <c r="M61" i="9" s="1"/>
  <c r="M36" i="11" s="1"/>
  <c r="B8" i="29" s="1"/>
  <c r="M69" i="9"/>
  <c r="L36" i="11" s="1"/>
  <c r="J69" i="9"/>
  <c r="L21" i="11" s="1"/>
  <c r="K69" i="9"/>
  <c r="L26" i="11" s="1"/>
  <c r="L69" i="9"/>
  <c r="L31" i="11" s="1"/>
  <c r="I69" i="9"/>
  <c r="L17" i="11" s="1"/>
  <c r="C14" i="18" l="1"/>
  <c r="M27" i="11" s="1"/>
  <c r="C6" i="29" s="1"/>
  <c r="D51" i="29" s="1"/>
  <c r="M26" i="11"/>
  <c r="B6" i="29" s="1"/>
  <c r="B14" i="18"/>
  <c r="M21" i="11"/>
  <c r="B4" i="29" s="1"/>
  <c r="M31" i="11"/>
  <c r="B7" i="29" s="1"/>
  <c r="D14" i="18"/>
  <c r="M32" i="11" s="1"/>
  <c r="C7" i="29" s="1"/>
  <c r="D52" i="29" s="1"/>
  <c r="B15" i="29"/>
  <c r="D15" i="29" s="1"/>
  <c r="M13" i="11"/>
  <c r="N61" i="9"/>
  <c r="N60" i="9"/>
  <c r="L13" i="11"/>
  <c r="L40" i="11" s="1"/>
  <c r="N69" i="9"/>
  <c r="B20" i="29"/>
  <c r="D20" i="29" s="1"/>
  <c r="N70" i="9"/>
  <c r="B26" i="29" l="1"/>
  <c r="D26" i="29" s="1"/>
  <c r="F26" i="29" s="1"/>
  <c r="L8" i="11"/>
  <c r="L45" i="11"/>
  <c r="O60" i="9"/>
  <c r="M22" i="11"/>
  <c r="E14" i="18"/>
  <c r="M46" i="11" s="1"/>
  <c r="M68" i="11" s="1"/>
  <c r="B2" i="29"/>
  <c r="M40" i="11"/>
  <c r="B31" i="29"/>
  <c r="D31" i="29" s="1"/>
  <c r="F31" i="29" s="1"/>
  <c r="B37" i="29"/>
  <c r="D37" i="29" s="1"/>
  <c r="F37" i="29" s="1"/>
  <c r="L50" i="11"/>
  <c r="F20" i="29"/>
  <c r="F52" i="29"/>
  <c r="D63" i="29"/>
  <c r="F63" i="29" s="1"/>
  <c r="B18" i="29"/>
  <c r="D18" i="29" s="1"/>
  <c r="B19" i="29"/>
  <c r="D19" i="29" s="1"/>
  <c r="B16" i="29"/>
  <c r="D16" i="29" s="1"/>
  <c r="M8" i="11"/>
  <c r="M45" i="11"/>
  <c r="M67" i="11" s="1"/>
  <c r="O61" i="9"/>
  <c r="B42" i="29"/>
  <c r="D42" i="29" s="1"/>
  <c r="F42" i="29" s="1"/>
  <c r="D48" i="29"/>
  <c r="F15" i="29"/>
  <c r="D70" i="29"/>
  <c r="F51" i="29"/>
  <c r="D62" i="29"/>
  <c r="F62" i="29" s="1"/>
  <c r="B41" i="29" l="1"/>
  <c r="D41" i="29" s="1"/>
  <c r="F41" i="29" s="1"/>
  <c r="D75" i="29"/>
  <c r="D86" i="29" s="1"/>
  <c r="F86" i="29" s="1"/>
  <c r="B40" i="29"/>
  <c r="D40" i="29" s="1"/>
  <c r="F40" i="29" s="1"/>
  <c r="M50" i="11"/>
  <c r="B27" i="29"/>
  <c r="D27" i="29" s="1"/>
  <c r="F27" i="29" s="1"/>
  <c r="B38" i="29"/>
  <c r="D38" i="29" s="1"/>
  <c r="F38" i="29" s="1"/>
  <c r="D53" i="29"/>
  <c r="F53" i="29" s="1"/>
  <c r="F70" i="29"/>
  <c r="D81" i="29"/>
  <c r="F81" i="29" s="1"/>
  <c r="F16" i="29"/>
  <c r="B9" i="29"/>
  <c r="B14" i="29"/>
  <c r="B25" i="29" s="1"/>
  <c r="F48" i="29"/>
  <c r="D59" i="29"/>
  <c r="F59" i="29" s="1"/>
  <c r="F19" i="29"/>
  <c r="M41" i="11"/>
  <c r="M51" i="11" s="1"/>
  <c r="C4" i="29"/>
  <c r="B30" i="29"/>
  <c r="D30" i="29" s="1"/>
  <c r="F30" i="29" s="1"/>
  <c r="F18" i="29"/>
  <c r="B29" i="29"/>
  <c r="D29" i="29" s="1"/>
  <c r="F29" i="29" s="1"/>
  <c r="D64" i="29" l="1"/>
  <c r="F64" i="29" s="1"/>
  <c r="F75" i="29"/>
  <c r="D74" i="29"/>
  <c r="D85" i="29" s="1"/>
  <c r="F85" i="29" s="1"/>
  <c r="D71" i="29"/>
  <c r="D82" i="29" s="1"/>
  <c r="F82" i="29" s="1"/>
  <c r="D73" i="29"/>
  <c r="D84" i="29" s="1"/>
  <c r="F84" i="29" s="1"/>
  <c r="B21" i="29"/>
  <c r="D14" i="29"/>
  <c r="B32" i="29"/>
  <c r="D25" i="29"/>
  <c r="B36" i="29"/>
  <c r="C9" i="29"/>
  <c r="D49" i="29"/>
  <c r="F71" i="29" l="1"/>
  <c r="F74" i="29"/>
  <c r="F73" i="29"/>
  <c r="D47" i="29"/>
  <c r="F14" i="29"/>
  <c r="F21" i="29" s="1"/>
  <c r="D21" i="29"/>
  <c r="D69" i="29"/>
  <c r="F49" i="29"/>
  <c r="D60" i="29"/>
  <c r="F60" i="29" s="1"/>
  <c r="B43" i="29"/>
  <c r="D36" i="29"/>
  <c r="F25" i="29"/>
  <c r="F32" i="29" s="1"/>
  <c r="D32" i="29"/>
  <c r="B91" i="29" l="1"/>
  <c r="F36" i="29"/>
  <c r="F43" i="29" s="1"/>
  <c r="B92" i="29" s="1"/>
  <c r="D43" i="29"/>
  <c r="D80" i="29"/>
  <c r="F69" i="29"/>
  <c r="F76" i="29" s="1"/>
  <c r="B93" i="29" s="1"/>
  <c r="D76" i="29"/>
  <c r="D58" i="29"/>
  <c r="F58" i="29" s="1"/>
  <c r="F65" i="29" s="1"/>
  <c r="B95" i="29" s="1"/>
  <c r="F47" i="29"/>
  <c r="F54" i="29" s="1"/>
  <c r="B94" i="29" s="1"/>
  <c r="F80" i="29" l="1"/>
  <c r="F87" i="29" s="1"/>
  <c r="B96" i="29" s="1"/>
  <c r="B99" i="29" s="1"/>
  <c r="D87" i="29"/>
</calcChain>
</file>

<file path=xl/comments1.xml><?xml version="1.0" encoding="utf-8"?>
<comments xmlns="http://schemas.openxmlformats.org/spreadsheetml/2006/main">
  <authors>
    <author>Sherry Graham</author>
  </authors>
  <commentList>
    <comment ref="I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J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K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Adjusted for MTO Central Region streetlight a/c #122345-01.  Number of lights decreased from 12 to 6 effective April 6, 2009.  Billing adjustment and accoount not corrected until August 2013.
Flat consumption of 679 actual kWh and 3.72 billed kW per month.</t>
        </r>
      </text>
    </comment>
    <comment ref="K37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Streetlight connections estimated not to increase from 2013 level to end of 2014.  Therefore kWh consumption remains constant at 2013 usage per connection.</t>
        </r>
      </text>
    </comment>
    <comment ref="L53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Adjusted calculation to reflect more accurate forecast for 2013 - 2014.  Actual connections decreasing, therefore kWh and kW should be decreasing.</t>
        </r>
      </text>
    </comment>
  </commentList>
</comments>
</file>

<file path=xl/comments2.xml><?xml version="1.0" encoding="utf-8"?>
<comments xmlns="http://schemas.openxmlformats.org/spreadsheetml/2006/main">
  <authors>
    <author>Sherry Graham</author>
  </authors>
  <commentList>
    <comment ref="C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D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D5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Customer # reduced by estimated # of GS &gt; 50 kW to be trf to GS &lt;50 kW per 2006 EDR application. (amount trf per 2004 stats)
Completed in billing system early 2006.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Adjusted for MTO Central Region streetlight a/c #122345-01.  Number of lights decreased from 12 to 6 effective April 6, 2009.  Billing adjustment and account not corrected until August 2013.
Flat consumption of 679 actual kWh and 3.72 billed kW per month.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Deduct one removed service in 2011 - only one on the spreadsheet "Service Removals 2011 2012 2013" included in the year-end count and customer number spreadsheet.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Deduct one removed service in 2011 - only one on the spreadsheet "Service Removals 2011 2012 2013" included in the year-end count and customer number spreadsheet.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Deduct two removed services in 2012 - only two on the spreadsheet "Service Removals 2011 2012 2013" included in the year-end count and customer number spreadsheet.
Adjusted for number of services removed after year-end - account was in Active status but no meter for period of time for various reasons.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Deduct nine removed services in 2012 - only nine on the spreadsheet "Service Removals 2011 2012 2013" included in the year-end count and customer number spreadsheet.
Adjusted for number of services removed after year-end - account was in Active status but no meter for period of time for various reasons.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Adjusted for number of services removed after year-end - account was in Active status but no meter for period of time for various reasons.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Residential customers as at December 31, 2013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G/S &lt; 50 kW customers as at December 31, 2013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G/S &gt; 50 kW customers (including intervals) as at December 31, 2013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Streetlight connections as at December 31, 2013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Sentinel Light connections as at December 31, 2013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USL connections as at December 31, 2013</t>
        </r>
      </text>
    </comment>
    <comment ref="E28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Streetlight connections estimated not to increase between 2013 and 2014.</t>
        </r>
      </text>
    </comment>
  </commentList>
</comments>
</file>

<file path=xl/comments3.xml><?xml version="1.0" encoding="utf-8"?>
<comments xmlns="http://schemas.openxmlformats.org/spreadsheetml/2006/main">
  <authors>
    <author>Sherry Graham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Adjusted for MTO Central Region streetlight a/c #122345-01.  Number of lights decreased from 12 to 6 effective April 6, 2009.  Billing adjustment and accoount not corrected until August 2013.
Flat consumption of 679 actual kWh and 3.72 billed kW per month.</t>
        </r>
      </text>
    </comment>
  </commentList>
</comments>
</file>

<file path=xl/sharedStrings.xml><?xml version="1.0" encoding="utf-8"?>
<sst xmlns="http://schemas.openxmlformats.org/spreadsheetml/2006/main" count="272" uniqueCount="176">
  <si>
    <t>Purchased</t>
  </si>
  <si>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</si>
  <si>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</si>
  <si>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</si>
  <si>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</si>
  <si>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</si>
  <si>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</si>
  <si>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</si>
  <si>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</si>
  <si>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</si>
  <si>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</si>
  <si>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</si>
  <si>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</si>
  <si>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</si>
  <si>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</si>
  <si>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</si>
  <si>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</si>
  <si>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</si>
  <si>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</si>
  <si>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</si>
  <si>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</si>
  <si>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</si>
  <si>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</si>
  <si>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</si>
  <si>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</si>
  <si>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</si>
  <si>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</si>
  <si>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</si>
  <si>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</si>
  <si>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</si>
  <si>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</si>
  <si>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</si>
  <si>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</si>
  <si>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</si>
  <si>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</si>
  <si>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</si>
  <si>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</si>
  <si>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</si>
  <si>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</si>
  <si>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</si>
  <si>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</si>
  <si>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</si>
  <si>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</si>
  <si>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</si>
  <si>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</si>
  <si>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</si>
  <si>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</si>
  <si>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</si>
  <si>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</si>
  <si>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</si>
  <si>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</si>
  <si>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</si>
  <si>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</si>
  <si>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</si>
  <si>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</si>
  <si>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</si>
  <si>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</si>
  <si>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</si>
  <si>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</si>
  <si>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</si>
  <si>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</si>
  <si>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</si>
  <si>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</si>
  <si>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Check totals above sould be zero</t>
  </si>
  <si>
    <t>2008 Actual</t>
  </si>
  <si>
    <t>Weather Normal</t>
  </si>
  <si>
    <t xml:space="preserve">2009 Actual </t>
  </si>
  <si>
    <t xml:space="preserve">  Connections</t>
  </si>
  <si>
    <t>Total of Above</t>
  </si>
  <si>
    <t>Check should all be zero</t>
  </si>
  <si>
    <t xml:space="preserve">2010 Actual </t>
  </si>
  <si>
    <t>CDM Activity</t>
  </si>
  <si>
    <t xml:space="preserve">2011 Actual </t>
  </si>
  <si>
    <t>Total Annual CDM Results</t>
  </si>
  <si>
    <t>Increase over previous year</t>
  </si>
  <si>
    <t>4 Year 2011 to 2014 target</t>
  </si>
  <si>
    <t>Check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</si>
  <si>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</si>
  <si>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</si>
  <si>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</si>
  <si>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</si>
  <si>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</si>
  <si>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</si>
  <si>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</si>
  <si>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</si>
  <si>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</si>
  <si>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</si>
  <si>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</si>
  <si>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CDM Activity Variable</t>
  </si>
  <si>
    <t>Dec</t>
  </si>
  <si>
    <t xml:space="preserve">Residential </t>
  </si>
  <si>
    <t>Total OPA Annual CDM Results (Gross)</t>
  </si>
  <si>
    <t>Total OPA Annual CDM Results (Net)</t>
  </si>
  <si>
    <t xml:space="preserve"> # Difference</t>
  </si>
  <si>
    <t xml:space="preserve"> % Difference of Net</t>
  </si>
  <si>
    <t>CDM</t>
  </si>
  <si>
    <t>`</t>
  </si>
  <si>
    <t>Street Lighting</t>
  </si>
  <si>
    <t>kWh</t>
  </si>
  <si>
    <t>20 Year Trend</t>
  </si>
  <si>
    <t>Station Name</t>
  </si>
  <si>
    <t>TOTAL</t>
  </si>
  <si>
    <t xml:space="preserve">4750-Low Voltage </t>
  </si>
  <si>
    <t xml:space="preserve">4730-Rural Rate Assistance </t>
  </si>
  <si>
    <t>4716-Charges-CN</t>
  </si>
  <si>
    <t>4714-Charges-NW</t>
  </si>
  <si>
    <t>4708-Charges-WMS</t>
  </si>
  <si>
    <t>4705-Power Purchased</t>
  </si>
  <si>
    <t>Class per Load Forecast</t>
  </si>
  <si>
    <t>Rural Rate Assistance</t>
  </si>
  <si>
    <t>Wholesale Market Service</t>
  </si>
  <si>
    <t>kW</t>
  </si>
  <si>
    <t>Metric</t>
  </si>
  <si>
    <t>Volume</t>
  </si>
  <si>
    <t>Transmission - Connection</t>
  </si>
  <si>
    <t>Transmission - Network</t>
  </si>
  <si>
    <t>Electricity - Commodity Non-RPP</t>
  </si>
  <si>
    <t>Class per Load Forecast RPP</t>
  </si>
  <si>
    <t>Electricity - Commodity RPP</t>
  </si>
  <si>
    <t xml:space="preserve"> Proposed Cost of Service Method</t>
  </si>
  <si>
    <t>Annual kWh at the Meter</t>
  </si>
  <si>
    <t xml:space="preserve">2012 Actual </t>
  </si>
  <si>
    <t>2014 Weather Normal</t>
  </si>
  <si>
    <t>Weather Normalization Percentage from 2006 Hydro One Study</t>
  </si>
  <si>
    <t>2014 Forecasted Metered kWhs</t>
  </si>
  <si>
    <t>2014  Loss Factor</t>
  </si>
  <si>
    <t>2014 Load Foreacst</t>
  </si>
  <si>
    <t>Hamilton</t>
  </si>
  <si>
    <t>Actual Purchases</t>
  </si>
  <si>
    <t>Predicted Purchases</t>
  </si>
  <si>
    <t>Embedded Distributor - Hydro One Networks Inc.</t>
  </si>
  <si>
    <t>Sentinel Lighting</t>
  </si>
  <si>
    <t>General Service 
50 to 4,999 kW</t>
  </si>
  <si>
    <t>Manual Adjustment to the Load Forecast from 2013 and 2014 Programs at a Net Level and Assuming Half-Year</t>
  </si>
  <si>
    <t>Average Number of Customers</t>
  </si>
  <si>
    <t>Average Number of Connections</t>
  </si>
  <si>
    <t>Summer Months Flag</t>
  </si>
  <si>
    <t>Average (5-year per Appendix 2-R)</t>
  </si>
  <si>
    <t>Total from Model (Excludes Embedded Distributor - Hydro One</t>
  </si>
  <si>
    <t>Annual kW for those classes that charge 
distribution volumetric charges on a kW basis</t>
  </si>
  <si>
    <r>
      <rPr>
        <u/>
        <sz val="10"/>
        <rFont val="Arial"/>
        <family val="2"/>
      </rPr>
      <t>Note</t>
    </r>
    <r>
      <rPr>
        <sz val="10"/>
        <rFont val="Arial"/>
        <family val="2"/>
      </rPr>
      <t>: Hydro One Networks Inc. provided load forecast information (kWh &amp; kW) for both 2013 and 2014</t>
    </r>
  </si>
  <si>
    <t>Haldimand County Hydro Inc. Weather Normal Load Forecast for 2014 Rate Application</t>
  </si>
  <si>
    <t>Employment Hamilton-Niagara Peninsula (000's)</t>
  </si>
  <si>
    <t>Lower 95.0%</t>
  </si>
  <si>
    <t>Upper 95.0%</t>
  </si>
  <si>
    <t xml:space="preserve">Final Verified 2012 Results and Presistence </t>
  </si>
  <si>
    <t>10 Year Average</t>
  </si>
  <si>
    <t>Unmetered Scattered Loads</t>
  </si>
  <si>
    <t>General Service Less Than 50 kW</t>
  </si>
  <si>
    <t>General Service 50 to 4999 kW</t>
  </si>
  <si>
    <t xml:space="preserve">Unmetered Scattered Loads </t>
  </si>
  <si>
    <t>4707-Global Adjustment</t>
  </si>
  <si>
    <t>Electricity - Global Adjustment Non-RPP</t>
  </si>
  <si>
    <t>4751-Smart Meter Entity Charge</t>
  </si>
  <si>
    <t>Calculations Per Above</t>
  </si>
  <si>
    <t>10  Year Average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</si>
  <si>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</si>
  <si>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</si>
  <si>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</si>
  <si>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</si>
  <si>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</si>
  <si>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</si>
  <si>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</si>
  <si>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</si>
  <si>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</si>
  <si>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</si>
  <si>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</si>
  <si>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Updated to rate effective May 1, 2014 per Board Decision &amp; Order issued December 19, 2013</t>
  </si>
  <si>
    <t>Updated to November 1, 2013 OEB RPP pricing report issued October 17, 2013</t>
  </si>
  <si>
    <t>Updated to incorporate Uniform Transmission Rates effective January 1, 2014 per Board Decision &amp; Order issued January 9, 2014 and HONI Rates effective January 1, 2014 per Board Decision &amp; Order issued December 19, 2013</t>
  </si>
  <si>
    <t>Updated to incorporate HONI sub-transmission rates effective January 1, 2014 
per Board Decision &amp; Order issued December 19, 2013</t>
  </si>
  <si>
    <t>Total to 2013</t>
  </si>
  <si>
    <t>2013 %RPP</t>
  </si>
  <si>
    <t>(Not Included as 2013 is Actual kWh Billed/Unbilled)</t>
  </si>
  <si>
    <t>Actual 2011 Results and Presistence - Updated with IRRs to include Adjustment in 2012 Final Verified Annual OPA-CDM Results</t>
  </si>
  <si>
    <t>2013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</si>
</sst>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0.0%"/>
    <numFmt numFmtId="167" formatCode="#,##0;\(#,##0\)"/>
    <numFmt numFmtId="168" formatCode="0.0000"/>
    <numFmt numFmtId="169" formatCode="#,##0.0000"/>
    <numFmt numFmtId="170" formatCode="0.0000%"/>
    <numFmt numFmtId="171" formatCode="_(* #,##0_);_(* \(#,##0\);_(* &quot;-&quot;??_);_(@_)"/>
    <numFmt numFmtId="172" formatCode="0.0"/>
    <numFmt numFmtId="173" formatCode="_-* #,##0_-;\-* #,##0_-;_-* &quot;-&quot;??_-;_-@_-"/>
    <numFmt numFmtId="174" formatCode="#,##0.000"/>
    <numFmt numFmtId="175" formatCode="#,##0.00000_);\(#,##0.00000\)"/>
    <numFmt numFmtId="176" formatCode="&quot;$&quot;#,##0.0000_);\(&quot;$&quot;#,##0.0000\)"/>
    <numFmt numFmtId="177" formatCode="#,##0.0000_);\(#,##0.0000\)"/>
    <numFmt numFmtId="178" formatCode="&quot;$&quot;#,##0.00000_);\(&quot;$&quot;#,##0.00000\)"/>
    <numFmt numFmtId="179" formatCode="#,##0.0_);\(#,##0.0\)"/>
    <numFmt numFmtId="180" formatCode="#,##0.0;\-#,##0.0"/>
  </numFmts>
  <fonts count="1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i/>
      <u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D5FFE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0" fillId="0" borderId="0"/>
    <xf numFmtId="0" fontId="1" fillId="2" borderId="18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2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2" fillId="0" borderId="0" xfId="1" applyNumberForma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3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17" fontId="5" fillId="0" borderId="0" xfId="0" applyNumberFormat="1" applyFont="1"/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66" fontId="3" fillId="0" borderId="0" xfId="0" applyNumberFormat="1" applyFont="1" applyFill="1" applyAlignment="1">
      <alignment horizontal="center"/>
    </xf>
    <xf numFmtId="0" fontId="0" fillId="0" borderId="0" xfId="0" applyFill="1"/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6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3" fontId="8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/>
    <xf numFmtId="168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Continuous"/>
    </xf>
    <xf numFmtId="3" fontId="0" fillId="0" borderId="0" xfId="0" applyNumberFormat="1" applyFill="1" applyAlignment="1">
      <alignment horizontal="center" wrapText="1"/>
    </xf>
    <xf numFmtId="3" fontId="0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3" fontId="0" fillId="0" borderId="0" xfId="0" applyNumberFormat="1" applyAlignment="1">
      <alignment wrapText="1"/>
    </xf>
    <xf numFmtId="173" fontId="2" fillId="0" borderId="0" xfId="4" applyNumberFormat="1"/>
    <xf numFmtId="173" fontId="0" fillId="0" borderId="0" xfId="0" applyNumberFormat="1"/>
    <xf numFmtId="3" fontId="2" fillId="0" borderId="0" xfId="0" applyNumberFormat="1" applyFont="1" applyFill="1" applyAlignment="1">
      <alignment horizontal="center"/>
    </xf>
    <xf numFmtId="3" fontId="0" fillId="0" borderId="1" xfId="0" applyNumberFormat="1" applyBorder="1" applyAlignment="1">
      <alignment horizontal="center"/>
    </xf>
    <xf numFmtId="171" fontId="0" fillId="0" borderId="0" xfId="0" applyNumberFormat="1"/>
    <xf numFmtId="166" fontId="0" fillId="0" borderId="0" xfId="11" applyNumberFormat="1" applyFont="1"/>
    <xf numFmtId="3" fontId="0" fillId="0" borderId="0" xfId="0" applyNumberForma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4" xfId="0" applyNumberFormat="1" applyBorder="1"/>
    <xf numFmtId="166" fontId="0" fillId="0" borderId="1" xfId="0" applyNumberFormat="1" applyBorder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/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1" xfId="0" applyNumberFormat="1" applyBorder="1"/>
    <xf numFmtId="0" fontId="4" fillId="0" borderId="0" xfId="0" applyFont="1" applyFill="1" applyAlignment="1">
      <alignment horizontal="center" wrapText="1"/>
    </xf>
    <xf numFmtId="10" fontId="0" fillId="0" borderId="0" xfId="11" applyNumberFormat="1" applyFont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2" fillId="0" borderId="0" xfId="0" applyFont="1"/>
    <xf numFmtId="0" fontId="11" fillId="0" borderId="0" xfId="0" applyFont="1" applyAlignment="1">
      <alignment horizontal="center"/>
    </xf>
    <xf numFmtId="17" fontId="11" fillId="0" borderId="0" xfId="0" applyNumberFormat="1" applyFont="1"/>
    <xf numFmtId="0" fontId="11" fillId="0" borderId="0" xfId="0" applyFont="1" applyAlignment="1">
      <alignment horizontal="right"/>
    </xf>
    <xf numFmtId="37" fontId="5" fillId="0" borderId="1" xfId="0" applyNumberFormat="1" applyFont="1" applyBorder="1"/>
    <xf numFmtId="0" fontId="5" fillId="0" borderId="11" xfId="0" applyFont="1" applyBorder="1"/>
    <xf numFmtId="0" fontId="0" fillId="0" borderId="16" xfId="0" applyBorder="1"/>
    <xf numFmtId="164" fontId="0" fillId="0" borderId="19" xfId="0" applyNumberFormat="1" applyBorder="1"/>
    <xf numFmtId="164" fontId="0" fillId="0" borderId="19" xfId="0" applyNumberFormat="1" applyFill="1" applyBorder="1"/>
    <xf numFmtId="37" fontId="0" fillId="0" borderId="20" xfId="0" applyNumberFormat="1" applyBorder="1"/>
    <xf numFmtId="0" fontId="0" fillId="0" borderId="14" xfId="0" applyBorder="1"/>
    <xf numFmtId="0" fontId="5" fillId="0" borderId="13" xfId="0" applyFont="1" applyBorder="1" applyAlignment="1">
      <alignment horizontal="center"/>
    </xf>
    <xf numFmtId="164" fontId="5" fillId="0" borderId="1" xfId="0" applyNumberFormat="1" applyFont="1" applyBorder="1"/>
    <xf numFmtId="175" fontId="0" fillId="0" borderId="1" xfId="0" applyNumberFormat="1" applyBorder="1"/>
    <xf numFmtId="0" fontId="5" fillId="0" borderId="1" xfId="0" applyFont="1" applyBorder="1"/>
    <xf numFmtId="0" fontId="5" fillId="0" borderId="1" xfId="0" applyFont="1" applyBorder="1" applyAlignment="1">
      <alignment horizontal="left" indent="1"/>
    </xf>
    <xf numFmtId="164" fontId="0" fillId="0" borderId="1" xfId="0" applyNumberFormat="1" applyBorder="1"/>
    <xf numFmtId="37" fontId="0" fillId="0" borderId="1" xfId="0" applyNumberFormat="1" applyBorder="1"/>
    <xf numFmtId="177" fontId="0" fillId="0" borderId="1" xfId="0" applyNumberFormat="1" applyBorder="1" applyAlignment="1">
      <alignment horizontal="center"/>
    </xf>
    <xf numFmtId="3" fontId="0" fillId="0" borderId="19" xfId="0" applyNumberFormat="1" applyBorder="1"/>
    <xf numFmtId="0" fontId="5" fillId="0" borderId="22" xfId="0" applyFont="1" applyBorder="1" applyAlignment="1">
      <alignment horizontal="center"/>
    </xf>
    <xf numFmtId="0" fontId="5" fillId="0" borderId="21" xfId="0" applyNumberFormat="1" applyFont="1" applyBorder="1" applyAlignment="1">
      <alignment horizontal="center"/>
    </xf>
    <xf numFmtId="0" fontId="5" fillId="0" borderId="23" xfId="0" applyFont="1" applyBorder="1"/>
    <xf numFmtId="0" fontId="5" fillId="0" borderId="15" xfId="0" applyFont="1" applyBorder="1"/>
    <xf numFmtId="0" fontId="5" fillId="0" borderId="14" xfId="0" applyFont="1" applyBorder="1"/>
    <xf numFmtId="0" fontId="5" fillId="0" borderId="20" xfId="0" applyFont="1" applyBorder="1" applyAlignment="1">
      <alignment horizontal="center"/>
    </xf>
    <xf numFmtId="0" fontId="13" fillId="0" borderId="20" xfId="0" applyFont="1" applyBorder="1"/>
    <xf numFmtId="0" fontId="5" fillId="0" borderId="2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64" fontId="5" fillId="0" borderId="1" xfId="0" applyNumberFormat="1" applyFont="1" applyFill="1" applyBorder="1"/>
    <xf numFmtId="177" fontId="0" fillId="0" borderId="1" xfId="0" applyNumberFormat="1" applyFill="1" applyBorder="1"/>
    <xf numFmtId="37" fontId="0" fillId="0" borderId="1" xfId="0" applyNumberFormat="1" applyFill="1" applyBorder="1"/>
    <xf numFmtId="3" fontId="0" fillId="0" borderId="16" xfId="0" applyNumberFormat="1" applyBorder="1"/>
    <xf numFmtId="0" fontId="5" fillId="0" borderId="13" xfId="0" applyFont="1" applyBorder="1"/>
    <xf numFmtId="0" fontId="5" fillId="0" borderId="12" xfId="0" applyFont="1" applyBorder="1"/>
    <xf numFmtId="0" fontId="13" fillId="0" borderId="1" xfId="0" applyFont="1" applyBorder="1"/>
    <xf numFmtId="164" fontId="5" fillId="0" borderId="0" xfId="0" applyNumberFormat="1" applyFont="1" applyFill="1" applyBorder="1"/>
    <xf numFmtId="175" fontId="0" fillId="0" borderId="0" xfId="0" applyNumberFormat="1" applyBorder="1"/>
    <xf numFmtId="37" fontId="5" fillId="0" borderId="0" xfId="0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 indent="1"/>
    </xf>
    <xf numFmtId="171" fontId="2" fillId="0" borderId="1" xfId="1" applyNumberFormat="1" applyFill="1" applyBorder="1"/>
    <xf numFmtId="0" fontId="5" fillId="0" borderId="0" xfId="0" applyFont="1" applyAlignment="1">
      <alignment horizontal="center"/>
    </xf>
    <xf numFmtId="166" fontId="0" fillId="0" borderId="4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 applyFill="1" applyAlignment="1">
      <alignment horizontal="center"/>
    </xf>
    <xf numFmtId="173" fontId="2" fillId="4" borderId="0" xfId="4" applyNumberFormat="1" applyFill="1"/>
    <xf numFmtId="3" fontId="0" fillId="4" borderId="4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172" fontId="3" fillId="0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72" fontId="3" fillId="5" borderId="0" xfId="0" applyNumberFormat="1" applyFont="1" applyFill="1" applyAlignment="1">
      <alignment horizontal="center"/>
    </xf>
    <xf numFmtId="3" fontId="3" fillId="4" borderId="0" xfId="0" applyNumberFormat="1" applyFont="1" applyFill="1" applyAlignment="1">
      <alignment horizontal="center"/>
    </xf>
    <xf numFmtId="3" fontId="0" fillId="4" borderId="0" xfId="0" applyNumberFormat="1" applyFill="1" applyAlignment="1">
      <alignment horizontal="center"/>
    </xf>
    <xf numFmtId="169" fontId="0" fillId="4" borderId="0" xfId="0" applyNumberFormat="1" applyFill="1" applyAlignment="1">
      <alignment horizontal="center"/>
    </xf>
    <xf numFmtId="3" fontId="0" fillId="5" borderId="0" xfId="0" applyNumberForma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167" fontId="0" fillId="5" borderId="0" xfId="0" applyNumberFormat="1" applyFill="1" applyAlignment="1">
      <alignment horizontal="center"/>
    </xf>
    <xf numFmtId="3" fontId="3" fillId="5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9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" fontId="2" fillId="0" borderId="28" xfId="0" applyNumberFormat="1" applyFont="1" applyBorder="1" applyAlignment="1"/>
    <xf numFmtId="10" fontId="2" fillId="0" borderId="0" xfId="11" applyNumberFormat="1" applyFont="1" applyBorder="1" applyAlignment="1"/>
    <xf numFmtId="10" fontId="0" fillId="0" borderId="0" xfId="11" applyNumberFormat="1" applyFont="1" applyBorder="1" applyAlignment="1"/>
    <xf numFmtId="9" fontId="0" fillId="3" borderId="0" xfId="0" applyNumberFormat="1" applyFill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5" fillId="0" borderId="0" xfId="0" applyNumberFormat="1" applyFont="1" applyFill="1" applyAlignment="1">
      <alignment horizontal="right"/>
    </xf>
    <xf numFmtId="10" fontId="2" fillId="0" borderId="1" xfId="11" applyNumberFormat="1" applyFill="1" applyBorder="1"/>
    <xf numFmtId="176" fontId="0" fillId="0" borderId="1" xfId="0" applyNumberFormat="1" applyFill="1" applyBorder="1"/>
    <xf numFmtId="176" fontId="2" fillId="0" borderId="1" xfId="0" applyNumberFormat="1" applyFont="1" applyFill="1" applyBorder="1"/>
    <xf numFmtId="0" fontId="2" fillId="0" borderId="16" xfId="0" applyFont="1" applyBorder="1"/>
    <xf numFmtId="178" fontId="0" fillId="0" borderId="1" xfId="0" applyNumberFormat="1" applyFill="1" applyBorder="1"/>
    <xf numFmtId="37" fontId="3" fillId="6" borderId="0" xfId="0" applyNumberFormat="1" applyFont="1" applyFill="1" applyAlignment="1">
      <alignment horizontal="center"/>
    </xf>
    <xf numFmtId="37" fontId="3" fillId="7" borderId="0" xfId="0" applyNumberFormat="1" applyFont="1" applyFill="1" applyAlignment="1">
      <alignment horizontal="center"/>
    </xf>
    <xf numFmtId="164" fontId="0" fillId="0" borderId="0" xfId="0" applyNumberFormat="1"/>
    <xf numFmtId="167" fontId="0" fillId="4" borderId="0" xfId="0" applyNumberFormat="1" applyFill="1" applyAlignment="1">
      <alignment horizontal="center"/>
    </xf>
    <xf numFmtId="179" fontId="2" fillId="0" borderId="0" xfId="0" applyNumberFormat="1" applyFont="1" applyFill="1" applyAlignment="1">
      <alignment horizontal="center"/>
    </xf>
    <xf numFmtId="180" fontId="2" fillId="0" borderId="0" xfId="0" applyNumberFormat="1" applyFont="1" applyFill="1" applyAlignment="1">
      <alignment horizontal="center"/>
    </xf>
    <xf numFmtId="180" fontId="2" fillId="0" borderId="0" xfId="1" applyNumberFormat="1" applyFont="1" applyFill="1" applyAlignment="1">
      <alignment horizontal="center"/>
    </xf>
    <xf numFmtId="17" fontId="0" fillId="6" borderId="0" xfId="0" applyNumberFormat="1" applyFill="1"/>
    <xf numFmtId="17" fontId="0" fillId="7" borderId="0" xfId="0" applyNumberFormat="1" applyFill="1"/>
    <xf numFmtId="180" fontId="11" fillId="0" borderId="0" xfId="0" applyNumberFormat="1" applyFont="1" applyFill="1" applyAlignment="1">
      <alignment horizontal="center"/>
    </xf>
    <xf numFmtId="180" fontId="11" fillId="0" borderId="12" xfId="0" applyNumberFormat="1" applyFont="1" applyFill="1" applyBorder="1" applyAlignment="1">
      <alignment horizontal="center"/>
    </xf>
    <xf numFmtId="180" fontId="11" fillId="0" borderId="0" xfId="1" applyNumberFormat="1" applyFont="1" applyFill="1" applyAlignment="1">
      <alignment horizontal="center"/>
    </xf>
    <xf numFmtId="180" fontId="11" fillId="0" borderId="0" xfId="0" applyNumberFormat="1" applyFont="1" applyFill="1" applyBorder="1" applyAlignment="1">
      <alignment horizontal="center"/>
    </xf>
    <xf numFmtId="37" fontId="0" fillId="0" borderId="0" xfId="0" applyNumberFormat="1" applyBorder="1" applyAlignment="1">
      <alignment horizontal="center"/>
    </xf>
    <xf numFmtId="0" fontId="11" fillId="8" borderId="0" xfId="0" applyFont="1" applyFill="1" applyAlignment="1">
      <alignment horizontal="center"/>
    </xf>
    <xf numFmtId="17" fontId="11" fillId="8" borderId="0" xfId="0" applyNumberFormat="1" applyFont="1" applyFill="1"/>
    <xf numFmtId="0" fontId="5" fillId="8" borderId="0" xfId="0" applyFont="1" applyFill="1" applyAlignment="1">
      <alignment horizontal="center" wrapText="1"/>
    </xf>
    <xf numFmtId="180" fontId="12" fillId="8" borderId="0" xfId="0" applyNumberFormat="1" applyFont="1" applyFill="1" applyAlignment="1">
      <alignment horizontal="center"/>
    </xf>
    <xf numFmtId="180" fontId="5" fillId="8" borderId="12" xfId="0" applyNumberFormat="1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 wrapText="1"/>
    </xf>
    <xf numFmtId="172" fontId="12" fillId="8" borderId="0" xfId="0" applyNumberFormat="1" applyFont="1" applyFill="1" applyAlignment="1">
      <alignment horizontal="center"/>
    </xf>
    <xf numFmtId="172" fontId="5" fillId="8" borderId="12" xfId="0" applyNumberFormat="1" applyFont="1" applyFill="1" applyBorder="1" applyAlignment="1">
      <alignment horizontal="center"/>
    </xf>
    <xf numFmtId="37" fontId="5" fillId="0" borderId="0" xfId="0" applyNumberFormat="1" applyFont="1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NumberFormat="1" applyFill="1" applyBorder="1"/>
    <xf numFmtId="167" fontId="0" fillId="0" borderId="0" xfId="0" applyNumberFormat="1" applyFill="1" applyAlignment="1">
      <alignment horizontal="center"/>
    </xf>
    <xf numFmtId="0" fontId="2" fillId="0" borderId="0" xfId="0" applyFont="1" applyAlignment="1">
      <alignment horizontal="left"/>
    </xf>
    <xf numFmtId="3" fontId="2" fillId="0" borderId="25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167" fontId="2" fillId="0" borderId="25" xfId="0" applyNumberFormat="1" applyFont="1" applyBorder="1" applyAlignment="1">
      <alignment horizontal="center"/>
    </xf>
    <xf numFmtId="167" fontId="0" fillId="0" borderId="26" xfId="0" applyNumberFormat="1" applyBorder="1" applyAlignment="1">
      <alignment horizontal="center"/>
    </xf>
    <xf numFmtId="167" fontId="0" fillId="0" borderId="27" xfId="0" applyNumberFormat="1" applyBorder="1" applyAlignment="1">
      <alignment horizontal="center"/>
    </xf>
    <xf numFmtId="10" fontId="2" fillId="0" borderId="25" xfId="11" applyNumberFormat="1" applyFont="1" applyBorder="1" applyAlignment="1">
      <alignment horizontal="center"/>
    </xf>
    <xf numFmtId="10" fontId="2" fillId="0" borderId="26" xfId="11" applyNumberFormat="1" applyFont="1" applyBorder="1" applyAlignment="1">
      <alignment horizontal="center"/>
    </xf>
    <xf numFmtId="10" fontId="2" fillId="0" borderId="27" xfId="11" applyNumberFormat="1" applyFont="1" applyBorder="1" applyAlignment="1">
      <alignment horizontal="center"/>
    </xf>
    <xf numFmtId="3" fontId="2" fillId="0" borderId="26" xfId="0" applyNumberFormat="1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3" fontId="2" fillId="0" borderId="25" xfId="0" applyNumberFormat="1" applyFon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3" fontId="0" fillId="0" borderId="27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0" xfId="0" applyBorder="1" applyAlignment="1">
      <alignment wrapText="1"/>
    </xf>
    <xf numFmtId="0" fontId="5" fillId="0" borderId="14" xfId="0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0" borderId="13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0" xfId="0" applyNumberFormat="1" applyFont="1" applyBorder="1" applyAlignment="1">
      <alignment horizontal="center" wrapText="1"/>
    </xf>
    <xf numFmtId="0" fontId="5" fillId="0" borderId="19" xfId="0" applyNumberFormat="1" applyFont="1" applyBorder="1" applyAlignment="1">
      <alignment horizontal="center" wrapText="1"/>
    </xf>
    <xf numFmtId="0" fontId="2" fillId="0" borderId="28" xfId="0" applyFont="1" applyBorder="1" applyAlignment="1">
      <alignment wrapText="1"/>
    </xf>
    <xf numFmtId="0" fontId="2" fillId="0" borderId="0" xfId="0" applyFont="1" applyBorder="1" applyAlignment="1">
      <alignment wrapText="1"/>
    </xf>
  </cellXfs>
  <cellStyles count="15">
    <cellStyle name="Comma" xfId="1" builtinId="3"/>
    <cellStyle name="Comma 2" xfId="2"/>
    <cellStyle name="Comma 2 2" xfId="13"/>
    <cellStyle name="Comma 3" xfId="3"/>
    <cellStyle name="Comma 3 2" xfId="14"/>
    <cellStyle name="Comma_CDM monthly amounts" xfId="4"/>
    <cellStyle name="Comma0" xfId="5"/>
    <cellStyle name="Currency0" xfId="6"/>
    <cellStyle name="Date" xfId="7"/>
    <cellStyle name="Fixed" xfId="8"/>
    <cellStyle name="Normal" xfId="0" builtinId="0"/>
    <cellStyle name="Normal 2" xfId="9"/>
    <cellStyle name="Normal 3" xfId="12"/>
    <cellStyle name="Note 2" xfId="10"/>
    <cellStyle name="Percent" xfId="11" builtinId="5"/>
  </cellStyles>
  <dxfs count="0"/>
  <tableStyles count="0" defaultTableStyle="TableStyleMedium9" defaultPivotStyle="PivotStyleLight16"/>
  <colors>
    <mruColors>
      <color rgb="FFFFFFAB"/>
      <color rgb="FFFFDDFF"/>
      <color rgb="FFD5FFEE"/>
      <color rgb="FFBEFED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externalLink" Target="externalLinks/externalLink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Actual vs. Predicted Purchases (GWh)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48093841642222E-2"/>
          <c:y val="8.0050527590933729E-2"/>
          <c:w val="0.9200879765395894"/>
          <c:h val="0.82358889349357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Summary!$A$55</c:f>
              <c:strCache>
                <c:ptCount val="1"/>
                <c:pt idx="0">
                  <c:v>Actual Purchases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Summary!$B$54:$M$54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Summary!$B$55:$M$55</c:f>
              <c:numCache>
                <c:formatCode>#,##0</c:formatCode>
                <c:ptCount val="12"/>
                <c:pt idx="0">
                  <c:v>377.32853495999984</c:v>
                </c:pt>
                <c:pt idx="1">
                  <c:v>382.25643904000015</c:v>
                </c:pt>
                <c:pt idx="2">
                  <c:v>397.94970699999999</c:v>
                </c:pt>
                <c:pt idx="3">
                  <c:v>378.53475700000001</c:v>
                </c:pt>
                <c:pt idx="4">
                  <c:v>385.1269103599999</c:v>
                </c:pt>
                <c:pt idx="5">
                  <c:v>376.48161395999983</c:v>
                </c:pt>
                <c:pt idx="6">
                  <c:v>357.88092279999995</c:v>
                </c:pt>
                <c:pt idx="7">
                  <c:v>371.9409587699999</c:v>
                </c:pt>
                <c:pt idx="8">
                  <c:v>374.15314851000005</c:v>
                </c:pt>
                <c:pt idx="9">
                  <c:v>368.11399029</c:v>
                </c:pt>
              </c:numCache>
            </c:numRef>
          </c:val>
        </c:ser>
        <c:ser>
          <c:idx val="1"/>
          <c:order val="1"/>
          <c:tx>
            <c:strRef>
              <c:f>Summary!$A$56</c:f>
              <c:strCache>
                <c:ptCount val="1"/>
                <c:pt idx="0">
                  <c:v>Predicted Purchases</c:v>
                </c:pt>
              </c:strCache>
            </c:strRef>
          </c:tx>
          <c:invertIfNegative val="0"/>
          <c:cat>
            <c:numRef>
              <c:f>Summary!$B$54:$M$54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Summary!$B$56:$M$56</c:f>
              <c:numCache>
                <c:formatCode>#,##0</c:formatCode>
                <c:ptCount val="12"/>
                <c:pt idx="0">
                  <c:v>381.2215660868099</c:v>
                </c:pt>
                <c:pt idx="1">
                  <c:v>379.50320308578654</c:v>
                </c:pt>
                <c:pt idx="2">
                  <c:v>395.55994996057871</c:v>
                </c:pt>
                <c:pt idx="3">
                  <c:v>378.47242153347082</c:v>
                </c:pt>
                <c:pt idx="4">
                  <c:v>383.3188908826375</c:v>
                </c:pt>
                <c:pt idx="5">
                  <c:v>380.13092761278176</c:v>
                </c:pt>
                <c:pt idx="6">
                  <c:v>358.21654826712194</c:v>
                </c:pt>
                <c:pt idx="7">
                  <c:v>366.59951516136505</c:v>
                </c:pt>
                <c:pt idx="8">
                  <c:v>376.24932634530774</c:v>
                </c:pt>
                <c:pt idx="9">
                  <c:v>374.59464465462889</c:v>
                </c:pt>
                <c:pt idx="10">
                  <c:v>366.50064809950862</c:v>
                </c:pt>
                <c:pt idx="11">
                  <c:v>368.59710414244461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50085760"/>
        <c:axId val="250087296"/>
      </c:barChart>
      <c:catAx>
        <c:axId val="25008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087296"/>
        <c:crosses val="autoZero"/>
        <c:auto val="1"/>
        <c:lblAlgn val="ctr"/>
        <c:lblOffset val="100"/>
        <c:noMultiLvlLbl val="0"/>
      </c:catAx>
      <c:valAx>
        <c:axId val="250087296"/>
        <c:scaling>
          <c:orientation val="minMax"/>
          <c:min val="25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08576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907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3%20Rate%20Appl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Lakeland\2013%20Rate%20Appl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zoomScaleNormal="100" workbookViewId="0">
      <pane xSplit="1" ySplit="3" topLeftCell="F4" activePane="bottomRight" state="frozen"/>
      <selection activeCell="P66" sqref="P65:P66"/>
      <selection pane="topRight" activeCell="P66" sqref="P65:P66"/>
      <selection pane="bottomLeft" activeCell="P66" sqref="P65:P66"/>
      <selection pane="bottomRight" activeCell="I39" sqref="I38:I39"/>
    </sheetView>
  </sheetViews>
  <sheetFormatPr defaultRowHeight="12.75" x14ac:dyDescent="0.2"/>
  <cols>
    <col min="1" max="1" width="34.7109375" customWidth="1"/>
    <col min="2" max="2" width="12.5703125" style="1" customWidth="1"/>
    <col min="3" max="3" width="12.7109375" style="1" bestFit="1" customWidth="1"/>
    <col min="4" max="4" width="13.5703125" style="1" customWidth="1"/>
    <col min="5" max="5" width="12.7109375" style="1" customWidth="1"/>
    <col min="6" max="6" width="13" style="1" customWidth="1"/>
    <col min="7" max="7" width="12.7109375" style="1" bestFit="1" customWidth="1"/>
    <col min="8" max="10" width="12.85546875" style="1" customWidth="1"/>
    <col min="11" max="11" width="12.7109375" style="22" bestFit="1" customWidth="1"/>
    <col min="12" max="12" width="13.140625" style="1" customWidth="1"/>
    <col min="13" max="13" width="13.140625" style="81" customWidth="1"/>
    <col min="14" max="16" width="12.7109375" bestFit="1" customWidth="1"/>
  </cols>
  <sheetData>
    <row r="1" spans="1:16" ht="15.75" x14ac:dyDescent="0.25">
      <c r="A1" s="39" t="s">
        <v>141</v>
      </c>
    </row>
    <row r="3" spans="1:16" ht="38.25" x14ac:dyDescent="0.2">
      <c r="B3" s="41" t="s">
        <v>50</v>
      </c>
      <c r="C3" s="41" t="s">
        <v>51</v>
      </c>
      <c r="D3" s="41" t="s">
        <v>52</v>
      </c>
      <c r="E3" s="41" t="s">
        <v>53</v>
      </c>
      <c r="F3" s="41" t="s">
        <v>54</v>
      </c>
      <c r="G3" s="41" t="s">
        <v>64</v>
      </c>
      <c r="H3" s="41" t="s">
        <v>66</v>
      </c>
      <c r="I3" s="41" t="s">
        <v>70</v>
      </c>
      <c r="J3" s="41" t="s">
        <v>72</v>
      </c>
      <c r="K3" s="41" t="s">
        <v>121</v>
      </c>
      <c r="L3" s="41" t="s">
        <v>175</v>
      </c>
      <c r="M3" s="41" t="s">
        <v>122</v>
      </c>
    </row>
    <row r="4" spans="1:16" x14ac:dyDescent="0.2">
      <c r="A4" s="19" t="s">
        <v>57</v>
      </c>
      <c r="B4" s="28">
        <f>'Purchased Power Model '!$B151</f>
        <v>377328534.95999986</v>
      </c>
      <c r="C4" s="28">
        <f>'Purchased Power Model '!$B152</f>
        <v>382256439.04000014</v>
      </c>
      <c r="D4" s="28">
        <f>'Purchased Power Model '!$B153</f>
        <v>397949707</v>
      </c>
      <c r="E4" s="28">
        <f>'Purchased Power Model '!$B154</f>
        <v>378534757</v>
      </c>
      <c r="F4" s="28">
        <f>'Purchased Power Model '!$B155</f>
        <v>385126910.3599999</v>
      </c>
      <c r="G4" s="28">
        <f>'Purchased Power Model '!$B156</f>
        <v>376481613.95999986</v>
      </c>
      <c r="H4" s="28">
        <f>'Purchased Power Model '!$B157</f>
        <v>357880922.79999995</v>
      </c>
      <c r="I4" s="28">
        <f>'Purchased Power Model '!$B158</f>
        <v>371940958.76999992</v>
      </c>
      <c r="J4" s="28">
        <f>'Purchased Power Model '!$B159</f>
        <v>374153148.51000005</v>
      </c>
      <c r="K4" s="28">
        <f>'Purchased Power Model '!$B160</f>
        <v>368113990.29000002</v>
      </c>
      <c r="N4" s="61"/>
    </row>
    <row r="5" spans="1:16" x14ac:dyDescent="0.2">
      <c r="A5" s="19" t="s">
        <v>58</v>
      </c>
      <c r="B5" s="28">
        <f>'Purchased Power Model '!$J151</f>
        <v>381221566.08680987</v>
      </c>
      <c r="C5" s="28">
        <f>'Purchased Power Model '!$J152</f>
        <v>379503203.08578652</v>
      </c>
      <c r="D5" s="28">
        <f>'Purchased Power Model '!$J153</f>
        <v>395559949.96057868</v>
      </c>
      <c r="E5" s="28">
        <f>'Purchased Power Model '!$J154</f>
        <v>378472421.53347081</v>
      </c>
      <c r="F5" s="28">
        <f>'Purchased Power Model '!$J155</f>
        <v>383318890.8826375</v>
      </c>
      <c r="G5" s="28">
        <f>'Purchased Power Model '!$J156</f>
        <v>380130927.61278176</v>
      </c>
      <c r="H5" s="28">
        <f>'Purchased Power Model '!$J157</f>
        <v>358216548.26712191</v>
      </c>
      <c r="I5" s="28">
        <f>'Purchased Power Model '!$J158</f>
        <v>366599515.16136503</v>
      </c>
      <c r="J5" s="28">
        <f>'Purchased Power Model '!$J159</f>
        <v>376249326.34530771</v>
      </c>
      <c r="K5" s="28">
        <f>'Purchased Power Model '!$J160</f>
        <v>374594644.65462887</v>
      </c>
      <c r="L5" s="28">
        <f>'Purchased Power Model '!J161</f>
        <v>366500648.09950864</v>
      </c>
      <c r="M5" s="28">
        <f>'Purchased Power Model '!J162</f>
        <v>368597104.14244461</v>
      </c>
      <c r="N5" s="61"/>
    </row>
    <row r="6" spans="1:16" x14ac:dyDescent="0.2">
      <c r="A6" s="19" t="s">
        <v>8</v>
      </c>
      <c r="B6" s="40">
        <f t="shared" ref="B6:K6" si="0">(B5-B4)/B4</f>
        <v>1.0317351501716428E-2</v>
      </c>
      <c r="C6" s="40">
        <f t="shared" si="0"/>
        <v>-7.2025888200290449E-3</v>
      </c>
      <c r="D6" s="40">
        <f t="shared" si="0"/>
        <v>-6.0051735115897948E-3</v>
      </c>
      <c r="E6" s="40">
        <f t="shared" si="0"/>
        <v>-1.6467567476027186E-4</v>
      </c>
      <c r="F6" s="40">
        <f t="shared" si="0"/>
        <v>-4.6946069690958136E-3</v>
      </c>
      <c r="G6" s="40">
        <f t="shared" si="0"/>
        <v>9.6932055045047521E-3</v>
      </c>
      <c r="H6" s="40">
        <f t="shared" si="0"/>
        <v>9.3781323825836173E-4</v>
      </c>
      <c r="I6" s="40">
        <f t="shared" si="0"/>
        <v>-1.4360998654998682E-2</v>
      </c>
      <c r="J6" s="40">
        <f t="shared" si="0"/>
        <v>5.6024594304640279E-3</v>
      </c>
      <c r="K6" s="40">
        <f t="shared" si="0"/>
        <v>1.7605020552257183E-2</v>
      </c>
      <c r="L6" s="43"/>
      <c r="M6" s="43"/>
      <c r="N6" s="44"/>
      <c r="O6" s="31"/>
      <c r="P6" s="31"/>
    </row>
    <row r="7" spans="1:16" x14ac:dyDescent="0.2">
      <c r="B7"/>
      <c r="C7"/>
      <c r="D7"/>
      <c r="E7"/>
      <c r="F7"/>
      <c r="G7"/>
      <c r="H7"/>
      <c r="I7"/>
      <c r="J7"/>
      <c r="K7"/>
      <c r="L7"/>
      <c r="M7"/>
    </row>
    <row r="8" spans="1:16" x14ac:dyDescent="0.2">
      <c r="A8" s="19" t="s">
        <v>60</v>
      </c>
      <c r="B8" s="28">
        <f>'Rate Class Energy Model'!G7</f>
        <v>358594281</v>
      </c>
      <c r="C8" s="28">
        <f>'Rate Class Energy Model'!G8</f>
        <v>362334202</v>
      </c>
      <c r="D8" s="28">
        <f>'Rate Class Energy Model'!G9</f>
        <v>373431335</v>
      </c>
      <c r="E8" s="28">
        <f>'Rate Class Energy Model'!G10</f>
        <v>359311281</v>
      </c>
      <c r="F8" s="28">
        <f>'Rate Class Energy Model'!G11</f>
        <v>360337098</v>
      </c>
      <c r="G8" s="28">
        <f>'Rate Class Energy Model'!G12</f>
        <v>352084249</v>
      </c>
      <c r="H8" s="28">
        <f>'Rate Class Energy Model'!G13</f>
        <v>338521917</v>
      </c>
      <c r="I8" s="28">
        <f>'Rate Class Energy Model'!G14</f>
        <v>348409858</v>
      </c>
      <c r="J8" s="28">
        <f>'Rate Class Energy Model'!G15</f>
        <v>349951952</v>
      </c>
      <c r="K8" s="50">
        <f>'Rate Class Energy Model'!G16</f>
        <v>344590256</v>
      </c>
      <c r="L8" s="50">
        <f>'Rate Class Energy Model'!N60</f>
        <v>347982859</v>
      </c>
      <c r="M8" s="50">
        <f>'Rate Class Energy Model'!N61</f>
        <v>343888727.09642518</v>
      </c>
      <c r="N8" s="44"/>
      <c r="O8" s="61"/>
      <c r="P8" s="61"/>
    </row>
    <row r="9" spans="1:16" x14ac:dyDescent="0.2">
      <c r="A9" s="19"/>
      <c r="B9" s="37"/>
      <c r="C9" s="37"/>
      <c r="D9" s="37"/>
      <c r="E9" s="37"/>
      <c r="F9" s="37"/>
      <c r="H9" s="22"/>
      <c r="I9" s="22"/>
      <c r="J9" s="22"/>
    </row>
    <row r="10" spans="1:16" ht="15.75" x14ac:dyDescent="0.25">
      <c r="A10" s="39" t="s">
        <v>59</v>
      </c>
    </row>
    <row r="11" spans="1:16" x14ac:dyDescent="0.2">
      <c r="A11" s="38" t="str">
        <f>'Rate Class Energy Model'!H2</f>
        <v xml:space="preserve">Residential </v>
      </c>
    </row>
    <row r="12" spans="1:16" x14ac:dyDescent="0.2">
      <c r="A12" t="s">
        <v>47</v>
      </c>
      <c r="B12" s="6">
        <f>'Rate Class Customer Model'!B3</f>
        <v>17585</v>
      </c>
      <c r="C12" s="6">
        <f>'Rate Class Customer Model'!B4</f>
        <v>17776</v>
      </c>
      <c r="D12" s="6">
        <f>'Rate Class Customer Model'!B5</f>
        <v>17893</v>
      </c>
      <c r="E12" s="6">
        <f>'Rate Class Customer Model'!B6</f>
        <v>18026</v>
      </c>
      <c r="F12" s="6">
        <f>'Rate Class Customer Model'!B7</f>
        <v>18139</v>
      </c>
      <c r="G12" s="6">
        <f>'Rate Class Customer Model'!B8</f>
        <v>18245</v>
      </c>
      <c r="H12" s="6">
        <f>'Rate Class Customer Model'!B9</f>
        <v>18309</v>
      </c>
      <c r="I12" s="6">
        <f>'Rate Class Customer Model'!B10</f>
        <v>18465</v>
      </c>
      <c r="J12" s="6">
        <f>'Rate Class Customer Model'!B11</f>
        <v>18531</v>
      </c>
      <c r="K12" s="26">
        <f>'Rate Class Customer Model'!B12</f>
        <v>18617</v>
      </c>
      <c r="L12" s="6">
        <f>'Rate Class Customer Model'!B13</f>
        <v>18717</v>
      </c>
      <c r="M12" s="6">
        <f>'Rate Class Customer Model'!B14</f>
        <v>18824.583390410589</v>
      </c>
    </row>
    <row r="13" spans="1:16" x14ac:dyDescent="0.2">
      <c r="A13" t="s">
        <v>48</v>
      </c>
      <c r="B13" s="6">
        <f>'Rate Class Energy Model'!H7</f>
        <v>175021556</v>
      </c>
      <c r="C13" s="6">
        <f>'Rate Class Energy Model'!H8</f>
        <v>172248238</v>
      </c>
      <c r="D13" s="6">
        <f>'Rate Class Energy Model'!H9</f>
        <v>181464305</v>
      </c>
      <c r="E13" s="6">
        <f>'Rate Class Energy Model'!H10</f>
        <v>171538632</v>
      </c>
      <c r="F13" s="6">
        <f>'Rate Class Energy Model'!H11</f>
        <v>173795327</v>
      </c>
      <c r="G13" s="6">
        <f>'Rate Class Energy Model'!H12</f>
        <v>171781096</v>
      </c>
      <c r="H13" s="6">
        <f>'Rate Class Energy Model'!H13</f>
        <v>168226691</v>
      </c>
      <c r="I13" s="6">
        <f>'Rate Class Energy Model'!H14</f>
        <v>172161499</v>
      </c>
      <c r="J13" s="6">
        <f>'Rate Class Energy Model'!H15</f>
        <v>171241285</v>
      </c>
      <c r="K13" s="26">
        <f>'Rate Class Energy Model'!H16</f>
        <v>168308353</v>
      </c>
      <c r="L13" s="6">
        <f>'Rate Class Energy Model'!H60</f>
        <v>169969351</v>
      </c>
      <c r="M13" s="6">
        <f>'Rate Class Energy Model'!H61</f>
        <v>168256470.83947089</v>
      </c>
    </row>
    <row r="14" spans="1:16" x14ac:dyDescent="0.2">
      <c r="G14" s="44"/>
      <c r="H14" s="22"/>
      <c r="I14" s="22"/>
      <c r="J14" s="22"/>
      <c r="L14" s="43"/>
      <c r="M14" s="43"/>
    </row>
    <row r="15" spans="1:16" x14ac:dyDescent="0.2">
      <c r="A15" s="38" t="str">
        <f>'Rate Class Energy Model'!I2</f>
        <v>General Service Less Than 50 kW</v>
      </c>
    </row>
    <row r="16" spans="1:16" x14ac:dyDescent="0.2">
      <c r="A16" t="s">
        <v>47</v>
      </c>
      <c r="B16" s="6">
        <f>'Rate Class Customer Model'!C3</f>
        <v>2282</v>
      </c>
      <c r="C16" s="6">
        <f>'Rate Class Customer Model'!C4</f>
        <v>2296</v>
      </c>
      <c r="D16" s="6">
        <f>'Rate Class Customer Model'!C5</f>
        <v>2324</v>
      </c>
      <c r="E16" s="6">
        <f>'Rate Class Customer Model'!C6</f>
        <v>2311</v>
      </c>
      <c r="F16" s="6">
        <f>'Rate Class Customer Model'!C7</f>
        <v>2335</v>
      </c>
      <c r="G16" s="6">
        <f>'Rate Class Customer Model'!C8</f>
        <v>2343</v>
      </c>
      <c r="H16" s="6">
        <f>'Rate Class Customer Model'!C9</f>
        <v>2374</v>
      </c>
      <c r="I16" s="6">
        <f>'Rate Class Customer Model'!C10</f>
        <v>2363</v>
      </c>
      <c r="J16" s="6">
        <f>'Rate Class Customer Model'!C11</f>
        <v>2380</v>
      </c>
      <c r="K16" s="6">
        <f>'Rate Class Customer Model'!C12</f>
        <v>2344</v>
      </c>
      <c r="L16" s="6">
        <f>'Rate Class Customer Model'!C13</f>
        <v>2342</v>
      </c>
      <c r="M16" s="6">
        <f>'Rate Class Customer Model'!C14</f>
        <v>2344.2597805388764</v>
      </c>
    </row>
    <row r="17" spans="1:13" x14ac:dyDescent="0.2">
      <c r="A17" t="s">
        <v>48</v>
      </c>
      <c r="B17" s="6">
        <f>'Rate Class Energy Model'!I7</f>
        <v>58615935</v>
      </c>
      <c r="C17" s="6">
        <f>'Rate Class Energy Model'!I8</f>
        <v>56338992</v>
      </c>
      <c r="D17" s="6">
        <f>'Rate Class Energy Model'!I9</f>
        <v>58529570</v>
      </c>
      <c r="E17" s="6">
        <f>'Rate Class Energy Model'!I10</f>
        <v>56721884</v>
      </c>
      <c r="F17" s="6">
        <f>'Rate Class Energy Model'!I11</f>
        <v>57883394</v>
      </c>
      <c r="G17" s="6">
        <f>'Rate Class Energy Model'!I12</f>
        <v>57830016</v>
      </c>
      <c r="H17" s="6">
        <f>'Rate Class Energy Model'!I13</f>
        <v>56103918</v>
      </c>
      <c r="I17" s="6">
        <f>'Rate Class Energy Model'!I14</f>
        <v>56182092</v>
      </c>
      <c r="J17" s="6">
        <f>'Rate Class Energy Model'!I15</f>
        <v>55878781</v>
      </c>
      <c r="K17" s="6">
        <f>'Rate Class Energy Model'!I16</f>
        <v>54847744</v>
      </c>
      <c r="L17" s="6">
        <f>'Rate Class Energy Model'!I60</f>
        <v>54795842</v>
      </c>
      <c r="M17" s="6">
        <f>'Rate Class Energy Model'!I61</f>
        <v>53569663.434468746</v>
      </c>
    </row>
    <row r="18" spans="1:13" x14ac:dyDescent="0.2">
      <c r="G18" s="44"/>
      <c r="H18" s="22"/>
      <c r="I18" s="22"/>
      <c r="J18" s="22"/>
      <c r="L18" s="43"/>
      <c r="M18" s="43"/>
    </row>
    <row r="19" spans="1:13" x14ac:dyDescent="0.2">
      <c r="A19" s="38" t="str">
        <f>'Rate Class Energy Model'!J2</f>
        <v>General Service 
50 to 4,999 kW</v>
      </c>
      <c r="L19" s="6"/>
      <c r="M19" s="6"/>
    </row>
    <row r="20" spans="1:13" x14ac:dyDescent="0.2">
      <c r="A20" t="s">
        <v>47</v>
      </c>
      <c r="B20" s="6">
        <f>'Rate Class Customer Model'!D3</f>
        <v>157</v>
      </c>
      <c r="C20" s="6">
        <f>'Rate Class Customer Model'!D4</f>
        <v>157</v>
      </c>
      <c r="D20" s="6">
        <f>'Rate Class Customer Model'!D5</f>
        <v>157</v>
      </c>
      <c r="E20" s="6">
        <f>'Rate Class Customer Model'!D6</f>
        <v>157</v>
      </c>
      <c r="F20" s="6">
        <f>'Rate Class Customer Model'!D7</f>
        <v>143</v>
      </c>
      <c r="G20" s="6">
        <f>'Rate Class Customer Model'!D8</f>
        <v>145</v>
      </c>
      <c r="H20" s="6">
        <f>'Rate Class Customer Model'!D9</f>
        <v>144</v>
      </c>
      <c r="I20" s="6">
        <f>'Rate Class Customer Model'!D10</f>
        <v>143</v>
      </c>
      <c r="J20" s="26">
        <f>'Rate Class Customer Model'!D11</f>
        <v>145</v>
      </c>
      <c r="K20" s="6">
        <f>'Rate Class Customer Model'!D12</f>
        <v>150</v>
      </c>
      <c r="L20" s="6">
        <f>'Rate Class Customer Model'!D13</f>
        <v>158</v>
      </c>
      <c r="M20" s="6">
        <f>'Rate Class Customer Model'!D14</f>
        <v>158.1003496510908</v>
      </c>
    </row>
    <row r="21" spans="1:13" x14ac:dyDescent="0.2">
      <c r="A21" t="s">
        <v>48</v>
      </c>
      <c r="B21" s="6">
        <f>'Rate Class Energy Model'!J7</f>
        <v>121609060</v>
      </c>
      <c r="C21" s="6">
        <f>'Rate Class Energy Model'!J8</f>
        <v>130435490</v>
      </c>
      <c r="D21" s="6">
        <f>'Rate Class Energy Model'!J9</f>
        <v>130206284</v>
      </c>
      <c r="E21" s="6">
        <f>'Rate Class Energy Model'!J10</f>
        <v>127794169</v>
      </c>
      <c r="F21" s="6">
        <f>'Rate Class Energy Model'!J11</f>
        <v>125371477</v>
      </c>
      <c r="G21" s="6">
        <f>'Rate Class Energy Model'!J12</f>
        <v>119186522</v>
      </c>
      <c r="H21" s="6">
        <f>'Rate Class Energy Model'!J13</f>
        <v>110936100</v>
      </c>
      <c r="I21" s="6">
        <f>'Rate Class Energy Model'!J14</f>
        <v>116961012</v>
      </c>
      <c r="J21" s="6">
        <f>'Rate Class Energy Model'!J15</f>
        <v>119765784</v>
      </c>
      <c r="K21" s="6">
        <f>'Rate Class Energy Model'!J16</f>
        <v>118292323</v>
      </c>
      <c r="L21" s="6">
        <f>'Rate Class Energy Model'!J60</f>
        <v>120153846</v>
      </c>
      <c r="M21" s="6">
        <f>'Rate Class Energy Model'!J61</f>
        <v>119035699.39570256</v>
      </c>
    </row>
    <row r="22" spans="1:13" x14ac:dyDescent="0.2">
      <c r="A22" t="s">
        <v>49</v>
      </c>
      <c r="B22" s="6">
        <f>'Rate Class Load Model'!B3</f>
        <v>330004.86</v>
      </c>
      <c r="C22" s="6">
        <f>'Rate Class Load Model'!B4</f>
        <v>364630.07</v>
      </c>
      <c r="D22" s="6">
        <f>'Rate Class Load Model'!B5</f>
        <v>366007</v>
      </c>
      <c r="E22" s="6">
        <f>'Rate Class Load Model'!B6</f>
        <v>367812</v>
      </c>
      <c r="F22" s="6">
        <f>'Rate Class Load Model'!B7</f>
        <v>347081</v>
      </c>
      <c r="G22" s="6">
        <f>'Rate Class Load Model'!B8</f>
        <v>327985</v>
      </c>
      <c r="H22" s="6">
        <f>'Rate Class Load Model'!B9</f>
        <v>321434</v>
      </c>
      <c r="I22" s="26">
        <f>'Rate Class Load Model'!B10</f>
        <v>329361</v>
      </c>
      <c r="J22" s="26">
        <f>'Rate Class Load Model'!B11</f>
        <v>336851</v>
      </c>
      <c r="K22" s="6">
        <f>'Rate Class Load Model'!B12</f>
        <v>336349</v>
      </c>
      <c r="L22" s="6">
        <f>'Rate Class Load Model'!B13</f>
        <v>336835</v>
      </c>
      <c r="M22" s="6">
        <f>'Rate Class Load Model'!B14</f>
        <v>334273.88675756834</v>
      </c>
    </row>
    <row r="23" spans="1:13" x14ac:dyDescent="0.2">
      <c r="G23" s="44"/>
      <c r="H23" s="22"/>
      <c r="I23" s="22"/>
      <c r="J23" s="22"/>
      <c r="L23" s="43"/>
      <c r="M23" s="43"/>
    </row>
    <row r="24" spans="1:13" x14ac:dyDescent="0.2">
      <c r="A24" s="38" t="str">
        <f>'Rate Class Energy Model'!K2</f>
        <v>Street Lighting</v>
      </c>
      <c r="L24" s="6"/>
      <c r="M24" s="6"/>
    </row>
    <row r="25" spans="1:13" x14ac:dyDescent="0.2">
      <c r="A25" t="s">
        <v>67</v>
      </c>
      <c r="B25" s="6">
        <f>'Rate Class Customer Model'!E3</f>
        <v>2713</v>
      </c>
      <c r="C25" s="6">
        <f>'Rate Class Customer Model'!E4</f>
        <v>2777</v>
      </c>
      <c r="D25" s="6">
        <f>'Rate Class Customer Model'!E5</f>
        <v>2764</v>
      </c>
      <c r="E25" s="6">
        <f>'Rate Class Customer Model'!E6</f>
        <v>2758</v>
      </c>
      <c r="F25" s="6">
        <f>'Rate Class Customer Model'!E7</f>
        <v>2794</v>
      </c>
      <c r="G25" s="6">
        <f>'Rate Class Customer Model'!E8</f>
        <v>2879</v>
      </c>
      <c r="H25" s="6">
        <f>'Rate Class Customer Model'!E9</f>
        <v>2872</v>
      </c>
      <c r="I25" s="26">
        <f>'Rate Class Customer Model'!E10</f>
        <v>3015</v>
      </c>
      <c r="J25" s="26">
        <f>'Rate Class Customer Model'!E11</f>
        <v>2963</v>
      </c>
      <c r="K25" s="6">
        <f>'Rate Class Customer Model'!E12</f>
        <v>2982</v>
      </c>
      <c r="L25" s="6">
        <f>'Rate Class Customer Model'!E13</f>
        <v>2977</v>
      </c>
      <c r="M25" s="6">
        <f>'Rate Class Customer Model'!E14</f>
        <v>2977</v>
      </c>
    </row>
    <row r="26" spans="1:13" x14ac:dyDescent="0.2">
      <c r="A26" t="s">
        <v>48</v>
      </c>
      <c r="B26" s="6">
        <f>'Rate Class Energy Model'!K7</f>
        <v>2220905</v>
      </c>
      <c r="C26" s="6">
        <f>'Rate Class Energy Model'!K8</f>
        <v>2191755</v>
      </c>
      <c r="D26" s="6">
        <f>'Rate Class Energy Model'!K9</f>
        <v>2177588</v>
      </c>
      <c r="E26" s="6">
        <f>'Rate Class Energy Model'!K10</f>
        <v>2232308</v>
      </c>
      <c r="F26" s="6">
        <f>'Rate Class Energy Model'!K11</f>
        <v>2297657</v>
      </c>
      <c r="G26" s="6">
        <f>'Rate Class Energy Model'!K12</f>
        <v>2328757</v>
      </c>
      <c r="H26" s="6">
        <f>'Rate Class Energy Model'!K13</f>
        <v>2305939</v>
      </c>
      <c r="I26" s="6">
        <f>'Rate Class Energy Model'!K14</f>
        <v>2249880</v>
      </c>
      <c r="J26" s="6">
        <f>'Rate Class Energy Model'!K15</f>
        <v>2273663</v>
      </c>
      <c r="K26" s="6">
        <f>'Rate Class Energy Model'!K16</f>
        <v>2389979</v>
      </c>
      <c r="L26" s="51">
        <f>'Rate Class Energy Model'!K60</f>
        <v>2355438</v>
      </c>
      <c r="M26" s="51">
        <f>'Rate Class Energy Model'!K61</f>
        <v>2355438</v>
      </c>
    </row>
    <row r="27" spans="1:13" x14ac:dyDescent="0.2">
      <c r="A27" t="s">
        <v>49</v>
      </c>
      <c r="B27" s="6">
        <f>'Rate Class Load Model'!C3</f>
        <v>6047</v>
      </c>
      <c r="C27" s="6">
        <f>'Rate Class Load Model'!C4</f>
        <v>6089</v>
      </c>
      <c r="D27" s="6">
        <f>'Rate Class Load Model'!C5</f>
        <v>5667.65</v>
      </c>
      <c r="E27" s="6">
        <f>'Rate Class Load Model'!C6</f>
        <v>6222</v>
      </c>
      <c r="F27" s="6">
        <f>'Rate Class Load Model'!C7</f>
        <v>6403</v>
      </c>
      <c r="G27" s="6">
        <f>'Rate Class Load Model'!C8</f>
        <v>6475</v>
      </c>
      <c r="H27" s="6">
        <f>'Rate Class Load Model'!C9</f>
        <v>6467.52</v>
      </c>
      <c r="I27" s="26">
        <f>'Rate Class Load Model'!C10</f>
        <v>6542.36</v>
      </c>
      <c r="J27" s="26">
        <f>'Rate Class Load Model'!C11</f>
        <v>6601.36</v>
      </c>
      <c r="K27" s="6">
        <f>'Rate Class Load Model'!C12</f>
        <v>6620.36</v>
      </c>
      <c r="L27" s="6">
        <f>'Rate Class Load Model'!C13</f>
        <v>6617</v>
      </c>
      <c r="M27" s="6">
        <f>'Rate Class Load Model'!C14</f>
        <v>6563.7491830909084</v>
      </c>
    </row>
    <row r="29" spans="1:13" x14ac:dyDescent="0.2">
      <c r="A29" s="38" t="str">
        <f>'Rate Class Energy Model'!L2</f>
        <v>Sentinel Lighting</v>
      </c>
    </row>
    <row r="30" spans="1:13" x14ac:dyDescent="0.2">
      <c r="A30" t="s">
        <v>67</v>
      </c>
      <c r="B30" s="6">
        <f>'Rate Class Customer Model'!F3</f>
        <v>857</v>
      </c>
      <c r="C30" s="6">
        <f>'Rate Class Customer Model'!F4</f>
        <v>729</v>
      </c>
      <c r="D30" s="6">
        <f>'Rate Class Customer Model'!F5</f>
        <v>705</v>
      </c>
      <c r="E30" s="6">
        <f>'Rate Class Customer Model'!F6</f>
        <v>693</v>
      </c>
      <c r="F30" s="6">
        <f>'Rate Class Customer Model'!F7</f>
        <v>665</v>
      </c>
      <c r="G30" s="6">
        <f>'Rate Class Customer Model'!F8</f>
        <v>647</v>
      </c>
      <c r="H30" s="6">
        <f>'Rate Class Customer Model'!F9</f>
        <v>656</v>
      </c>
      <c r="I30" s="26">
        <f>'Rate Class Customer Model'!F10</f>
        <v>594</v>
      </c>
      <c r="J30" s="26">
        <f>'Rate Class Customer Model'!F11</f>
        <v>567</v>
      </c>
      <c r="K30" s="6">
        <f>'Rate Class Customer Model'!F12</f>
        <v>535</v>
      </c>
      <c r="L30" s="6">
        <f>'Rate Class Customer Model'!F13</f>
        <v>521</v>
      </c>
      <c r="M30" s="6">
        <f>'Rate Class Customer Model'!F14</f>
        <v>495.70513004686194</v>
      </c>
    </row>
    <row r="31" spans="1:13" x14ac:dyDescent="0.2">
      <c r="A31" t="s">
        <v>48</v>
      </c>
      <c r="B31" s="6">
        <f>'Rate Class Energy Model'!L7</f>
        <v>587864</v>
      </c>
      <c r="C31" s="6">
        <f>'Rate Class Energy Model'!L8</f>
        <v>572369</v>
      </c>
      <c r="D31" s="6">
        <f>'Rate Class Energy Model'!L9</f>
        <v>539685</v>
      </c>
      <c r="E31" s="6">
        <f>'Rate Class Energy Model'!L10</f>
        <v>516624</v>
      </c>
      <c r="F31" s="6">
        <f>'Rate Class Energy Model'!L11</f>
        <v>489923</v>
      </c>
      <c r="G31" s="6">
        <f>'Rate Class Energy Model'!L12</f>
        <v>475594</v>
      </c>
      <c r="H31" s="6">
        <f>'Rate Class Energy Model'!L13</f>
        <v>467767</v>
      </c>
      <c r="I31" s="6">
        <f>'Rate Class Energy Model'!L14</f>
        <v>401194</v>
      </c>
      <c r="J31" s="6">
        <f>'Rate Class Energy Model'!L15</f>
        <v>385924</v>
      </c>
      <c r="K31" s="6">
        <f>'Rate Class Energy Model'!L16</f>
        <v>361875</v>
      </c>
      <c r="L31" s="6">
        <f>'Rate Class Energy Model'!L60</f>
        <v>343914</v>
      </c>
      <c r="M31" s="6">
        <f>'Rate Class Energy Model'!L61</f>
        <v>320970.28625634481</v>
      </c>
    </row>
    <row r="32" spans="1:13" x14ac:dyDescent="0.2">
      <c r="A32" t="s">
        <v>49</v>
      </c>
      <c r="B32" s="6">
        <f>'Rate Class Load Model'!D3</f>
        <v>1718</v>
      </c>
      <c r="C32" s="6">
        <f>'Rate Class Load Model'!D4</f>
        <v>1578</v>
      </c>
      <c r="D32" s="6">
        <f>'Rate Class Load Model'!D5</f>
        <v>1482.21</v>
      </c>
      <c r="E32" s="6">
        <f>'Rate Class Load Model'!D6</f>
        <v>1423</v>
      </c>
      <c r="F32" s="6">
        <f>'Rate Class Load Model'!D7</f>
        <v>1361</v>
      </c>
      <c r="G32" s="6">
        <f>'Rate Class Load Model'!D8</f>
        <v>1313</v>
      </c>
      <c r="H32" s="6">
        <f>'Rate Class Load Model'!D9</f>
        <v>1293</v>
      </c>
      <c r="I32" s="6">
        <f>'Rate Class Load Model'!D10</f>
        <v>1110</v>
      </c>
      <c r="J32" s="6">
        <f>'Rate Class Load Model'!D11</f>
        <v>1069</v>
      </c>
      <c r="K32" s="26">
        <f>'Rate Class Load Model'!D12</f>
        <v>1003</v>
      </c>
      <c r="L32" s="6">
        <f>'Rate Class Load Model'!D13</f>
        <v>954</v>
      </c>
      <c r="M32" s="6">
        <f>'Rate Class Load Model'!D14</f>
        <v>891.85970903865257</v>
      </c>
    </row>
    <row r="33" spans="1:13" x14ac:dyDescent="0.2">
      <c r="L33" s="6"/>
      <c r="M33" s="6"/>
    </row>
    <row r="34" spans="1:13" x14ac:dyDescent="0.2">
      <c r="A34" s="38" t="str">
        <f>'Rate Class Energy Model'!M2</f>
        <v>Unmetered Scattered Loads</v>
      </c>
      <c r="L34" s="6"/>
      <c r="M34" s="6"/>
    </row>
    <row r="35" spans="1:13" x14ac:dyDescent="0.2">
      <c r="A35" t="s">
        <v>67</v>
      </c>
      <c r="B35" s="6">
        <f>'Rate Class Customer Model'!G3</f>
        <v>88</v>
      </c>
      <c r="C35" s="6">
        <f>'Rate Class Customer Model'!G4</f>
        <v>81</v>
      </c>
      <c r="D35" s="6">
        <f>'Rate Class Customer Model'!G5</f>
        <v>87</v>
      </c>
      <c r="E35" s="6">
        <f>'Rate Class Customer Model'!G6</f>
        <v>88</v>
      </c>
      <c r="F35" s="6">
        <f>'Rate Class Customer Model'!G7</f>
        <v>84</v>
      </c>
      <c r="G35" s="6">
        <f>'Rate Class Customer Model'!G8</f>
        <v>84</v>
      </c>
      <c r="H35" s="6">
        <f>'Rate Class Customer Model'!G9</f>
        <v>84</v>
      </c>
      <c r="I35" s="6">
        <f>'Rate Class Customer Model'!G10</f>
        <v>78</v>
      </c>
      <c r="J35" s="6">
        <f>'Rate Class Customer Model'!G11</f>
        <v>76</v>
      </c>
      <c r="K35" s="26">
        <f>'Rate Class Customer Model'!G12</f>
        <v>73</v>
      </c>
      <c r="L35" s="6">
        <f>'Rate Class Customer Model'!G13</f>
        <v>69</v>
      </c>
      <c r="M35" s="6">
        <f>'Rate Class Customer Model'!G14</f>
        <v>67.341956920499541</v>
      </c>
    </row>
    <row r="36" spans="1:13" x14ac:dyDescent="0.2">
      <c r="A36" t="s">
        <v>48</v>
      </c>
      <c r="B36" s="6">
        <f>'Rate Class Energy Model'!M7</f>
        <v>538961</v>
      </c>
      <c r="C36" s="6">
        <f>'Rate Class Energy Model'!M8</f>
        <v>547358</v>
      </c>
      <c r="D36" s="6">
        <f>'Rate Class Energy Model'!M9</f>
        <v>513903</v>
      </c>
      <c r="E36" s="6">
        <f>'Rate Class Energy Model'!M10</f>
        <v>507664</v>
      </c>
      <c r="F36" s="6">
        <f>'Rate Class Energy Model'!M11</f>
        <v>499320</v>
      </c>
      <c r="G36" s="6">
        <f>'Rate Class Energy Model'!M12</f>
        <v>482264</v>
      </c>
      <c r="H36" s="6">
        <f>'Rate Class Energy Model'!M13</f>
        <v>481502</v>
      </c>
      <c r="I36" s="6">
        <f>'Rate Class Energy Model'!M14</f>
        <v>454181</v>
      </c>
      <c r="J36" s="6">
        <f>'Rate Class Energy Model'!M15</f>
        <v>406515</v>
      </c>
      <c r="K36" s="6">
        <f>'Rate Class Energy Model'!M16</f>
        <v>389982</v>
      </c>
      <c r="L36" s="6">
        <f>'Rate Class Energy Model'!M60</f>
        <v>364468</v>
      </c>
      <c r="M36" s="6">
        <f>'Rate Class Energy Model'!M61</f>
        <v>350485.14052657475</v>
      </c>
    </row>
    <row r="37" spans="1:13" x14ac:dyDescent="0.2">
      <c r="L37" s="6"/>
      <c r="M37" s="6"/>
    </row>
    <row r="38" spans="1:13" x14ac:dyDescent="0.2">
      <c r="A38" s="38" t="s">
        <v>68</v>
      </c>
      <c r="B38" s="6"/>
      <c r="C38" s="6"/>
      <c r="D38" s="6"/>
      <c r="E38" s="6"/>
      <c r="G38" s="6"/>
      <c r="H38" s="6"/>
      <c r="I38" s="6"/>
      <c r="J38" s="6"/>
      <c r="K38" s="26"/>
    </row>
    <row r="39" spans="1:13" x14ac:dyDescent="0.2">
      <c r="A39" t="s">
        <v>56</v>
      </c>
      <c r="B39" s="6">
        <f t="shared" ref="B39:M39" si="1">SUM(B12+B16+B20+B25+B30+B35)</f>
        <v>23682</v>
      </c>
      <c r="C39" s="6">
        <f t="shared" si="1"/>
        <v>23816</v>
      </c>
      <c r="D39" s="6">
        <f t="shared" si="1"/>
        <v>23930</v>
      </c>
      <c r="E39" s="6">
        <f t="shared" si="1"/>
        <v>24033</v>
      </c>
      <c r="F39" s="6">
        <f t="shared" si="1"/>
        <v>24160</v>
      </c>
      <c r="G39" s="6">
        <f t="shared" si="1"/>
        <v>24343</v>
      </c>
      <c r="H39" s="6">
        <f t="shared" si="1"/>
        <v>24439</v>
      </c>
      <c r="I39" s="6">
        <f t="shared" si="1"/>
        <v>24658</v>
      </c>
      <c r="J39" s="6">
        <f t="shared" si="1"/>
        <v>24662</v>
      </c>
      <c r="K39" s="6">
        <f t="shared" si="1"/>
        <v>24701</v>
      </c>
      <c r="L39" s="6">
        <f t="shared" si="1"/>
        <v>24784</v>
      </c>
      <c r="M39" s="6">
        <f t="shared" si="1"/>
        <v>24866.990607567917</v>
      </c>
    </row>
    <row r="40" spans="1:13" x14ac:dyDescent="0.2">
      <c r="A40" t="s">
        <v>48</v>
      </c>
      <c r="B40" s="6">
        <f t="shared" ref="B40:M40" si="2">SUM(B13+B17+B21+B26+B31+B36)</f>
        <v>358594281</v>
      </c>
      <c r="C40" s="6">
        <f t="shared" si="2"/>
        <v>362334202</v>
      </c>
      <c r="D40" s="6">
        <f t="shared" si="2"/>
        <v>373431335</v>
      </c>
      <c r="E40" s="6">
        <f t="shared" si="2"/>
        <v>359311281</v>
      </c>
      <c r="F40" s="6">
        <f t="shared" si="2"/>
        <v>360337098</v>
      </c>
      <c r="G40" s="6">
        <f t="shared" si="2"/>
        <v>352084249</v>
      </c>
      <c r="H40" s="6">
        <f t="shared" si="2"/>
        <v>338521917</v>
      </c>
      <c r="I40" s="6">
        <f t="shared" si="2"/>
        <v>348409858</v>
      </c>
      <c r="J40" s="6">
        <f t="shared" si="2"/>
        <v>349951952</v>
      </c>
      <c r="K40" s="6">
        <f t="shared" si="2"/>
        <v>344590256</v>
      </c>
      <c r="L40" s="6">
        <f t="shared" si="2"/>
        <v>347982859</v>
      </c>
      <c r="M40" s="6">
        <f t="shared" si="2"/>
        <v>343888727.09642518</v>
      </c>
    </row>
    <row r="41" spans="1:13" x14ac:dyDescent="0.2">
      <c r="A41" t="s">
        <v>55</v>
      </c>
      <c r="B41" s="6">
        <f t="shared" ref="B41:M41" si="3">SUM(B22+B27+B32)</f>
        <v>337769.86</v>
      </c>
      <c r="C41" s="6">
        <f t="shared" si="3"/>
        <v>372297.07</v>
      </c>
      <c r="D41" s="6">
        <f t="shared" si="3"/>
        <v>373156.86000000004</v>
      </c>
      <c r="E41" s="6">
        <f t="shared" si="3"/>
        <v>375457</v>
      </c>
      <c r="F41" s="6">
        <f t="shared" si="3"/>
        <v>354845</v>
      </c>
      <c r="G41" s="6">
        <f t="shared" si="3"/>
        <v>335773</v>
      </c>
      <c r="H41" s="6">
        <f t="shared" si="3"/>
        <v>329194.52</v>
      </c>
      <c r="I41" s="6">
        <f t="shared" si="3"/>
        <v>337013.36</v>
      </c>
      <c r="J41" s="6">
        <f t="shared" si="3"/>
        <v>344521.36</v>
      </c>
      <c r="K41" s="6">
        <f t="shared" si="3"/>
        <v>343972.36</v>
      </c>
      <c r="L41" s="6">
        <f t="shared" si="3"/>
        <v>344406</v>
      </c>
      <c r="M41" s="6">
        <f t="shared" si="3"/>
        <v>341729.4956496979</v>
      </c>
    </row>
    <row r="43" spans="1:13" x14ac:dyDescent="0.2">
      <c r="A43" s="38" t="s">
        <v>138</v>
      </c>
      <c r="L43" s="6"/>
      <c r="M43" s="6"/>
    </row>
    <row r="44" spans="1:13" x14ac:dyDescent="0.2">
      <c r="A44" t="s">
        <v>56</v>
      </c>
      <c r="B44" s="6">
        <f>'Rate Class Customer Model'!H3</f>
        <v>23682</v>
      </c>
      <c r="C44" s="6">
        <f>'Rate Class Customer Model'!H4</f>
        <v>23816</v>
      </c>
      <c r="D44" s="6">
        <f>'Rate Class Customer Model'!H5</f>
        <v>23930</v>
      </c>
      <c r="E44" s="6">
        <f>'Rate Class Customer Model'!H6</f>
        <v>24033</v>
      </c>
      <c r="F44" s="6">
        <f>'Rate Class Customer Model'!H7</f>
        <v>24160</v>
      </c>
      <c r="G44" s="6">
        <f>'Rate Class Customer Model'!H8</f>
        <v>24343</v>
      </c>
      <c r="H44" s="6">
        <f>'Rate Class Customer Model'!H9</f>
        <v>24439</v>
      </c>
      <c r="I44" s="6">
        <f>'Rate Class Customer Model'!H10</f>
        <v>24658</v>
      </c>
      <c r="J44" s="6">
        <f>'Rate Class Customer Model'!H11</f>
        <v>24662</v>
      </c>
      <c r="K44" s="6">
        <f>'Rate Class Customer Model'!H12</f>
        <v>24701</v>
      </c>
      <c r="L44" s="6">
        <f>'Rate Class Customer Model'!H13</f>
        <v>24784</v>
      </c>
      <c r="M44" s="6">
        <f>'Rate Class Customer Model'!H14</f>
        <v>24866.990607567917</v>
      </c>
    </row>
    <row r="45" spans="1:13" x14ac:dyDescent="0.2">
      <c r="A45" t="s">
        <v>48</v>
      </c>
      <c r="B45" s="6">
        <f>'Rate Class Energy Model'!G7</f>
        <v>358594281</v>
      </c>
      <c r="C45" s="6">
        <f>'Rate Class Energy Model'!G8</f>
        <v>362334202</v>
      </c>
      <c r="D45" s="6">
        <f>'Rate Class Energy Model'!G9</f>
        <v>373431335</v>
      </c>
      <c r="E45" s="6">
        <f>'Rate Class Energy Model'!G10</f>
        <v>359311281</v>
      </c>
      <c r="F45" s="6">
        <f>'Rate Class Energy Model'!G11</f>
        <v>360337098</v>
      </c>
      <c r="G45" s="6">
        <f>'Rate Class Energy Model'!G12</f>
        <v>352084249</v>
      </c>
      <c r="H45" s="6">
        <f>'Rate Class Energy Model'!G13</f>
        <v>338521917</v>
      </c>
      <c r="I45" s="6">
        <f>'Rate Class Energy Model'!G14</f>
        <v>348409858</v>
      </c>
      <c r="J45" s="6">
        <f>'Rate Class Energy Model'!G15</f>
        <v>349951952</v>
      </c>
      <c r="K45" s="26">
        <f>'Rate Class Energy Model'!G16</f>
        <v>344590256</v>
      </c>
      <c r="L45" s="6">
        <f>'Rate Class Energy Model'!N60</f>
        <v>347982859</v>
      </c>
      <c r="M45" s="6">
        <f>'Rate Class Energy Model'!N61</f>
        <v>343888727.09642518</v>
      </c>
    </row>
    <row r="46" spans="1:13" x14ac:dyDescent="0.2">
      <c r="A46" t="s">
        <v>55</v>
      </c>
      <c r="B46" s="6">
        <f>'Rate Class Load Model'!E3</f>
        <v>337769.86</v>
      </c>
      <c r="C46" s="6">
        <f>'Rate Class Load Model'!E4</f>
        <v>372297.07</v>
      </c>
      <c r="D46" s="6">
        <f>'Rate Class Load Model'!E5</f>
        <v>373156.86000000004</v>
      </c>
      <c r="E46" s="6">
        <f>'Rate Class Load Model'!E6</f>
        <v>375457</v>
      </c>
      <c r="F46" s="6">
        <f>'Rate Class Load Model'!E7</f>
        <v>354845</v>
      </c>
      <c r="G46" s="6">
        <f>'Rate Class Load Model'!E8</f>
        <v>335773</v>
      </c>
      <c r="H46" s="6">
        <f>'Rate Class Load Model'!E9</f>
        <v>329194.52</v>
      </c>
      <c r="I46" s="26">
        <f>'Rate Class Load Model'!E10</f>
        <v>337013.36</v>
      </c>
      <c r="J46" s="26">
        <f>'Rate Class Load Model'!E11</f>
        <v>344521.36</v>
      </c>
      <c r="K46" s="6">
        <f>'Rate Class Load Model'!E12</f>
        <v>343972.36</v>
      </c>
      <c r="L46" s="6">
        <f>'Rate Class Load Model'!E13</f>
        <v>344406</v>
      </c>
      <c r="M46" s="6">
        <f>'Rate Class Load Model'!E14</f>
        <v>341729.4956496979</v>
      </c>
    </row>
    <row r="48" spans="1:13" x14ac:dyDescent="0.2">
      <c r="A48" s="38" t="s">
        <v>69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6" x14ac:dyDescent="0.2">
      <c r="A49" t="s">
        <v>56</v>
      </c>
      <c r="B49" s="6">
        <f>B39-B44</f>
        <v>0</v>
      </c>
      <c r="C49" s="6">
        <f t="shared" ref="C49:L49" si="4">C39-C44</f>
        <v>0</v>
      </c>
      <c r="D49" s="6">
        <f t="shared" si="4"/>
        <v>0</v>
      </c>
      <c r="E49" s="6">
        <f t="shared" si="4"/>
        <v>0</v>
      </c>
      <c r="F49" s="6">
        <f t="shared" si="4"/>
        <v>0</v>
      </c>
      <c r="G49" s="6">
        <f t="shared" si="4"/>
        <v>0</v>
      </c>
      <c r="H49" s="6">
        <f t="shared" si="4"/>
        <v>0</v>
      </c>
      <c r="I49" s="6">
        <f t="shared" si="4"/>
        <v>0</v>
      </c>
      <c r="J49" s="6">
        <f t="shared" si="4"/>
        <v>0</v>
      </c>
      <c r="K49" s="6">
        <f t="shared" si="4"/>
        <v>0</v>
      </c>
      <c r="L49" s="6">
        <f t="shared" si="4"/>
        <v>0</v>
      </c>
      <c r="M49" s="6">
        <f t="shared" ref="M49" si="5">M39-M44</f>
        <v>0</v>
      </c>
    </row>
    <row r="50" spans="1:16" x14ac:dyDescent="0.2">
      <c r="A50" t="s">
        <v>48</v>
      </c>
      <c r="B50" s="6">
        <f>B40-B45</f>
        <v>0</v>
      </c>
      <c r="C50" s="6">
        <f t="shared" ref="C50:L50" si="6">C40-C45</f>
        <v>0</v>
      </c>
      <c r="D50" s="6">
        <f t="shared" si="6"/>
        <v>0</v>
      </c>
      <c r="E50" s="6">
        <f t="shared" si="6"/>
        <v>0</v>
      </c>
      <c r="F50" s="6">
        <f t="shared" si="6"/>
        <v>0</v>
      </c>
      <c r="G50" s="6">
        <f t="shared" si="6"/>
        <v>0</v>
      </c>
      <c r="H50" s="6">
        <f t="shared" si="6"/>
        <v>0</v>
      </c>
      <c r="I50" s="6">
        <f t="shared" si="6"/>
        <v>0</v>
      </c>
      <c r="J50" s="6">
        <f t="shared" si="6"/>
        <v>0</v>
      </c>
      <c r="K50" s="6">
        <f t="shared" si="6"/>
        <v>0</v>
      </c>
      <c r="L50" s="6">
        <f t="shared" si="6"/>
        <v>0</v>
      </c>
      <c r="M50" s="6">
        <f t="shared" ref="M50" si="7">M40-M45</f>
        <v>0</v>
      </c>
    </row>
    <row r="51" spans="1:16" x14ac:dyDescent="0.2">
      <c r="A51" t="s">
        <v>55</v>
      </c>
      <c r="B51" s="6">
        <f>B41-B46</f>
        <v>0</v>
      </c>
      <c r="C51" s="6">
        <f t="shared" ref="C51:L51" si="8">C41-C46</f>
        <v>0</v>
      </c>
      <c r="D51" s="6">
        <f t="shared" si="8"/>
        <v>0</v>
      </c>
      <c r="E51" s="6">
        <f t="shared" si="8"/>
        <v>0</v>
      </c>
      <c r="F51" s="6">
        <f t="shared" si="8"/>
        <v>0</v>
      </c>
      <c r="G51" s="6">
        <f t="shared" si="8"/>
        <v>0</v>
      </c>
      <c r="H51" s="6">
        <f t="shared" si="8"/>
        <v>0</v>
      </c>
      <c r="I51" s="6">
        <f t="shared" si="8"/>
        <v>0</v>
      </c>
      <c r="J51" s="6">
        <f t="shared" si="8"/>
        <v>0</v>
      </c>
      <c r="K51" s="6">
        <f t="shared" si="8"/>
        <v>0</v>
      </c>
      <c r="L51" s="6">
        <f t="shared" si="8"/>
        <v>0</v>
      </c>
      <c r="M51" s="6">
        <f t="shared" ref="M51" si="9">M41-M46</f>
        <v>0</v>
      </c>
    </row>
    <row r="54" spans="1:16" x14ac:dyDescent="0.2">
      <c r="B54" s="78">
        <v>2003</v>
      </c>
      <c r="C54" s="78">
        <v>2004</v>
      </c>
      <c r="D54" s="78">
        <v>2005</v>
      </c>
      <c r="E54" s="78">
        <v>2006</v>
      </c>
      <c r="F54" s="78">
        <v>2007</v>
      </c>
      <c r="G54" s="78">
        <v>2008</v>
      </c>
      <c r="H54" s="78">
        <v>2009</v>
      </c>
      <c r="I54" s="78">
        <v>2010</v>
      </c>
      <c r="J54" s="78">
        <v>2011</v>
      </c>
      <c r="K54" s="78">
        <v>2012</v>
      </c>
      <c r="L54" s="78">
        <v>2013</v>
      </c>
      <c r="M54" s="78">
        <v>2014</v>
      </c>
      <c r="N54" s="78"/>
      <c r="P54" s="1"/>
    </row>
    <row r="55" spans="1:16" x14ac:dyDescent="0.2">
      <c r="A55" s="83" t="s">
        <v>128</v>
      </c>
      <c r="B55" s="79">
        <f t="shared" ref="B55:K55" si="10">B4/1000000</f>
        <v>377.32853495999984</v>
      </c>
      <c r="C55" s="79">
        <f t="shared" si="10"/>
        <v>382.25643904000015</v>
      </c>
      <c r="D55" s="79">
        <f t="shared" si="10"/>
        <v>397.94970699999999</v>
      </c>
      <c r="E55" s="79">
        <f t="shared" si="10"/>
        <v>378.53475700000001</v>
      </c>
      <c r="F55" s="79">
        <f t="shared" si="10"/>
        <v>385.1269103599999</v>
      </c>
      <c r="G55" s="79">
        <f t="shared" si="10"/>
        <v>376.48161395999983</v>
      </c>
      <c r="H55" s="79">
        <f t="shared" si="10"/>
        <v>357.88092279999995</v>
      </c>
      <c r="I55" s="79">
        <f t="shared" si="10"/>
        <v>371.9409587699999</v>
      </c>
      <c r="J55" s="79">
        <f t="shared" si="10"/>
        <v>374.15314851000005</v>
      </c>
      <c r="K55" s="79">
        <f t="shared" si="10"/>
        <v>368.11399029</v>
      </c>
      <c r="L55" s="79"/>
      <c r="M55" s="79"/>
      <c r="N55" s="79"/>
      <c r="P55" s="1"/>
    </row>
    <row r="56" spans="1:16" x14ac:dyDescent="0.2">
      <c r="A56" s="83" t="s">
        <v>129</v>
      </c>
      <c r="B56" s="79">
        <f t="shared" ref="B56:K56" si="11">B5/1000000</f>
        <v>381.2215660868099</v>
      </c>
      <c r="C56" s="79">
        <f t="shared" si="11"/>
        <v>379.50320308578654</v>
      </c>
      <c r="D56" s="79">
        <f t="shared" si="11"/>
        <v>395.55994996057871</v>
      </c>
      <c r="E56" s="79">
        <f t="shared" si="11"/>
        <v>378.47242153347082</v>
      </c>
      <c r="F56" s="79">
        <f t="shared" si="11"/>
        <v>383.3188908826375</v>
      </c>
      <c r="G56" s="79">
        <f t="shared" si="11"/>
        <v>380.13092761278176</v>
      </c>
      <c r="H56" s="79">
        <f t="shared" si="11"/>
        <v>358.21654826712194</v>
      </c>
      <c r="I56" s="79">
        <f t="shared" si="11"/>
        <v>366.59951516136505</v>
      </c>
      <c r="J56" s="79">
        <f t="shared" si="11"/>
        <v>376.24932634530774</v>
      </c>
      <c r="K56" s="79">
        <f t="shared" si="11"/>
        <v>374.59464465462889</v>
      </c>
      <c r="L56" s="79">
        <f>L5/1000000</f>
        <v>366.50064809950862</v>
      </c>
      <c r="M56" s="79">
        <f>M5/1000000</f>
        <v>368.59710414244461</v>
      </c>
      <c r="N56" s="79"/>
      <c r="P56" s="1"/>
    </row>
    <row r="58" spans="1:16" x14ac:dyDescent="0.2">
      <c r="G58" s="44"/>
      <c r="H58" s="22"/>
      <c r="I58" s="22"/>
      <c r="J58" s="22"/>
      <c r="L58" s="43"/>
      <c r="M58" s="43"/>
    </row>
    <row r="59" spans="1:16" x14ac:dyDescent="0.2">
      <c r="A59" s="38" t="s">
        <v>130</v>
      </c>
      <c r="L59" s="6"/>
      <c r="M59" s="6"/>
    </row>
    <row r="60" spans="1:16" x14ac:dyDescent="0.2">
      <c r="A60" t="s">
        <v>47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8</v>
      </c>
      <c r="I60" s="26">
        <v>8</v>
      </c>
      <c r="J60" s="26">
        <v>8</v>
      </c>
      <c r="K60" s="6">
        <v>8</v>
      </c>
      <c r="L60" s="6">
        <v>8</v>
      </c>
      <c r="M60" s="6">
        <v>8</v>
      </c>
    </row>
    <row r="61" spans="1:16" x14ac:dyDescent="0.2">
      <c r="A61" t="s">
        <v>48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56044835</v>
      </c>
      <c r="I61" s="6">
        <v>73870537</v>
      </c>
      <c r="J61" s="6">
        <v>74192250</v>
      </c>
      <c r="K61" s="6">
        <v>71831928</v>
      </c>
      <c r="L61" s="6">
        <v>72430489</v>
      </c>
      <c r="M61" s="6">
        <v>72629941</v>
      </c>
    </row>
    <row r="62" spans="1:16" x14ac:dyDescent="0.2">
      <c r="A62" t="s">
        <v>49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334545</v>
      </c>
      <c r="I62" s="26">
        <v>241211</v>
      </c>
      <c r="J62" s="26">
        <v>264787</v>
      </c>
      <c r="K62" s="6">
        <v>245804</v>
      </c>
      <c r="L62" s="6">
        <v>227250</v>
      </c>
      <c r="M62" s="6">
        <v>227715</v>
      </c>
    </row>
    <row r="64" spans="1:16" x14ac:dyDescent="0.2">
      <c r="A64" s="83" t="s">
        <v>140</v>
      </c>
    </row>
    <row r="66" spans="13:13" x14ac:dyDescent="0.2">
      <c r="M66" s="6">
        <f>M44+M60</f>
        <v>24874.990607567917</v>
      </c>
    </row>
    <row r="67" spans="13:13" x14ac:dyDescent="0.2">
      <c r="M67" s="6">
        <f t="shared" ref="M67:M68" si="12">M45+M61</f>
        <v>416518668.09642518</v>
      </c>
    </row>
    <row r="68" spans="13:13" x14ac:dyDescent="0.2">
      <c r="M68" s="6">
        <f t="shared" si="12"/>
        <v>569444.49564969796</v>
      </c>
    </row>
  </sheetData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paperSize="17" scale="80" orientation="landscape" r:id="rId1"/>
  <headerFooter scaleWithDoc="0" alignWithMargins="0">
    <oddFooter>&amp;L&amp;F
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1"/>
  <sheetViews>
    <sheetView topLeftCell="A148" zoomScale="90" zoomScaleNormal="90" workbookViewId="0">
      <selection activeCell="H157" sqref="H157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0.140625" style="1" customWidth="1"/>
    <col min="6" max="6" width="12.42578125" style="1" customWidth="1"/>
    <col min="7" max="7" width="12.42578125" style="22" customWidth="1"/>
    <col min="8" max="8" width="12.42578125" style="146" customWidth="1"/>
    <col min="9" max="9" width="12.42578125" style="153" customWidth="1"/>
    <col min="10" max="10" width="15.42578125" style="1" bestFit="1" customWidth="1"/>
    <col min="11" max="11" width="17" style="1" customWidth="1"/>
    <col min="12" max="12" width="12.42578125" style="1" customWidth="1"/>
    <col min="13" max="13" width="45" bestFit="1" customWidth="1"/>
    <col min="14" max="14" width="18" customWidth="1"/>
    <col min="15" max="15" width="13.7109375" bestFit="1" customWidth="1"/>
    <col min="16" max="16" width="12.5703125" bestFit="1" customWidth="1"/>
    <col min="17" max="17" width="17.140625" customWidth="1"/>
    <col min="18" max="19" width="15.7109375" customWidth="1"/>
    <col min="20" max="20" width="14.140625" bestFit="1" customWidth="1"/>
    <col min="21" max="21" width="25.85546875" bestFit="1" customWidth="1"/>
    <col min="22" max="22" width="19.28515625" bestFit="1" customWidth="1"/>
    <col min="23" max="23" width="45" bestFit="1" customWidth="1"/>
    <col min="24" max="24" width="26.140625" bestFit="1" customWidth="1"/>
    <col min="25" max="25" width="23" bestFit="1" customWidth="1"/>
    <col min="26" max="26" width="14.7109375" bestFit="1" customWidth="1"/>
    <col min="27" max="27" width="20.140625" bestFit="1" customWidth="1"/>
    <col min="28" max="28" width="12.140625" bestFit="1" customWidth="1"/>
    <col min="29" max="29" width="21" bestFit="1" customWidth="1"/>
    <col min="30" max="30" width="13.140625" bestFit="1" customWidth="1"/>
  </cols>
  <sheetData>
    <row r="1" spans="1:18" ht="27" customHeight="1" x14ac:dyDescent="0.2">
      <c r="G1" s="31"/>
      <c r="H1"/>
      <c r="I1"/>
    </row>
    <row r="2" spans="1:18" ht="63.75" x14ac:dyDescent="0.2">
      <c r="B2" s="152" t="s">
        <v>0</v>
      </c>
      <c r="C2" s="75" t="s">
        <v>3</v>
      </c>
      <c r="D2" s="75" t="s">
        <v>4</v>
      </c>
      <c r="E2" s="12" t="s">
        <v>5</v>
      </c>
      <c r="F2" s="12" t="s">
        <v>18</v>
      </c>
      <c r="G2" s="75" t="s">
        <v>71</v>
      </c>
      <c r="H2" s="75" t="s">
        <v>136</v>
      </c>
      <c r="I2" s="75" t="s">
        <v>142</v>
      </c>
      <c r="J2" s="12" t="s">
        <v>10</v>
      </c>
      <c r="K2" s="12" t="s">
        <v>11</v>
      </c>
      <c r="L2" s="12" t="s">
        <v>12</v>
      </c>
      <c r="M2" t="s">
        <v>19</v>
      </c>
    </row>
    <row r="3" spans="1:18" ht="13.5" customHeight="1" x14ac:dyDescent="0.2">
      <c r="B3" s="152"/>
      <c r="C3" s="75"/>
      <c r="D3" s="75"/>
      <c r="E3" s="12"/>
      <c r="F3" s="12"/>
      <c r="G3" s="75"/>
      <c r="H3" s="75"/>
      <c r="I3" s="75"/>
      <c r="J3" s="12"/>
      <c r="K3" s="12"/>
      <c r="L3" s="12"/>
    </row>
    <row r="4" spans="1:18" ht="13.5" customHeight="1" x14ac:dyDescent="0.2">
      <c r="A4" s="3">
        <v>37622</v>
      </c>
      <c r="B4" s="26">
        <v>36662668.579999998</v>
      </c>
      <c r="C4" s="165">
        <v>829.5</v>
      </c>
      <c r="D4" s="165">
        <v>0</v>
      </c>
      <c r="E4" s="128">
        <v>31</v>
      </c>
      <c r="F4" s="128">
        <v>0</v>
      </c>
      <c r="G4" s="18">
        <v>0</v>
      </c>
      <c r="H4" s="128">
        <v>0</v>
      </c>
      <c r="I4" s="129">
        <v>658.3</v>
      </c>
      <c r="J4" s="10">
        <f t="shared" ref="J4:J35" si="0">$N$22+C4*$N$23+D4*$N$24+E4*$N$25+F4*$N$26+G4*$N$27+H4*$N$28+I4*$N$29</f>
        <v>37375363.886256695</v>
      </c>
      <c r="K4" s="10"/>
      <c r="L4" s="10"/>
    </row>
    <row r="5" spans="1:18" x14ac:dyDescent="0.2">
      <c r="A5" s="3">
        <v>37653</v>
      </c>
      <c r="B5" s="26">
        <v>32216877.579999998</v>
      </c>
      <c r="C5" s="165">
        <v>699.2</v>
      </c>
      <c r="D5" s="165">
        <v>0</v>
      </c>
      <c r="E5" s="128">
        <v>28</v>
      </c>
      <c r="F5" s="128">
        <v>0</v>
      </c>
      <c r="G5" s="18">
        <v>0</v>
      </c>
      <c r="H5" s="128">
        <v>0</v>
      </c>
      <c r="I5" s="129">
        <v>658.9</v>
      </c>
      <c r="J5" s="10">
        <f t="shared" si="0"/>
        <v>32551615.493329067</v>
      </c>
      <c r="K5" s="10"/>
      <c r="L5" s="10"/>
    </row>
    <row r="6" spans="1:18" x14ac:dyDescent="0.2">
      <c r="A6" s="3">
        <v>37681</v>
      </c>
      <c r="B6" s="26">
        <v>32592425.579999998</v>
      </c>
      <c r="C6" s="165">
        <v>593.1</v>
      </c>
      <c r="D6" s="165">
        <v>0</v>
      </c>
      <c r="E6" s="128">
        <v>31</v>
      </c>
      <c r="F6" s="128">
        <v>1</v>
      </c>
      <c r="G6" s="18">
        <v>0</v>
      </c>
      <c r="H6" s="128">
        <v>0</v>
      </c>
      <c r="I6" s="129">
        <v>661.9</v>
      </c>
      <c r="J6" s="10">
        <f t="shared" si="0"/>
        <v>32551354.910523534</v>
      </c>
      <c r="K6" s="10"/>
      <c r="L6"/>
      <c r="M6" t="s">
        <v>19</v>
      </c>
    </row>
    <row r="7" spans="1:18" ht="13.5" thickBot="1" x14ac:dyDescent="0.25">
      <c r="A7" s="3">
        <v>37712</v>
      </c>
      <c r="B7" s="26">
        <v>28484457.579999998</v>
      </c>
      <c r="C7" s="165">
        <v>387.1</v>
      </c>
      <c r="D7" s="165">
        <v>0</v>
      </c>
      <c r="E7" s="128">
        <v>30</v>
      </c>
      <c r="F7" s="128">
        <v>1</v>
      </c>
      <c r="G7" s="18">
        <v>0</v>
      </c>
      <c r="H7" s="128">
        <v>0</v>
      </c>
      <c r="I7" s="129">
        <v>663.6</v>
      </c>
      <c r="J7" s="10">
        <f t="shared" si="0"/>
        <v>29170760.118492138</v>
      </c>
      <c r="K7" s="10"/>
      <c r="L7"/>
    </row>
    <row r="8" spans="1:18" x14ac:dyDescent="0.2">
      <c r="A8" s="3">
        <v>37742</v>
      </c>
      <c r="B8" s="26">
        <v>27549363.579999998</v>
      </c>
      <c r="C8" s="165">
        <v>215.8</v>
      </c>
      <c r="D8" s="165">
        <v>0</v>
      </c>
      <c r="E8" s="128">
        <v>31</v>
      </c>
      <c r="F8" s="128">
        <v>1</v>
      </c>
      <c r="G8" s="18">
        <v>0</v>
      </c>
      <c r="H8" s="128">
        <v>0</v>
      </c>
      <c r="I8" s="129">
        <v>668.5</v>
      </c>
      <c r="J8" s="10">
        <f t="shared" si="0"/>
        <v>28572205.538135171</v>
      </c>
      <c r="K8" s="10"/>
      <c r="L8"/>
      <c r="M8" s="49" t="s">
        <v>20</v>
      </c>
      <c r="N8" s="49"/>
    </row>
    <row r="9" spans="1:18" x14ac:dyDescent="0.2">
      <c r="A9" s="3">
        <v>37773</v>
      </c>
      <c r="B9" s="26">
        <v>28594489.579999998</v>
      </c>
      <c r="C9" s="165">
        <v>54.5</v>
      </c>
      <c r="D9" s="165">
        <v>41.4</v>
      </c>
      <c r="E9" s="128">
        <v>30</v>
      </c>
      <c r="F9" s="128">
        <v>0</v>
      </c>
      <c r="G9" s="18">
        <v>0</v>
      </c>
      <c r="H9" s="128">
        <v>1</v>
      </c>
      <c r="I9" s="129">
        <v>676.5</v>
      </c>
      <c r="J9" s="10">
        <f t="shared" si="0"/>
        <v>29395240.842834018</v>
      </c>
      <c r="K9" s="10"/>
      <c r="L9" s="14"/>
      <c r="M9" s="33" t="s">
        <v>21</v>
      </c>
      <c r="N9" s="33">
        <v>0.9511829738808687</v>
      </c>
    </row>
    <row r="10" spans="1:18" x14ac:dyDescent="0.2">
      <c r="A10" s="3">
        <v>37803</v>
      </c>
      <c r="B10" s="26">
        <v>33152863.579999998</v>
      </c>
      <c r="C10" s="165">
        <v>6.5</v>
      </c>
      <c r="D10" s="165">
        <v>83.9</v>
      </c>
      <c r="E10" s="128">
        <v>31</v>
      </c>
      <c r="F10" s="128">
        <v>0</v>
      </c>
      <c r="G10" s="18">
        <v>0</v>
      </c>
      <c r="H10" s="128">
        <v>1</v>
      </c>
      <c r="I10" s="129">
        <v>685.5</v>
      </c>
      <c r="J10" s="10">
        <f t="shared" si="0"/>
        <v>33329130.198722892</v>
      </c>
      <c r="K10" s="10"/>
      <c r="L10" s="14"/>
      <c r="M10" s="33" t="s">
        <v>22</v>
      </c>
      <c r="N10" s="33">
        <v>0.90474904980085324</v>
      </c>
    </row>
    <row r="11" spans="1:18" x14ac:dyDescent="0.2">
      <c r="A11" s="3">
        <v>37834</v>
      </c>
      <c r="B11" s="26">
        <v>33546963.579999998</v>
      </c>
      <c r="C11" s="165">
        <v>5.7</v>
      </c>
      <c r="D11" s="165">
        <v>102.6</v>
      </c>
      <c r="E11" s="128">
        <v>31</v>
      </c>
      <c r="F11" s="128">
        <v>0</v>
      </c>
      <c r="G11" s="18">
        <v>0</v>
      </c>
      <c r="H11" s="128">
        <v>1</v>
      </c>
      <c r="I11" s="129">
        <v>692.8</v>
      </c>
      <c r="J11" s="10">
        <f t="shared" si="0"/>
        <v>34939102.076238967</v>
      </c>
      <c r="K11" s="10"/>
      <c r="L11" s="14"/>
      <c r="M11" s="33" t="s">
        <v>23</v>
      </c>
      <c r="N11" s="33">
        <v>0.8993719800315465</v>
      </c>
    </row>
    <row r="12" spans="1:18" x14ac:dyDescent="0.2">
      <c r="A12" s="3">
        <v>37865</v>
      </c>
      <c r="B12" s="26">
        <v>28300068.579999998</v>
      </c>
      <c r="C12" s="165">
        <v>73.900000000000006</v>
      </c>
      <c r="D12" s="165">
        <v>14.8</v>
      </c>
      <c r="E12" s="128">
        <v>30</v>
      </c>
      <c r="F12" s="128">
        <v>1</v>
      </c>
      <c r="G12" s="18">
        <v>0</v>
      </c>
      <c r="H12" s="128">
        <v>0</v>
      </c>
      <c r="I12" s="129">
        <v>690.5</v>
      </c>
      <c r="J12" s="10">
        <f t="shared" si="0"/>
        <v>27826427.17628726</v>
      </c>
      <c r="K12" s="10"/>
      <c r="L12" s="14"/>
      <c r="M12" s="33" t="s">
        <v>24</v>
      </c>
      <c r="N12" s="33">
        <v>1036728.8212826066</v>
      </c>
    </row>
    <row r="13" spans="1:18" ht="13.5" thickBot="1" x14ac:dyDescent="0.25">
      <c r="A13" s="3">
        <v>37895</v>
      </c>
      <c r="B13" s="26">
        <v>29570747.579999998</v>
      </c>
      <c r="C13" s="165">
        <v>293.5</v>
      </c>
      <c r="D13" s="165">
        <v>0</v>
      </c>
      <c r="E13" s="128">
        <v>31</v>
      </c>
      <c r="F13" s="128">
        <v>1</v>
      </c>
      <c r="G13" s="18">
        <v>0</v>
      </c>
      <c r="H13" s="128">
        <v>0</v>
      </c>
      <c r="I13" s="129">
        <v>688</v>
      </c>
      <c r="J13" s="10">
        <f t="shared" si="0"/>
        <v>30294941.865454737</v>
      </c>
      <c r="K13" s="10"/>
      <c r="L13" s="14"/>
      <c r="M13" s="47" t="s">
        <v>25</v>
      </c>
      <c r="N13" s="47">
        <v>132</v>
      </c>
    </row>
    <row r="14" spans="1:18" x14ac:dyDescent="0.2">
      <c r="A14" s="3">
        <v>37926</v>
      </c>
      <c r="B14" s="26">
        <v>30816095.579999998</v>
      </c>
      <c r="C14" s="165">
        <v>391.5</v>
      </c>
      <c r="D14" s="165">
        <v>0</v>
      </c>
      <c r="E14" s="128">
        <v>30</v>
      </c>
      <c r="F14" s="128">
        <v>1</v>
      </c>
      <c r="G14" s="18">
        <v>0</v>
      </c>
      <c r="H14" s="128">
        <v>0</v>
      </c>
      <c r="I14" s="129">
        <v>679.7</v>
      </c>
      <c r="J14" s="10">
        <f t="shared" si="0"/>
        <v>29917688.874937315</v>
      </c>
      <c r="K14" s="10"/>
      <c r="L14" s="14"/>
    </row>
    <row r="15" spans="1:18" ht="13.5" thickBot="1" x14ac:dyDescent="0.25">
      <c r="A15" s="3">
        <v>37956</v>
      </c>
      <c r="B15" s="26">
        <v>35841513.579999998</v>
      </c>
      <c r="C15" s="165">
        <v>571</v>
      </c>
      <c r="D15" s="165">
        <v>0</v>
      </c>
      <c r="E15" s="128">
        <v>31</v>
      </c>
      <c r="F15" s="128">
        <v>0</v>
      </c>
      <c r="G15" s="18">
        <v>0</v>
      </c>
      <c r="H15" s="128">
        <v>0</v>
      </c>
      <c r="I15" s="129">
        <v>677.8</v>
      </c>
      <c r="J15" s="10">
        <f t="shared" si="0"/>
        <v>35297735.105598062</v>
      </c>
      <c r="K15" s="10"/>
      <c r="L15" s="14"/>
      <c r="M15" t="s">
        <v>26</v>
      </c>
    </row>
    <row r="16" spans="1:18" x14ac:dyDescent="0.2">
      <c r="A16" s="3">
        <v>37987</v>
      </c>
      <c r="B16" s="26">
        <v>38418883.920000002</v>
      </c>
      <c r="C16" s="165">
        <v>859.1</v>
      </c>
      <c r="D16" s="165">
        <v>0</v>
      </c>
      <c r="E16" s="128">
        <v>31</v>
      </c>
      <c r="F16" s="128">
        <v>0</v>
      </c>
      <c r="G16" s="18">
        <v>0</v>
      </c>
      <c r="H16" s="128">
        <v>0</v>
      </c>
      <c r="I16" s="129">
        <v>671.4</v>
      </c>
      <c r="J16" s="10">
        <f t="shared" si="0"/>
        <v>38277238.975165099</v>
      </c>
      <c r="K16" s="10"/>
      <c r="L16" s="14"/>
      <c r="M16" s="48"/>
      <c r="N16" s="48" t="s">
        <v>30</v>
      </c>
      <c r="O16" s="48" t="s">
        <v>31</v>
      </c>
      <c r="P16" s="48" t="s">
        <v>32</v>
      </c>
      <c r="Q16" s="48" t="s">
        <v>33</v>
      </c>
      <c r="R16" s="48" t="s">
        <v>34</v>
      </c>
    </row>
    <row r="17" spans="1:21" x14ac:dyDescent="0.2">
      <c r="A17" s="3">
        <v>38018</v>
      </c>
      <c r="B17" s="26">
        <v>33440257.920000002</v>
      </c>
      <c r="C17" s="165">
        <v>647.70000000000005</v>
      </c>
      <c r="D17" s="165">
        <v>0</v>
      </c>
      <c r="E17" s="128">
        <v>29</v>
      </c>
      <c r="F17" s="128">
        <v>0</v>
      </c>
      <c r="G17" s="18">
        <v>0</v>
      </c>
      <c r="H17" s="128">
        <v>0</v>
      </c>
      <c r="I17" s="129">
        <v>660.8</v>
      </c>
      <c r="J17" s="10">
        <f t="shared" si="0"/>
        <v>33177354.476889044</v>
      </c>
      <c r="K17" s="10"/>
      <c r="L17" s="14"/>
      <c r="M17" s="33" t="s">
        <v>27</v>
      </c>
      <c r="N17" s="33">
        <v>7</v>
      </c>
      <c r="O17" s="33">
        <v>1265933371164332</v>
      </c>
      <c r="P17" s="33">
        <v>180847624452047.44</v>
      </c>
      <c r="Q17" s="33">
        <v>168.26061193502295</v>
      </c>
      <c r="R17" s="33">
        <v>3.7376518692625901E-60</v>
      </c>
    </row>
    <row r="18" spans="1:21" x14ac:dyDescent="0.2">
      <c r="A18" s="3">
        <v>38047</v>
      </c>
      <c r="B18" s="26">
        <v>32352925.920000002</v>
      </c>
      <c r="C18" s="165">
        <v>513.6</v>
      </c>
      <c r="D18" s="165">
        <v>0</v>
      </c>
      <c r="E18" s="128">
        <v>31</v>
      </c>
      <c r="F18" s="128">
        <v>1</v>
      </c>
      <c r="G18" s="18">
        <v>0</v>
      </c>
      <c r="H18" s="128">
        <v>0</v>
      </c>
      <c r="I18" s="129">
        <v>652.6</v>
      </c>
      <c r="J18" s="10">
        <f t="shared" si="0"/>
        <v>31249970.669893865</v>
      </c>
      <c r="K18" s="10"/>
      <c r="L18" s="14"/>
      <c r="M18" s="33" t="s">
        <v>28</v>
      </c>
      <c r="N18" s="33">
        <v>124</v>
      </c>
      <c r="O18" s="33">
        <v>133276024460874.81</v>
      </c>
      <c r="P18" s="33">
        <v>1074806648878.0227</v>
      </c>
      <c r="Q18" s="33"/>
      <c r="R18" s="33"/>
    </row>
    <row r="19" spans="1:21" ht="15" customHeight="1" thickBot="1" x14ac:dyDescent="0.25">
      <c r="A19" s="3">
        <v>38078</v>
      </c>
      <c r="B19" s="26">
        <v>28034856.920000002</v>
      </c>
      <c r="C19" s="165">
        <v>329.3</v>
      </c>
      <c r="D19" s="165">
        <v>0</v>
      </c>
      <c r="E19" s="128">
        <v>30</v>
      </c>
      <c r="F19" s="128">
        <v>1</v>
      </c>
      <c r="G19" s="18">
        <v>0</v>
      </c>
      <c r="H19" s="128">
        <v>0</v>
      </c>
      <c r="I19" s="129">
        <v>654</v>
      </c>
      <c r="J19" s="10">
        <f t="shared" si="0"/>
        <v>28101678.966703743</v>
      </c>
      <c r="K19" s="10"/>
      <c r="L19" s="14"/>
      <c r="M19" s="47" t="s">
        <v>9</v>
      </c>
      <c r="N19" s="47">
        <v>131</v>
      </c>
      <c r="O19" s="47">
        <v>1399209395625206.7</v>
      </c>
      <c r="P19" s="47"/>
      <c r="Q19" s="47"/>
      <c r="R19" s="47"/>
    </row>
    <row r="20" spans="1:21" ht="13.5" thickBot="1" x14ac:dyDescent="0.25">
      <c r="A20" s="3">
        <v>38108</v>
      </c>
      <c r="B20" s="26">
        <v>28679951.920000002</v>
      </c>
      <c r="C20" s="165">
        <v>164.1</v>
      </c>
      <c r="D20" s="165">
        <v>14.2</v>
      </c>
      <c r="E20" s="128">
        <v>31</v>
      </c>
      <c r="F20" s="128">
        <v>1</v>
      </c>
      <c r="G20" s="18">
        <v>0</v>
      </c>
      <c r="H20" s="128">
        <v>0</v>
      </c>
      <c r="I20" s="129">
        <v>667.3</v>
      </c>
      <c r="J20" s="10">
        <f t="shared" si="0"/>
        <v>28925195.895106819</v>
      </c>
      <c r="K20" s="10"/>
      <c r="L20" s="14"/>
    </row>
    <row r="21" spans="1:21" x14ac:dyDescent="0.2">
      <c r="A21" s="3">
        <v>38139</v>
      </c>
      <c r="B21" s="26">
        <v>28777311.920000002</v>
      </c>
      <c r="C21" s="165">
        <v>60.1</v>
      </c>
      <c r="D21" s="165">
        <v>29.2</v>
      </c>
      <c r="E21" s="128">
        <v>30</v>
      </c>
      <c r="F21" s="128">
        <v>0</v>
      </c>
      <c r="G21" s="18">
        <v>0</v>
      </c>
      <c r="H21" s="128">
        <v>1</v>
      </c>
      <c r="I21" s="129">
        <v>681.4</v>
      </c>
      <c r="J21" s="10">
        <f t="shared" si="0"/>
        <v>28820712.977105241</v>
      </c>
      <c r="K21" s="10"/>
      <c r="L21" s="14"/>
      <c r="M21" s="48"/>
      <c r="N21" s="48" t="s">
        <v>35</v>
      </c>
      <c r="O21" s="48" t="s">
        <v>24</v>
      </c>
      <c r="P21" s="48" t="s">
        <v>36</v>
      </c>
      <c r="Q21" s="48" t="s">
        <v>37</v>
      </c>
      <c r="R21" s="48" t="s">
        <v>38</v>
      </c>
      <c r="S21" s="48" t="s">
        <v>39</v>
      </c>
      <c r="T21" s="48" t="s">
        <v>143</v>
      </c>
      <c r="U21" s="48" t="s">
        <v>144</v>
      </c>
    </row>
    <row r="22" spans="1:21" x14ac:dyDescent="0.2">
      <c r="A22" s="3">
        <v>38169</v>
      </c>
      <c r="B22" s="26">
        <v>32245497.920000002</v>
      </c>
      <c r="C22" s="165">
        <v>7.7</v>
      </c>
      <c r="D22" s="165">
        <v>71.599999999999994</v>
      </c>
      <c r="E22" s="128">
        <v>31</v>
      </c>
      <c r="F22" s="128">
        <v>0</v>
      </c>
      <c r="G22" s="18">
        <v>0</v>
      </c>
      <c r="H22" s="128">
        <v>1</v>
      </c>
      <c r="I22" s="129">
        <v>694.9</v>
      </c>
      <c r="J22" s="10">
        <f t="shared" si="0"/>
        <v>32892765.127336696</v>
      </c>
      <c r="K22" s="10"/>
      <c r="L22" s="14"/>
      <c r="M22" s="33" t="s">
        <v>29</v>
      </c>
      <c r="N22" s="33">
        <v>-35402078.371467948</v>
      </c>
      <c r="O22" s="33">
        <v>6145553.5999295479</v>
      </c>
      <c r="P22" s="33">
        <v>-5.7606003748586287</v>
      </c>
      <c r="Q22" s="33">
        <v>6.2341372417475635E-8</v>
      </c>
      <c r="R22" s="33">
        <v>-47565850.417337909</v>
      </c>
      <c r="S22" s="33">
        <v>-23238306.325597983</v>
      </c>
      <c r="T22" s="33">
        <v>-47565850.417337909</v>
      </c>
      <c r="U22" s="33">
        <v>-23238306.325597983</v>
      </c>
    </row>
    <row r="23" spans="1:21" x14ac:dyDescent="0.2">
      <c r="A23" s="3">
        <v>38200</v>
      </c>
      <c r="B23" s="26">
        <v>31231983.920000002</v>
      </c>
      <c r="C23" s="165">
        <v>28.9</v>
      </c>
      <c r="D23" s="165">
        <v>40</v>
      </c>
      <c r="E23" s="128">
        <v>31</v>
      </c>
      <c r="F23" s="128">
        <v>0</v>
      </c>
      <c r="G23" s="18">
        <v>0</v>
      </c>
      <c r="H23" s="128">
        <v>1</v>
      </c>
      <c r="I23" s="129">
        <v>701</v>
      </c>
      <c r="J23" s="10">
        <f t="shared" si="0"/>
        <v>31194873.852473676</v>
      </c>
      <c r="K23" s="10"/>
      <c r="L23" s="14"/>
      <c r="M23" s="33" t="s">
        <v>3</v>
      </c>
      <c r="N23" s="33">
        <v>11303.881939256982</v>
      </c>
      <c r="O23" s="33">
        <v>837.43688408117055</v>
      </c>
      <c r="P23" s="33">
        <v>13.498189719287939</v>
      </c>
      <c r="Q23" s="33">
        <v>4.212015677167094E-26</v>
      </c>
      <c r="R23" s="33">
        <v>9646.3597656835937</v>
      </c>
      <c r="S23" s="33">
        <v>12961.404112830371</v>
      </c>
      <c r="T23" s="33">
        <v>9646.3597656835937</v>
      </c>
      <c r="U23" s="33">
        <v>12961.404112830371</v>
      </c>
    </row>
    <row r="24" spans="1:21" x14ac:dyDescent="0.2">
      <c r="A24" s="3">
        <v>38231</v>
      </c>
      <c r="B24" s="26">
        <v>29977470.920000002</v>
      </c>
      <c r="C24" s="165">
        <v>43.9</v>
      </c>
      <c r="D24" s="165">
        <v>31.2</v>
      </c>
      <c r="E24" s="128">
        <v>30</v>
      </c>
      <c r="F24" s="128">
        <v>1</v>
      </c>
      <c r="G24" s="18">
        <v>0</v>
      </c>
      <c r="H24" s="128">
        <v>0</v>
      </c>
      <c r="I24" s="129">
        <v>702.2</v>
      </c>
      <c r="J24" s="10">
        <f t="shared" si="0"/>
        <v>29136613.19082946</v>
      </c>
      <c r="K24" s="10"/>
      <c r="L24" s="14"/>
      <c r="M24" s="33" t="s">
        <v>4</v>
      </c>
      <c r="N24" s="33">
        <v>69673.637337581109</v>
      </c>
      <c r="O24" s="33">
        <v>4822.0479900722221</v>
      </c>
      <c r="P24" s="33">
        <v>14.448972196259202</v>
      </c>
      <c r="Q24" s="33">
        <v>2.3580136861073818E-28</v>
      </c>
      <c r="R24" s="33">
        <v>60129.453629516735</v>
      </c>
      <c r="S24" s="33">
        <v>79217.821045645484</v>
      </c>
      <c r="T24" s="33">
        <v>60129.453629516735</v>
      </c>
      <c r="U24" s="33">
        <v>79217.821045645484</v>
      </c>
    </row>
    <row r="25" spans="1:21" x14ac:dyDescent="0.2">
      <c r="A25" s="3">
        <v>38261</v>
      </c>
      <c r="B25" s="26">
        <v>30210595.920000002</v>
      </c>
      <c r="C25" s="165">
        <v>253.5</v>
      </c>
      <c r="D25" s="165">
        <v>0</v>
      </c>
      <c r="E25" s="128">
        <v>31</v>
      </c>
      <c r="F25" s="128">
        <v>1</v>
      </c>
      <c r="G25" s="18">
        <v>0</v>
      </c>
      <c r="H25" s="128">
        <v>0</v>
      </c>
      <c r="I25" s="129">
        <v>700.2</v>
      </c>
      <c r="J25" s="10">
        <f t="shared" si="0"/>
        <v>30371093.323669042</v>
      </c>
      <c r="K25" s="10"/>
      <c r="L25" s="14"/>
      <c r="M25" s="33" t="s">
        <v>5</v>
      </c>
      <c r="N25" s="33">
        <v>1125611.6249078859</v>
      </c>
      <c r="O25" s="33">
        <v>118466.24361515777</v>
      </c>
      <c r="P25" s="33">
        <v>9.5015389241552999</v>
      </c>
      <c r="Q25" s="33">
        <v>2.0361707456009372E-16</v>
      </c>
      <c r="R25" s="33">
        <v>891133.74443153688</v>
      </c>
      <c r="S25" s="33">
        <v>1360089.5053842349</v>
      </c>
      <c r="T25" s="33">
        <v>891133.74443153688</v>
      </c>
      <c r="U25" s="33">
        <v>1360089.5053842349</v>
      </c>
    </row>
    <row r="26" spans="1:21" x14ac:dyDescent="0.2">
      <c r="A26" s="3">
        <v>38292</v>
      </c>
      <c r="B26" s="26">
        <v>31443173.920000002</v>
      </c>
      <c r="C26" s="165">
        <v>396</v>
      </c>
      <c r="D26" s="165">
        <v>0</v>
      </c>
      <c r="E26" s="128">
        <v>30</v>
      </c>
      <c r="F26" s="128">
        <v>1</v>
      </c>
      <c r="G26" s="18">
        <v>0</v>
      </c>
      <c r="H26" s="128">
        <v>0</v>
      </c>
      <c r="I26" s="129">
        <v>694.2</v>
      </c>
      <c r="J26" s="10">
        <f t="shared" si="0"/>
        <v>30596461.890293188</v>
      </c>
      <c r="K26" s="10"/>
      <c r="L26" s="14"/>
      <c r="M26" s="33" t="s">
        <v>18</v>
      </c>
      <c r="N26" s="33">
        <v>-2307665.0761800669</v>
      </c>
      <c r="O26" s="33">
        <v>369211.98089735821</v>
      </c>
      <c r="P26" s="33">
        <v>-6.2502442921038446</v>
      </c>
      <c r="Q26" s="33">
        <v>6.0254548818903219E-9</v>
      </c>
      <c r="R26" s="33">
        <v>-3038439.0087825009</v>
      </c>
      <c r="S26" s="33">
        <v>-1576891.143577633</v>
      </c>
      <c r="T26" s="33">
        <v>-3038439.0087825009</v>
      </c>
      <c r="U26" s="33">
        <v>-1576891.143577633</v>
      </c>
    </row>
    <row r="27" spans="1:21" x14ac:dyDescent="0.2">
      <c r="A27" s="3">
        <v>38322</v>
      </c>
      <c r="B27" s="26">
        <v>37443527.920000002</v>
      </c>
      <c r="C27" s="165">
        <v>636.70000000000005</v>
      </c>
      <c r="D27" s="165">
        <v>0</v>
      </c>
      <c r="E27" s="128">
        <v>31</v>
      </c>
      <c r="F27" s="128">
        <v>0</v>
      </c>
      <c r="G27" s="18">
        <v>0</v>
      </c>
      <c r="H27" s="128">
        <v>0</v>
      </c>
      <c r="I27" s="129">
        <v>694.4</v>
      </c>
      <c r="J27" s="10">
        <f t="shared" si="0"/>
        <v>36759243.740320697</v>
      </c>
      <c r="K27" s="10"/>
      <c r="L27" s="14"/>
      <c r="M27" s="33" t="s">
        <v>71</v>
      </c>
      <c r="N27" s="33">
        <v>-2.9334955419897004</v>
      </c>
      <c r="O27" s="33">
        <v>0.38195947346158393</v>
      </c>
      <c r="P27" s="33">
        <v>-7.6801224889235282</v>
      </c>
      <c r="Q27" s="33">
        <v>4.1277322665488959E-12</v>
      </c>
      <c r="R27" s="33">
        <v>-3.6895003331610745</v>
      </c>
      <c r="S27" s="33">
        <v>-2.1774907508183263</v>
      </c>
      <c r="T27" s="33">
        <v>-3.6895003331610745</v>
      </c>
      <c r="U27" s="33">
        <v>-2.1774907508183263</v>
      </c>
    </row>
    <row r="28" spans="1:21" x14ac:dyDescent="0.2">
      <c r="A28" s="3">
        <v>38353</v>
      </c>
      <c r="B28" s="26">
        <v>38588369.75</v>
      </c>
      <c r="C28" s="165">
        <v>765.8</v>
      </c>
      <c r="D28" s="165">
        <v>0</v>
      </c>
      <c r="E28" s="128">
        <v>31</v>
      </c>
      <c r="F28" s="128">
        <v>0</v>
      </c>
      <c r="G28" s="18">
        <v>0</v>
      </c>
      <c r="H28" s="128">
        <v>0</v>
      </c>
      <c r="I28" s="129">
        <v>683.8</v>
      </c>
      <c r="J28" s="10">
        <f t="shared" si="0"/>
        <v>37759554.292177409</v>
      </c>
      <c r="K28" s="10"/>
      <c r="L28" s="14"/>
      <c r="M28" s="33" t="s">
        <v>136</v>
      </c>
      <c r="N28" s="33">
        <v>-1766621.2219631684</v>
      </c>
      <c r="O28" s="33">
        <v>595985.62413129059</v>
      </c>
      <c r="P28" s="33">
        <v>-2.9642010653162947</v>
      </c>
      <c r="Q28" s="33">
        <v>3.6400361218290522E-3</v>
      </c>
      <c r="R28" s="33">
        <v>-2946243.717588569</v>
      </c>
      <c r="S28" s="33">
        <v>-586998.7263377679</v>
      </c>
      <c r="T28" s="33">
        <v>-2946243.717588569</v>
      </c>
      <c r="U28" s="33">
        <v>-586998.7263377679</v>
      </c>
    </row>
    <row r="29" spans="1:21" ht="13.5" thickBot="1" x14ac:dyDescent="0.25">
      <c r="A29" s="3">
        <v>38384</v>
      </c>
      <c r="B29" s="26">
        <v>32788469.75</v>
      </c>
      <c r="C29" s="165">
        <v>641.70000000000005</v>
      </c>
      <c r="D29" s="165">
        <v>0</v>
      </c>
      <c r="E29" s="128">
        <v>28</v>
      </c>
      <c r="F29" s="128">
        <v>0</v>
      </c>
      <c r="G29" s="18">
        <v>0</v>
      </c>
      <c r="H29" s="128">
        <v>0</v>
      </c>
      <c r="I29" s="129">
        <v>681.8</v>
      </c>
      <c r="J29" s="10">
        <f t="shared" si="0"/>
        <v>32893300.007187933</v>
      </c>
      <c r="K29" s="10"/>
      <c r="L29" s="14"/>
      <c r="M29" s="47" t="s">
        <v>142</v>
      </c>
      <c r="N29" s="47">
        <v>43303.830802015065</v>
      </c>
      <c r="O29" s="47">
        <v>7997.5514469920709</v>
      </c>
      <c r="P29" s="47">
        <v>5.4146361031915466</v>
      </c>
      <c r="Q29" s="47">
        <v>3.0574942497758134E-7</v>
      </c>
      <c r="R29" s="47">
        <v>27474.43624145924</v>
      </c>
      <c r="S29" s="47">
        <v>59133.225362570891</v>
      </c>
      <c r="T29" s="47">
        <v>27474.43624145924</v>
      </c>
      <c r="U29" s="47">
        <v>59133.225362570891</v>
      </c>
    </row>
    <row r="30" spans="1:21" x14ac:dyDescent="0.2">
      <c r="A30" s="3">
        <v>38412</v>
      </c>
      <c r="B30" s="26">
        <v>33560528.75</v>
      </c>
      <c r="C30" s="165">
        <v>646.9</v>
      </c>
      <c r="D30" s="165">
        <v>0</v>
      </c>
      <c r="E30" s="128">
        <v>31</v>
      </c>
      <c r="F30" s="128">
        <v>1</v>
      </c>
      <c r="G30" s="18">
        <v>0</v>
      </c>
      <c r="H30" s="128">
        <v>0</v>
      </c>
      <c r="I30" s="129">
        <v>666.7</v>
      </c>
      <c r="J30" s="10">
        <f t="shared" si="0"/>
        <v>33367362.146705236</v>
      </c>
      <c r="K30" s="10"/>
      <c r="L30" s="14"/>
    </row>
    <row r="31" spans="1:21" x14ac:dyDescent="0.2">
      <c r="A31" s="3">
        <v>38443</v>
      </c>
      <c r="B31" s="26">
        <v>28067409.75</v>
      </c>
      <c r="C31" s="165">
        <v>339</v>
      </c>
      <c r="D31" s="165">
        <v>0</v>
      </c>
      <c r="E31" s="128">
        <v>30</v>
      </c>
      <c r="F31" s="128">
        <v>1</v>
      </c>
      <c r="G31" s="18">
        <v>0</v>
      </c>
      <c r="H31" s="128">
        <v>0</v>
      </c>
      <c r="I31" s="129">
        <v>668.5</v>
      </c>
      <c r="J31" s="10">
        <f t="shared" si="0"/>
        <v>28839232.168143753</v>
      </c>
      <c r="K31" s="10"/>
      <c r="L31" s="14"/>
    </row>
    <row r="32" spans="1:21" x14ac:dyDescent="0.2">
      <c r="A32" s="3">
        <v>38473</v>
      </c>
      <c r="B32" s="26">
        <v>28033375.75</v>
      </c>
      <c r="C32" s="165">
        <v>212.7</v>
      </c>
      <c r="D32" s="165">
        <v>0</v>
      </c>
      <c r="E32" s="128">
        <v>31</v>
      </c>
      <c r="F32" s="128">
        <v>1</v>
      </c>
      <c r="G32" s="18">
        <v>0</v>
      </c>
      <c r="H32" s="128">
        <v>0</v>
      </c>
      <c r="I32" s="129">
        <v>673.2</v>
      </c>
      <c r="J32" s="10">
        <f t="shared" si="0"/>
        <v>28740691.50889295</v>
      </c>
      <c r="K32" s="10"/>
      <c r="L32" s="14"/>
    </row>
    <row r="33" spans="1:12" x14ac:dyDescent="0.2">
      <c r="A33" s="3">
        <v>38504</v>
      </c>
      <c r="B33" s="26">
        <v>34051462.75</v>
      </c>
      <c r="C33" s="165">
        <v>13.1</v>
      </c>
      <c r="D33" s="165">
        <v>119.6</v>
      </c>
      <c r="E33" s="128">
        <v>30</v>
      </c>
      <c r="F33" s="128">
        <v>0</v>
      </c>
      <c r="G33" s="18">
        <v>0</v>
      </c>
      <c r="H33" s="128">
        <v>1</v>
      </c>
      <c r="I33" s="129">
        <v>689.8</v>
      </c>
      <c r="J33" s="10">
        <f t="shared" si="0"/>
        <v>34951679.52001442</v>
      </c>
      <c r="K33" s="10"/>
      <c r="L33" s="14"/>
    </row>
    <row r="34" spans="1:12" x14ac:dyDescent="0.2">
      <c r="A34" s="3">
        <v>38534</v>
      </c>
      <c r="B34" s="26">
        <v>38068286.75</v>
      </c>
      <c r="C34" s="165">
        <v>1.1000000000000001</v>
      </c>
      <c r="D34" s="165">
        <v>144.69999999999999</v>
      </c>
      <c r="E34" s="128">
        <v>31</v>
      </c>
      <c r="F34" s="128">
        <v>0</v>
      </c>
      <c r="G34" s="18">
        <v>0</v>
      </c>
      <c r="H34" s="128">
        <v>1</v>
      </c>
      <c r="I34" s="129">
        <v>697.3</v>
      </c>
      <c r="J34" s="10">
        <f t="shared" si="0"/>
        <v>38015231.589839615</v>
      </c>
      <c r="K34" s="10"/>
      <c r="L34" s="14"/>
    </row>
    <row r="35" spans="1:12" x14ac:dyDescent="0.2">
      <c r="A35" s="3">
        <v>38565</v>
      </c>
      <c r="B35" s="26">
        <v>35835109.75</v>
      </c>
      <c r="C35" s="165">
        <v>3.8</v>
      </c>
      <c r="D35" s="165">
        <v>102.5</v>
      </c>
      <c r="E35" s="128">
        <v>31</v>
      </c>
      <c r="F35" s="128">
        <v>0</v>
      </c>
      <c r="G35" s="18">
        <v>0</v>
      </c>
      <c r="H35" s="128">
        <v>1</v>
      </c>
      <c r="I35" s="129">
        <v>699.3</v>
      </c>
      <c r="J35" s="10">
        <f t="shared" si="0"/>
        <v>35192132.237033717</v>
      </c>
      <c r="K35" s="10"/>
      <c r="L35" s="14"/>
    </row>
    <row r="36" spans="1:12" x14ac:dyDescent="0.2">
      <c r="A36" s="3">
        <v>38596</v>
      </c>
      <c r="B36" s="26">
        <v>30006886.75</v>
      </c>
      <c r="C36" s="165">
        <v>32.799999999999997</v>
      </c>
      <c r="D36" s="165">
        <v>25.6</v>
      </c>
      <c r="E36" s="128">
        <v>30</v>
      </c>
      <c r="F36" s="128">
        <v>1</v>
      </c>
      <c r="G36" s="18">
        <v>0</v>
      </c>
      <c r="H36" s="128">
        <v>0</v>
      </c>
      <c r="I36" s="129">
        <v>694.4</v>
      </c>
      <c r="J36" s="10">
        <f t="shared" ref="J36:J67" si="1">$N$22+C36*$N$23+D36*$N$24+E36*$N$25+F36*$N$26+G36*$N$27+H36*$N$28+I36*$N$29</f>
        <v>28283197.851957534</v>
      </c>
      <c r="K36" s="10"/>
      <c r="L36" s="14"/>
    </row>
    <row r="37" spans="1:12" x14ac:dyDescent="0.2">
      <c r="A37" s="3">
        <v>38626</v>
      </c>
      <c r="B37" s="26">
        <v>29588398.75</v>
      </c>
      <c r="C37" s="165">
        <v>234.2</v>
      </c>
      <c r="D37" s="165">
        <v>7.6</v>
      </c>
      <c r="E37" s="128">
        <v>31</v>
      </c>
      <c r="F37" s="128">
        <v>1</v>
      </c>
      <c r="G37" s="18">
        <v>0</v>
      </c>
      <c r="H37" s="128">
        <v>0</v>
      </c>
      <c r="I37" s="129">
        <v>690.1</v>
      </c>
      <c r="J37" s="10">
        <f t="shared" si="1"/>
        <v>30245079.354906645</v>
      </c>
      <c r="K37" s="10"/>
      <c r="L37" s="14"/>
    </row>
    <row r="38" spans="1:12" x14ac:dyDescent="0.2">
      <c r="A38" s="3">
        <v>38657</v>
      </c>
      <c r="B38" s="26">
        <v>31614192.75</v>
      </c>
      <c r="C38" s="165">
        <v>396.3</v>
      </c>
      <c r="D38" s="165">
        <v>0</v>
      </c>
      <c r="E38" s="128">
        <v>30</v>
      </c>
      <c r="F38" s="128">
        <v>1</v>
      </c>
      <c r="G38" s="18">
        <v>0</v>
      </c>
      <c r="H38" s="128">
        <v>0</v>
      </c>
      <c r="I38" s="129">
        <v>687.2</v>
      </c>
      <c r="J38" s="10">
        <f t="shared" si="1"/>
        <v>30296726.239260864</v>
      </c>
      <c r="K38" s="10"/>
      <c r="L38" s="14"/>
    </row>
    <row r="39" spans="1:12" x14ac:dyDescent="0.2">
      <c r="A39" s="3">
        <v>38687</v>
      </c>
      <c r="B39" s="26">
        <v>37747215.75</v>
      </c>
      <c r="C39" s="165">
        <v>688.8</v>
      </c>
      <c r="D39" s="165">
        <v>0</v>
      </c>
      <c r="E39" s="128">
        <v>31</v>
      </c>
      <c r="F39" s="128">
        <v>0</v>
      </c>
      <c r="G39" s="18">
        <v>0</v>
      </c>
      <c r="H39" s="128">
        <v>0</v>
      </c>
      <c r="I39" s="129">
        <v>685.8</v>
      </c>
      <c r="J39" s="10">
        <f t="shared" si="1"/>
        <v>36975763.044458658</v>
      </c>
      <c r="K39" s="10"/>
      <c r="L39" s="14"/>
    </row>
    <row r="40" spans="1:12" x14ac:dyDescent="0.2">
      <c r="A40" s="3">
        <v>38718</v>
      </c>
      <c r="B40" s="26">
        <v>35087684.75</v>
      </c>
      <c r="C40" s="165">
        <v>554.70000000000005</v>
      </c>
      <c r="D40" s="165">
        <v>0</v>
      </c>
      <c r="E40" s="128">
        <v>31</v>
      </c>
      <c r="F40" s="128">
        <v>0</v>
      </c>
      <c r="G40" s="18">
        <f>'CDM Activity'!F16</f>
        <v>20705.128205128207</v>
      </c>
      <c r="H40" s="128">
        <v>0</v>
      </c>
      <c r="I40" s="129">
        <v>682.9</v>
      </c>
      <c r="J40" s="10">
        <f t="shared" si="1"/>
        <v>35273592.96579238</v>
      </c>
      <c r="K40" s="10"/>
      <c r="L40" s="14"/>
    </row>
    <row r="41" spans="1:12" x14ac:dyDescent="0.2">
      <c r="A41" s="3">
        <v>38749</v>
      </c>
      <c r="B41" s="26">
        <v>32387945.75</v>
      </c>
      <c r="C41" s="165">
        <v>602.79999999999995</v>
      </c>
      <c r="D41" s="165">
        <v>0</v>
      </c>
      <c r="E41" s="128">
        <v>28</v>
      </c>
      <c r="F41" s="128">
        <v>0</v>
      </c>
      <c r="G41" s="18">
        <f>'CDM Activity'!F17</f>
        <v>41410.256410256414</v>
      </c>
      <c r="H41" s="128">
        <v>0</v>
      </c>
      <c r="I41" s="129">
        <v>676.8</v>
      </c>
      <c r="J41" s="10">
        <f t="shared" si="1"/>
        <v>32115583.043168623</v>
      </c>
      <c r="K41" s="10"/>
      <c r="L41" s="14"/>
    </row>
    <row r="42" spans="1:12" x14ac:dyDescent="0.2">
      <c r="A42" s="3">
        <v>38777</v>
      </c>
      <c r="B42" s="26">
        <v>32659458.75</v>
      </c>
      <c r="C42" s="165">
        <v>530.4</v>
      </c>
      <c r="D42" s="165">
        <v>0</v>
      </c>
      <c r="E42" s="128">
        <v>31</v>
      </c>
      <c r="F42" s="128">
        <v>1</v>
      </c>
      <c r="G42" s="18">
        <f>'CDM Activity'!F18</f>
        <v>62115.384615384624</v>
      </c>
      <c r="H42" s="128">
        <v>0</v>
      </c>
      <c r="I42" s="129">
        <v>671.7</v>
      </c>
      <c r="J42" s="10">
        <f t="shared" si="1"/>
        <v>32084763.85093366</v>
      </c>
      <c r="K42" s="10"/>
      <c r="L42" s="14"/>
    </row>
    <row r="43" spans="1:12" x14ac:dyDescent="0.2">
      <c r="A43" s="3">
        <v>38808</v>
      </c>
      <c r="B43" s="26">
        <v>26787900.75</v>
      </c>
      <c r="C43" s="165">
        <v>314.60000000000002</v>
      </c>
      <c r="D43" s="165">
        <v>0</v>
      </c>
      <c r="E43" s="128">
        <v>30</v>
      </c>
      <c r="F43" s="128">
        <v>1</v>
      </c>
      <c r="G43" s="18">
        <f>'CDM Activity'!F19</f>
        <v>82820.512820512828</v>
      </c>
      <c r="H43" s="128">
        <v>0</v>
      </c>
      <c r="I43" s="129">
        <v>672.3</v>
      </c>
      <c r="J43" s="10">
        <f t="shared" si="1"/>
        <v>28485018.400729265</v>
      </c>
      <c r="K43" s="10"/>
      <c r="L43" s="14"/>
    </row>
    <row r="44" spans="1:12" x14ac:dyDescent="0.2">
      <c r="A44" s="3">
        <v>38838</v>
      </c>
      <c r="B44" s="26">
        <v>27503586.75</v>
      </c>
      <c r="C44" s="165">
        <v>155.5</v>
      </c>
      <c r="D44" s="165">
        <v>22.4</v>
      </c>
      <c r="E44" s="128">
        <v>31</v>
      </c>
      <c r="F44" s="128">
        <v>1</v>
      </c>
      <c r="G44" s="18">
        <f>'CDM Activity'!F20</f>
        <v>103525.64102564103</v>
      </c>
      <c r="H44" s="128">
        <v>0</v>
      </c>
      <c r="I44" s="129">
        <v>683.8</v>
      </c>
      <c r="J44" s="10">
        <f t="shared" si="1"/>
        <v>29810127.538400281</v>
      </c>
      <c r="K44" s="10"/>
      <c r="L44" s="14"/>
    </row>
    <row r="45" spans="1:12" x14ac:dyDescent="0.2">
      <c r="A45" s="3">
        <v>38869</v>
      </c>
      <c r="B45" s="26">
        <v>29952374.75</v>
      </c>
      <c r="C45" s="165">
        <v>26.7</v>
      </c>
      <c r="D45" s="165">
        <v>43.2</v>
      </c>
      <c r="E45" s="128">
        <v>30</v>
      </c>
      <c r="F45" s="128">
        <v>0</v>
      </c>
      <c r="G45" s="18">
        <f>'CDM Activity'!F21</f>
        <v>124230.76923076923</v>
      </c>
      <c r="H45" s="128">
        <v>1</v>
      </c>
      <c r="I45" s="129">
        <v>697.8</v>
      </c>
      <c r="J45" s="10">
        <f t="shared" si="1"/>
        <v>29764346.660496831</v>
      </c>
      <c r="K45" s="10"/>
      <c r="L45" s="14"/>
    </row>
    <row r="46" spans="1:12" x14ac:dyDescent="0.2">
      <c r="A46" s="3">
        <v>38899</v>
      </c>
      <c r="B46" s="26">
        <v>36277084.75</v>
      </c>
      <c r="C46" s="165">
        <v>1.9</v>
      </c>
      <c r="D46" s="165">
        <v>136.1</v>
      </c>
      <c r="E46" s="128">
        <v>31</v>
      </c>
      <c r="F46" s="128">
        <v>0</v>
      </c>
      <c r="G46" s="18">
        <f>'CDM Activity'!F22</f>
        <v>144935.89743589744</v>
      </c>
      <c r="H46" s="128">
        <v>1</v>
      </c>
      <c r="I46" s="129">
        <v>705.9</v>
      </c>
      <c r="J46" s="10">
        <f t="shared" si="1"/>
        <v>37372325.550182678</v>
      </c>
      <c r="K46" s="10"/>
      <c r="L46" s="14"/>
    </row>
    <row r="47" spans="1:12" x14ac:dyDescent="0.2">
      <c r="A47" s="3">
        <v>38930</v>
      </c>
      <c r="B47" s="26">
        <v>33329529.75</v>
      </c>
      <c r="C47" s="165">
        <v>8.1</v>
      </c>
      <c r="D47" s="165">
        <v>70.099999999999994</v>
      </c>
      <c r="E47" s="128">
        <v>31</v>
      </c>
      <c r="F47" s="128">
        <v>0</v>
      </c>
      <c r="G47" s="18">
        <f>'CDM Activity'!F23</f>
        <v>165641.02564102566</v>
      </c>
      <c r="H47" s="128">
        <v>1</v>
      </c>
      <c r="I47" s="129">
        <v>706.5</v>
      </c>
      <c r="J47" s="10">
        <f t="shared" si="1"/>
        <v>32809193.451120853</v>
      </c>
      <c r="K47" s="10"/>
      <c r="L47" s="14"/>
    </row>
    <row r="48" spans="1:12" x14ac:dyDescent="0.2">
      <c r="A48" s="3">
        <v>38961</v>
      </c>
      <c r="B48" s="26">
        <v>28064772.75</v>
      </c>
      <c r="C48" s="165">
        <v>105.3</v>
      </c>
      <c r="D48" s="165">
        <v>4.0999999999999996</v>
      </c>
      <c r="E48" s="128">
        <v>30</v>
      </c>
      <c r="F48" s="128">
        <v>1</v>
      </c>
      <c r="G48" s="18">
        <f>'CDM Activity'!F24</f>
        <v>186346.15384615387</v>
      </c>
      <c r="H48" s="128">
        <v>0</v>
      </c>
      <c r="I48" s="129">
        <v>699.3</v>
      </c>
      <c r="J48" s="10">
        <f t="shared" si="1"/>
        <v>27270289.249150917</v>
      </c>
      <c r="K48" s="10"/>
      <c r="L48" s="14"/>
    </row>
    <row r="49" spans="1:12" x14ac:dyDescent="0.2">
      <c r="A49" s="3">
        <v>38991</v>
      </c>
      <c r="B49" s="26">
        <v>30233030.75</v>
      </c>
      <c r="C49" s="165">
        <v>304.10000000000002</v>
      </c>
      <c r="D49" s="165">
        <v>0</v>
      </c>
      <c r="E49" s="128">
        <v>31</v>
      </c>
      <c r="F49" s="128">
        <v>1</v>
      </c>
      <c r="G49" s="18">
        <f>'CDM Activity'!F25</f>
        <v>207051.28205128209</v>
      </c>
      <c r="H49" s="128">
        <v>0</v>
      </c>
      <c r="I49" s="129">
        <v>693.6</v>
      </c>
      <c r="J49" s="10">
        <f t="shared" si="1"/>
        <v>30049880.453641456</v>
      </c>
      <c r="K49" s="10"/>
      <c r="L49" s="14"/>
    </row>
    <row r="50" spans="1:12" x14ac:dyDescent="0.2">
      <c r="A50" s="3">
        <v>39022</v>
      </c>
      <c r="B50" s="26">
        <v>31587657.75</v>
      </c>
      <c r="C50" s="165">
        <v>393.1</v>
      </c>
      <c r="D50" s="165">
        <v>0</v>
      </c>
      <c r="E50" s="128">
        <v>30</v>
      </c>
      <c r="F50" s="128">
        <v>1</v>
      </c>
      <c r="G50" s="18">
        <f>'CDM Activity'!F26</f>
        <v>227756.41025641031</v>
      </c>
      <c r="H50" s="128">
        <v>0</v>
      </c>
      <c r="I50" s="129">
        <v>683.4</v>
      </c>
      <c r="J50" s="10">
        <f t="shared" si="1"/>
        <v>29427876.84586082</v>
      </c>
      <c r="K50" s="10"/>
      <c r="L50" s="14"/>
    </row>
    <row r="51" spans="1:12" x14ac:dyDescent="0.2">
      <c r="A51" s="3">
        <v>39052</v>
      </c>
      <c r="B51" s="26">
        <v>34663729.75</v>
      </c>
      <c r="C51" s="165">
        <v>508.1</v>
      </c>
      <c r="D51" s="165">
        <v>0</v>
      </c>
      <c r="E51" s="128">
        <v>31</v>
      </c>
      <c r="F51" s="128">
        <v>0</v>
      </c>
      <c r="G51" s="18">
        <f>'CDM Activity'!F27</f>
        <v>248461.53846153853</v>
      </c>
      <c r="H51" s="128">
        <v>0</v>
      </c>
      <c r="I51" s="129">
        <v>681.3</v>
      </c>
      <c r="J51" s="10">
        <f t="shared" si="1"/>
        <v>34009423.523993023</v>
      </c>
      <c r="K51" s="10"/>
      <c r="L51" s="14"/>
    </row>
    <row r="52" spans="1:12" x14ac:dyDescent="0.2">
      <c r="A52" s="3">
        <v>39083</v>
      </c>
      <c r="B52" s="26">
        <v>35889157.579999998</v>
      </c>
      <c r="C52" s="165">
        <v>665.6</v>
      </c>
      <c r="D52" s="165">
        <v>0</v>
      </c>
      <c r="E52" s="128">
        <v>31</v>
      </c>
      <c r="F52" s="128">
        <v>0</v>
      </c>
      <c r="G52" s="18">
        <f>'CDM Activity'!F28</f>
        <v>264326.42998027621</v>
      </c>
      <c r="H52" s="128">
        <v>0</v>
      </c>
      <c r="I52" s="129">
        <v>674.2</v>
      </c>
      <c r="J52" s="10">
        <f t="shared" si="1"/>
        <v>35435788.142187327</v>
      </c>
      <c r="K52" s="10"/>
      <c r="L52" s="14"/>
    </row>
    <row r="53" spans="1:12" x14ac:dyDescent="0.2">
      <c r="A53" s="3">
        <v>39114</v>
      </c>
      <c r="B53" s="26">
        <v>34017543.579999998</v>
      </c>
      <c r="C53" s="165">
        <v>761.8</v>
      </c>
      <c r="D53" s="165">
        <v>0</v>
      </c>
      <c r="E53" s="128">
        <v>28</v>
      </c>
      <c r="F53" s="128">
        <v>0</v>
      </c>
      <c r="G53" s="18">
        <f>'CDM Activity'!F29</f>
        <v>280191.32149901387</v>
      </c>
      <c r="H53" s="128">
        <v>0</v>
      </c>
      <c r="I53" s="129">
        <v>672</v>
      </c>
      <c r="J53" s="10">
        <f t="shared" si="1"/>
        <v>33004578.693711393</v>
      </c>
      <c r="K53" s="10"/>
      <c r="L53" s="14"/>
    </row>
    <row r="54" spans="1:12" x14ac:dyDescent="0.2">
      <c r="A54" s="3">
        <v>39142</v>
      </c>
      <c r="B54" s="26">
        <v>32604793.579999998</v>
      </c>
      <c r="C54" s="165">
        <v>565.20000000000005</v>
      </c>
      <c r="D54" s="165">
        <v>0</v>
      </c>
      <c r="E54" s="128">
        <v>31</v>
      </c>
      <c r="F54" s="128">
        <v>1</v>
      </c>
      <c r="G54" s="18">
        <f>'CDM Activity'!F30</f>
        <v>296056.21301775152</v>
      </c>
      <c r="H54" s="128">
        <v>0</v>
      </c>
      <c r="I54" s="129">
        <v>670.7</v>
      </c>
      <c r="J54" s="10">
        <f t="shared" si="1"/>
        <v>31748570.734410074</v>
      </c>
      <c r="K54" s="10"/>
      <c r="L54" s="14"/>
    </row>
    <row r="55" spans="1:12" x14ac:dyDescent="0.2">
      <c r="A55" s="3">
        <v>39173</v>
      </c>
      <c r="B55" s="26">
        <v>28644658.579999998</v>
      </c>
      <c r="C55" s="165">
        <v>374.2</v>
      </c>
      <c r="D55" s="165">
        <v>0</v>
      </c>
      <c r="E55" s="128">
        <v>30</v>
      </c>
      <c r="F55" s="128">
        <v>1</v>
      </c>
      <c r="G55" s="18">
        <f>'CDM Activity'!F31</f>
        <v>311921.10453648918</v>
      </c>
      <c r="H55" s="128">
        <v>0</v>
      </c>
      <c r="I55" s="129">
        <v>679.7</v>
      </c>
      <c r="J55" s="10">
        <f t="shared" si="1"/>
        <v>28807112.547777873</v>
      </c>
      <c r="K55" s="10"/>
      <c r="L55" s="14"/>
    </row>
    <row r="56" spans="1:12" x14ac:dyDescent="0.2">
      <c r="A56" s="3">
        <v>39203</v>
      </c>
      <c r="B56" s="26">
        <v>27938155.579999998</v>
      </c>
      <c r="C56" s="165">
        <v>138.4</v>
      </c>
      <c r="D56" s="165">
        <v>23.3</v>
      </c>
      <c r="E56" s="128">
        <v>31</v>
      </c>
      <c r="F56" s="128">
        <v>1</v>
      </c>
      <c r="G56" s="18">
        <f>'CDM Activity'!F32</f>
        <v>327785.99605522683</v>
      </c>
      <c r="H56" s="128">
        <v>0</v>
      </c>
      <c r="I56" s="129">
        <v>694.3</v>
      </c>
      <c r="J56" s="10">
        <f t="shared" si="1"/>
        <v>29476360.902539644</v>
      </c>
      <c r="K56" s="10"/>
      <c r="L56" s="14"/>
    </row>
    <row r="57" spans="1:12" x14ac:dyDescent="0.2">
      <c r="A57" s="3">
        <v>39234</v>
      </c>
      <c r="B57" s="26">
        <v>32019208.579999998</v>
      </c>
      <c r="C57" s="165">
        <v>19.2</v>
      </c>
      <c r="D57" s="165">
        <v>74.2</v>
      </c>
      <c r="E57" s="128">
        <v>30</v>
      </c>
      <c r="F57" s="128">
        <v>0</v>
      </c>
      <c r="G57" s="18">
        <f>'CDM Activity'!F33</f>
        <v>343650.88757396449</v>
      </c>
      <c r="H57" s="128">
        <v>1</v>
      </c>
      <c r="I57" s="129">
        <v>705.6</v>
      </c>
      <c r="J57" s="10">
        <f t="shared" si="1"/>
        <v>31533552.244690515</v>
      </c>
      <c r="K57" s="10"/>
      <c r="L57" s="14"/>
    </row>
    <row r="58" spans="1:12" x14ac:dyDescent="0.2">
      <c r="A58" s="3">
        <v>39264</v>
      </c>
      <c r="B58" s="26">
        <v>32377215.579999998</v>
      </c>
      <c r="C58" s="165">
        <v>9.1999999999999993</v>
      </c>
      <c r="D58" s="165">
        <v>82</v>
      </c>
      <c r="E58" s="128">
        <v>31</v>
      </c>
      <c r="F58" s="128">
        <v>0</v>
      </c>
      <c r="G58" s="18">
        <f>'CDM Activity'!F34</f>
        <v>359515.77909270214</v>
      </c>
      <c r="H58" s="128">
        <v>1</v>
      </c>
      <c r="I58" s="129">
        <v>713.5</v>
      </c>
      <c r="J58" s="10">
        <f t="shared" si="1"/>
        <v>33385140.096230511</v>
      </c>
      <c r="K58" s="10"/>
      <c r="L58" s="14"/>
    </row>
    <row r="59" spans="1:12" x14ac:dyDescent="0.2">
      <c r="A59" s="3">
        <v>39295</v>
      </c>
      <c r="B59" s="26">
        <v>35026641.579999998</v>
      </c>
      <c r="C59" s="165">
        <v>8.4</v>
      </c>
      <c r="D59" s="165">
        <v>106</v>
      </c>
      <c r="E59" s="128">
        <v>31</v>
      </c>
      <c r="F59" s="128">
        <v>0</v>
      </c>
      <c r="G59" s="18">
        <f>'CDM Activity'!F35</f>
        <v>375380.6706114398</v>
      </c>
      <c r="H59" s="128">
        <v>1</v>
      </c>
      <c r="I59" s="129">
        <v>715</v>
      </c>
      <c r="J59" s="10">
        <f t="shared" si="1"/>
        <v>35066680.444439702</v>
      </c>
      <c r="K59" s="10"/>
      <c r="L59" s="14"/>
    </row>
    <row r="60" spans="1:12" x14ac:dyDescent="0.2">
      <c r="A60" s="3">
        <v>39326</v>
      </c>
      <c r="B60" s="26">
        <v>29896810.579999998</v>
      </c>
      <c r="C60" s="165">
        <v>55.2</v>
      </c>
      <c r="D60" s="165">
        <v>37.200000000000003</v>
      </c>
      <c r="E60" s="128">
        <v>30</v>
      </c>
      <c r="F60" s="128">
        <v>1</v>
      </c>
      <c r="G60" s="18">
        <f>'CDM Activity'!F36</f>
        <v>391245.56213017745</v>
      </c>
      <c r="H60" s="128">
        <v>0</v>
      </c>
      <c r="I60" s="129">
        <v>711</v>
      </c>
      <c r="J60" s="10">
        <f t="shared" si="1"/>
        <v>28915745.479494147</v>
      </c>
      <c r="K60" s="10"/>
      <c r="L60" s="14"/>
    </row>
    <row r="61" spans="1:12" x14ac:dyDescent="0.2">
      <c r="A61" s="3">
        <v>39356</v>
      </c>
      <c r="B61" s="26">
        <v>29518756.579999998</v>
      </c>
      <c r="C61" s="165">
        <v>157.80000000000001</v>
      </c>
      <c r="D61" s="165">
        <v>13</v>
      </c>
      <c r="E61" s="128">
        <v>31</v>
      </c>
      <c r="F61" s="128">
        <v>1</v>
      </c>
      <c r="G61" s="18">
        <f>'CDM Activity'!F37</f>
        <v>407110.45364891511</v>
      </c>
      <c r="H61" s="128">
        <v>0</v>
      </c>
      <c r="I61" s="129">
        <v>709.7</v>
      </c>
      <c r="J61" s="10">
        <f t="shared" si="1"/>
        <v>29412198.79921335</v>
      </c>
      <c r="K61" s="10"/>
      <c r="L61" s="14"/>
    </row>
    <row r="62" spans="1:12" x14ac:dyDescent="0.2">
      <c r="A62" s="3">
        <v>39387</v>
      </c>
      <c r="B62" s="26">
        <v>30921287.98</v>
      </c>
      <c r="C62" s="165">
        <v>467.5</v>
      </c>
      <c r="D62" s="165">
        <v>0</v>
      </c>
      <c r="E62" s="128">
        <v>30</v>
      </c>
      <c r="F62" s="128">
        <v>1</v>
      </c>
      <c r="G62" s="18">
        <f>'CDM Activity'!F38</f>
        <v>422975.34516765276</v>
      </c>
      <c r="H62" s="128">
        <v>0</v>
      </c>
      <c r="I62" s="129">
        <v>705.1</v>
      </c>
      <c r="J62" s="10">
        <f t="shared" si="1"/>
        <v>30635904.915271159</v>
      </c>
      <c r="K62" s="10"/>
      <c r="L62" s="30"/>
    </row>
    <row r="63" spans="1:12" x14ac:dyDescent="0.2">
      <c r="A63" s="3">
        <v>39417</v>
      </c>
      <c r="B63" s="26">
        <v>36272680.579999998</v>
      </c>
      <c r="C63" s="165">
        <v>641</v>
      </c>
      <c r="D63" s="165">
        <v>0</v>
      </c>
      <c r="E63" s="128">
        <v>31</v>
      </c>
      <c r="F63" s="128">
        <v>0</v>
      </c>
      <c r="G63" s="18">
        <f>'CDM Activity'!F39</f>
        <v>438840.23668639042</v>
      </c>
      <c r="H63" s="128">
        <v>0</v>
      </c>
      <c r="I63" s="129">
        <v>703.1</v>
      </c>
      <c r="J63" s="10">
        <f t="shared" si="1"/>
        <v>35897257.882671796</v>
      </c>
      <c r="K63" s="10"/>
      <c r="L63" s="14"/>
    </row>
    <row r="64" spans="1:12" x14ac:dyDescent="0.2">
      <c r="A64" s="3">
        <v>39448</v>
      </c>
      <c r="B64" s="26">
        <v>35810334.329999998</v>
      </c>
      <c r="C64" s="165">
        <v>633.6</v>
      </c>
      <c r="D64" s="165">
        <v>0</v>
      </c>
      <c r="E64" s="128">
        <v>31</v>
      </c>
      <c r="F64" s="128">
        <v>0</v>
      </c>
      <c r="G64" s="18">
        <f>'CDM Activity'!F40</f>
        <v>438390.45668335597</v>
      </c>
      <c r="H64" s="128">
        <v>0</v>
      </c>
      <c r="I64" s="129">
        <v>696.7</v>
      </c>
      <c r="J64" s="10">
        <f t="shared" si="1"/>
        <v>35537784.066822179</v>
      </c>
      <c r="K64" s="10"/>
      <c r="L64" s="14"/>
    </row>
    <row r="65" spans="1:42" x14ac:dyDescent="0.2">
      <c r="A65" s="3">
        <v>39479</v>
      </c>
      <c r="B65" s="26">
        <v>32883861.329999998</v>
      </c>
      <c r="C65" s="165">
        <v>678.8</v>
      </c>
      <c r="D65" s="165">
        <v>0</v>
      </c>
      <c r="E65" s="128">
        <v>29</v>
      </c>
      <c r="F65" s="128">
        <v>0</v>
      </c>
      <c r="G65" s="18">
        <f>'CDM Activity'!F41</f>
        <v>437940.67668032151</v>
      </c>
      <c r="H65" s="128">
        <v>0</v>
      </c>
      <c r="I65" s="129">
        <v>692.8</v>
      </c>
      <c r="J65" s="10">
        <f t="shared" si="1"/>
        <v>33629930.768166743</v>
      </c>
      <c r="K65" s="10"/>
      <c r="L65" s="14"/>
    </row>
    <row r="66" spans="1:42" x14ac:dyDescent="0.2">
      <c r="A66" s="3">
        <v>39508</v>
      </c>
      <c r="B66" s="26">
        <v>31938647.329999998</v>
      </c>
      <c r="C66" s="165">
        <v>620.70000000000005</v>
      </c>
      <c r="D66" s="165">
        <v>0</v>
      </c>
      <c r="E66" s="128">
        <v>31</v>
      </c>
      <c r="F66" s="128">
        <v>1</v>
      </c>
      <c r="G66" s="18">
        <f>'CDM Activity'!F42</f>
        <v>437490.89667728706</v>
      </c>
      <c r="H66" s="128">
        <v>0</v>
      </c>
      <c r="I66" s="129">
        <v>690</v>
      </c>
      <c r="J66" s="10">
        <f t="shared" si="1"/>
        <v>32796802.102519751</v>
      </c>
      <c r="K66" s="10"/>
      <c r="L66" s="14"/>
    </row>
    <row r="67" spans="1:42" x14ac:dyDescent="0.2">
      <c r="A67" s="3">
        <v>39539</v>
      </c>
      <c r="B67" s="26">
        <v>28132254.329999998</v>
      </c>
      <c r="C67" s="165">
        <v>288.10000000000002</v>
      </c>
      <c r="D67" s="165">
        <v>0</v>
      </c>
      <c r="E67" s="128">
        <v>30</v>
      </c>
      <c r="F67" s="128">
        <v>1</v>
      </c>
      <c r="G67" s="18">
        <f>'CDM Activity'!F43</f>
        <v>437041.11667425261</v>
      </c>
      <c r="H67" s="128">
        <v>0</v>
      </c>
      <c r="I67" s="129">
        <v>695.6</v>
      </c>
      <c r="J67" s="10">
        <f t="shared" si="1"/>
        <v>28155340.224740062</v>
      </c>
      <c r="K67" s="10"/>
      <c r="L67" s="14"/>
    </row>
    <row r="68" spans="1:42" x14ac:dyDescent="0.2">
      <c r="A68" s="3">
        <v>39569</v>
      </c>
      <c r="B68" s="26">
        <v>27152520.329999998</v>
      </c>
      <c r="C68" s="165">
        <v>214.1</v>
      </c>
      <c r="D68" s="165">
        <v>0.3</v>
      </c>
      <c r="E68" s="128">
        <v>31</v>
      </c>
      <c r="F68" s="128">
        <v>1</v>
      </c>
      <c r="G68" s="18">
        <f>'CDM Activity'!F44</f>
        <v>436591.33667121816</v>
      </c>
      <c r="H68" s="128">
        <v>0</v>
      </c>
      <c r="I68" s="129">
        <v>704.6</v>
      </c>
      <c r="J68" s="10">
        <f t="shared" ref="J68:J99" si="2">$N$22+C68*$N$23+D68*$N$24+E68*$N$25+F68*$N$26+G68*$N$27+H68*$N$28+I68*$N$29</f>
        <v>28856420.582196113</v>
      </c>
      <c r="K68" s="10"/>
      <c r="L68" s="14"/>
    </row>
    <row r="69" spans="1:42" x14ac:dyDescent="0.2">
      <c r="A69" s="3">
        <v>39600</v>
      </c>
      <c r="B69" s="26">
        <v>30002892.329999998</v>
      </c>
      <c r="C69" s="165">
        <v>34.200000000000003</v>
      </c>
      <c r="D69" s="165">
        <v>55</v>
      </c>
      <c r="E69" s="128">
        <v>30</v>
      </c>
      <c r="F69" s="128">
        <v>0</v>
      </c>
      <c r="G69" s="18">
        <f>'CDM Activity'!F45</f>
        <v>436141.55666818371</v>
      </c>
      <c r="H69" s="128">
        <v>1</v>
      </c>
      <c r="I69" s="129">
        <v>719.7</v>
      </c>
      <c r="J69" s="10">
        <f t="shared" si="2"/>
        <v>30704639.685742695</v>
      </c>
      <c r="K69" s="10"/>
      <c r="L69" s="14"/>
    </row>
    <row r="70" spans="1:42" x14ac:dyDescent="0.2">
      <c r="A70" s="3">
        <v>39630</v>
      </c>
      <c r="B70" s="26">
        <v>34123826.329999998</v>
      </c>
      <c r="C70" s="165">
        <v>3.7</v>
      </c>
      <c r="D70" s="165">
        <v>87.7</v>
      </c>
      <c r="E70" s="128">
        <v>31</v>
      </c>
      <c r="F70" s="128">
        <v>0</v>
      </c>
      <c r="G70" s="18">
        <f>'CDM Activity'!F46</f>
        <v>435691.77666514926</v>
      </c>
      <c r="H70" s="128">
        <v>1</v>
      </c>
      <c r="I70" s="129">
        <v>726.3</v>
      </c>
      <c r="J70" s="10">
        <f t="shared" si="2"/>
        <v>34050935.563369215</v>
      </c>
      <c r="K70" s="10"/>
      <c r="L70" s="14"/>
    </row>
    <row r="71" spans="1:42" x14ac:dyDescent="0.2">
      <c r="A71" s="3">
        <v>39661</v>
      </c>
      <c r="B71" s="26">
        <v>31806390.329999998</v>
      </c>
      <c r="C71" s="165">
        <v>20.2</v>
      </c>
      <c r="D71" s="165">
        <v>45.2</v>
      </c>
      <c r="E71" s="128">
        <v>31</v>
      </c>
      <c r="F71" s="128">
        <v>0</v>
      </c>
      <c r="G71" s="18">
        <f>'CDM Activity'!F47</f>
        <v>435241.99666211481</v>
      </c>
      <c r="H71" s="128">
        <v>1</v>
      </c>
      <c r="I71" s="129">
        <v>730.4</v>
      </c>
      <c r="J71" s="10">
        <f t="shared" si="2"/>
        <v>31455185.162441798</v>
      </c>
      <c r="K71" s="10"/>
      <c r="L71" s="14"/>
    </row>
    <row r="72" spans="1:42" x14ac:dyDescent="0.2">
      <c r="A72" s="3">
        <v>39692</v>
      </c>
      <c r="B72" s="26">
        <v>28611094.329999998</v>
      </c>
      <c r="C72" s="165">
        <v>70.5</v>
      </c>
      <c r="D72" s="165">
        <v>19.8</v>
      </c>
      <c r="E72" s="128">
        <v>30</v>
      </c>
      <c r="F72" s="128">
        <v>1</v>
      </c>
      <c r="G72" s="18">
        <f>'CDM Activity'!F48</f>
        <v>434792.21665908035</v>
      </c>
      <c r="H72" s="128">
        <v>0</v>
      </c>
      <c r="I72" s="129">
        <v>722.4</v>
      </c>
      <c r="J72" s="10">
        <f t="shared" si="2"/>
        <v>28242293.33770474</v>
      </c>
      <c r="K72" s="10"/>
      <c r="L72" s="14"/>
    </row>
    <row r="73" spans="1:42" x14ac:dyDescent="0.2">
      <c r="A73" s="3">
        <v>39722</v>
      </c>
      <c r="B73" s="26">
        <v>28851748.329999998</v>
      </c>
      <c r="C73" s="165">
        <v>297.5</v>
      </c>
      <c r="D73" s="165">
        <v>0</v>
      </c>
      <c r="E73" s="128">
        <v>31</v>
      </c>
      <c r="F73" s="128">
        <v>1</v>
      </c>
      <c r="G73" s="18">
        <f>'CDM Activity'!F49</f>
        <v>434342.4366560459</v>
      </c>
      <c r="H73" s="128">
        <v>0</v>
      </c>
      <c r="I73" s="129">
        <v>717.1</v>
      </c>
      <c r="J73" s="10">
        <f t="shared" si="2"/>
        <v>30326157.267922949</v>
      </c>
      <c r="K73" s="10"/>
      <c r="L73" s="14"/>
    </row>
    <row r="74" spans="1:42" x14ac:dyDescent="0.2">
      <c r="A74" s="3">
        <v>39753</v>
      </c>
      <c r="B74" s="26">
        <v>30694201.329999998</v>
      </c>
      <c r="C74" s="165">
        <v>460.6</v>
      </c>
      <c r="D74" s="165">
        <v>0</v>
      </c>
      <c r="E74" s="128">
        <v>30</v>
      </c>
      <c r="F74" s="128">
        <v>1</v>
      </c>
      <c r="G74" s="18">
        <f>'CDM Activity'!F50</f>
        <v>433892.65665301145</v>
      </c>
      <c r="H74" s="128">
        <v>0</v>
      </c>
      <c r="I74" s="129">
        <v>704.5</v>
      </c>
      <c r="J74" s="10">
        <f t="shared" si="2"/>
        <v>30499899.946836267</v>
      </c>
      <c r="K74" s="10"/>
      <c r="L74" s="14"/>
    </row>
    <row r="75" spans="1:42" x14ac:dyDescent="0.2">
      <c r="A75" s="3">
        <v>39783</v>
      </c>
      <c r="B75" s="26">
        <v>36473843.329999998</v>
      </c>
      <c r="C75" s="165">
        <v>655.29999999999995</v>
      </c>
      <c r="D75" s="165">
        <v>0</v>
      </c>
      <c r="E75" s="128">
        <v>31</v>
      </c>
      <c r="F75" s="128">
        <v>0</v>
      </c>
      <c r="G75" s="18">
        <f>'CDM Activity'!F51</f>
        <v>433442.876649977</v>
      </c>
      <c r="H75" s="128">
        <v>0</v>
      </c>
      <c r="I75" s="129">
        <v>698.5</v>
      </c>
      <c r="J75" s="10">
        <f t="shared" si="2"/>
        <v>35875538.904319234</v>
      </c>
      <c r="K75" s="10"/>
      <c r="L75" s="14"/>
    </row>
    <row r="76" spans="1:42" s="15" customFormat="1" x14ac:dyDescent="0.2">
      <c r="A76" s="3">
        <v>39814</v>
      </c>
      <c r="B76" s="26">
        <v>37800449.630000003</v>
      </c>
      <c r="C76" s="166">
        <v>852.3</v>
      </c>
      <c r="D76" s="167">
        <v>0</v>
      </c>
      <c r="E76" s="10">
        <v>31</v>
      </c>
      <c r="F76" s="10">
        <v>0</v>
      </c>
      <c r="G76" s="18">
        <f>'CDM Activity'!F52</f>
        <v>467618.3315243395</v>
      </c>
      <c r="H76" s="128">
        <v>0</v>
      </c>
      <c r="I76" s="129">
        <v>687.1</v>
      </c>
      <c r="J76" s="10">
        <f t="shared" si="2"/>
        <v>37508486.430690482</v>
      </c>
      <c r="K76" s="10"/>
      <c r="L76" s="14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</row>
    <row r="77" spans="1:42" x14ac:dyDescent="0.2">
      <c r="A77" s="3">
        <v>39845</v>
      </c>
      <c r="B77" s="26">
        <v>31014615.609999999</v>
      </c>
      <c r="C77" s="166">
        <v>616.6</v>
      </c>
      <c r="D77" s="167">
        <v>0</v>
      </c>
      <c r="E77" s="10">
        <v>28</v>
      </c>
      <c r="F77" s="10">
        <v>0</v>
      </c>
      <c r="G77" s="18">
        <f>'CDM Activity'!F53</f>
        <v>501793.78639870201</v>
      </c>
      <c r="H77" s="128">
        <v>0</v>
      </c>
      <c r="I77" s="129">
        <v>678.3</v>
      </c>
      <c r="J77" s="10">
        <f t="shared" si="2"/>
        <v>30985999.327306807</v>
      </c>
      <c r="K77" s="10"/>
      <c r="L77" s="14"/>
    </row>
    <row r="78" spans="1:42" x14ac:dyDescent="0.2">
      <c r="A78" s="3">
        <v>39873</v>
      </c>
      <c r="B78" s="26">
        <v>31556113.079999998</v>
      </c>
      <c r="C78" s="166">
        <v>540.9</v>
      </c>
      <c r="D78" s="167">
        <v>0</v>
      </c>
      <c r="E78" s="10">
        <v>31</v>
      </c>
      <c r="F78" s="10">
        <v>1</v>
      </c>
      <c r="G78" s="18">
        <f>'CDM Activity'!F54</f>
        <v>535969.24127306452</v>
      </c>
      <c r="H78" s="128">
        <v>0</v>
      </c>
      <c r="I78" s="129">
        <v>674.9</v>
      </c>
      <c r="J78" s="10">
        <f t="shared" si="2"/>
        <v>30951978.693802379</v>
      </c>
      <c r="K78" s="10"/>
      <c r="L78" s="14"/>
    </row>
    <row r="79" spans="1:42" x14ac:dyDescent="0.2">
      <c r="A79" s="3">
        <v>39904</v>
      </c>
      <c r="B79" s="26">
        <v>26612953.649999999</v>
      </c>
      <c r="C79" s="166">
        <v>334.7</v>
      </c>
      <c r="D79" s="167">
        <v>1.7</v>
      </c>
      <c r="E79" s="10">
        <v>30</v>
      </c>
      <c r="F79" s="10">
        <v>1</v>
      </c>
      <c r="G79" s="18">
        <f>'CDM Activity'!F55</f>
        <v>570144.69614742708</v>
      </c>
      <c r="H79" s="128">
        <v>0</v>
      </c>
      <c r="I79" s="129">
        <v>677.1</v>
      </c>
      <c r="J79" s="10">
        <f t="shared" si="2"/>
        <v>27608966.679738618</v>
      </c>
      <c r="K79" s="10"/>
      <c r="L79" s="14"/>
    </row>
    <row r="80" spans="1:42" x14ac:dyDescent="0.2">
      <c r="A80" s="3">
        <v>39934</v>
      </c>
      <c r="B80" s="26">
        <v>28595341.850000001</v>
      </c>
      <c r="C80" s="166">
        <v>178.1</v>
      </c>
      <c r="D80" s="167">
        <v>0</v>
      </c>
      <c r="E80" s="10">
        <v>31</v>
      </c>
      <c r="F80" s="10">
        <v>1</v>
      </c>
      <c r="G80" s="18">
        <f>'CDM Activity'!F56</f>
        <v>604320.15102178964</v>
      </c>
      <c r="H80" s="128">
        <v>0</v>
      </c>
      <c r="I80" s="129">
        <v>687.9</v>
      </c>
      <c r="J80" s="10">
        <f t="shared" si="2"/>
        <v>27213373.037627313</v>
      </c>
      <c r="K80" s="10"/>
      <c r="L80" s="14"/>
    </row>
    <row r="81" spans="1:32" x14ac:dyDescent="0.2">
      <c r="A81" s="3">
        <v>39965</v>
      </c>
      <c r="B81" s="26">
        <v>22744026.079999998</v>
      </c>
      <c r="C81" s="166">
        <v>58.5</v>
      </c>
      <c r="D81" s="167">
        <v>30.2</v>
      </c>
      <c r="E81" s="10">
        <v>30</v>
      </c>
      <c r="F81" s="10">
        <v>0</v>
      </c>
      <c r="G81" s="18">
        <f>'CDM Activity'!F57</f>
        <v>638495.60589615221</v>
      </c>
      <c r="H81" s="128">
        <v>1</v>
      </c>
      <c r="I81" s="129">
        <v>696.5</v>
      </c>
      <c r="J81" s="10">
        <f t="shared" si="2"/>
        <v>27653164.234974064</v>
      </c>
      <c r="K81" s="10"/>
      <c r="L81" s="14"/>
    </row>
    <row r="82" spans="1:32" x14ac:dyDescent="0.2">
      <c r="A82" s="3">
        <v>39995</v>
      </c>
      <c r="B82" s="26">
        <v>28883170.920000002</v>
      </c>
      <c r="C82" s="166">
        <v>18.899999999999999</v>
      </c>
      <c r="D82" s="167">
        <v>21.7</v>
      </c>
      <c r="E82" s="10">
        <v>31</v>
      </c>
      <c r="F82" s="10">
        <v>0</v>
      </c>
      <c r="G82" s="18">
        <f>'CDM Activity'!F58</f>
        <v>672671.06077051477</v>
      </c>
      <c r="H82" s="128">
        <v>1</v>
      </c>
      <c r="I82" s="129">
        <v>700.8</v>
      </c>
      <c r="J82" s="10">
        <f t="shared" si="2"/>
        <v>27824869.145647176</v>
      </c>
      <c r="K82" s="10"/>
      <c r="L82" s="14"/>
    </row>
    <row r="83" spans="1:32" x14ac:dyDescent="0.2">
      <c r="A83" s="3">
        <v>40026</v>
      </c>
      <c r="B83" s="26">
        <v>32377530.809999999</v>
      </c>
      <c r="C83" s="166">
        <v>18.100000000000001</v>
      </c>
      <c r="D83" s="167">
        <v>69.7</v>
      </c>
      <c r="E83" s="10">
        <v>31</v>
      </c>
      <c r="F83" s="10">
        <v>0</v>
      </c>
      <c r="G83" s="18">
        <f>'CDM Activity'!F59</f>
        <v>706846.51564487733</v>
      </c>
      <c r="H83" s="128">
        <v>1</v>
      </c>
      <c r="I83" s="129">
        <v>701.6</v>
      </c>
      <c r="J83" s="10">
        <f t="shared" si="2"/>
        <v>31094550.152421866</v>
      </c>
      <c r="K83" s="10"/>
      <c r="L83" s="14"/>
    </row>
    <row r="84" spans="1:32" x14ac:dyDescent="0.2">
      <c r="A84" s="3">
        <v>40057</v>
      </c>
      <c r="B84" s="26">
        <v>27558765.280000001</v>
      </c>
      <c r="C84" s="166">
        <v>67.900000000000006</v>
      </c>
      <c r="D84" s="167">
        <v>13.3</v>
      </c>
      <c r="E84" s="10">
        <v>30</v>
      </c>
      <c r="F84" s="10">
        <v>1</v>
      </c>
      <c r="G84" s="18">
        <f>'CDM Activity'!F60</f>
        <v>741021.9705192399</v>
      </c>
      <c r="H84" s="128">
        <v>0</v>
      </c>
      <c r="I84" s="129">
        <v>698.8</v>
      </c>
      <c r="J84" s="10">
        <f t="shared" si="2"/>
        <v>25839730.577267453</v>
      </c>
      <c r="K84" s="10"/>
      <c r="L84" s="14"/>
    </row>
    <row r="85" spans="1:32" x14ac:dyDescent="0.2">
      <c r="A85" s="3">
        <v>40087</v>
      </c>
      <c r="B85" s="26">
        <v>27805773.739999998</v>
      </c>
      <c r="C85" s="166">
        <v>310.39999999999998</v>
      </c>
      <c r="D85" s="167">
        <v>0</v>
      </c>
      <c r="E85" s="10">
        <v>31</v>
      </c>
      <c r="F85" s="10">
        <v>1</v>
      </c>
      <c r="G85" s="18">
        <f>'CDM Activity'!F61</f>
        <v>775197.42539360246</v>
      </c>
      <c r="H85" s="128">
        <v>0</v>
      </c>
      <c r="I85" s="129">
        <v>703.9</v>
      </c>
      <c r="J85" s="10">
        <f t="shared" si="2"/>
        <v>28900470.188426193</v>
      </c>
      <c r="K85" s="10"/>
      <c r="L85" s="14"/>
    </row>
    <row r="86" spans="1:32" x14ac:dyDescent="0.2">
      <c r="A86" s="3">
        <v>40118</v>
      </c>
      <c r="B86" s="26">
        <v>28184886.140000001</v>
      </c>
      <c r="C86" s="166">
        <v>371.7</v>
      </c>
      <c r="D86" s="167">
        <v>0</v>
      </c>
      <c r="E86" s="10">
        <v>30</v>
      </c>
      <c r="F86" s="10">
        <v>1</v>
      </c>
      <c r="G86" s="18">
        <f>'CDM Activity'!F62</f>
        <v>809372.88026796503</v>
      </c>
      <c r="H86" s="128">
        <v>0</v>
      </c>
      <c r="I86" s="129">
        <v>701.1</v>
      </c>
      <c r="J86" s="10">
        <f t="shared" si="2"/>
        <v>28246282.255629707</v>
      </c>
      <c r="K86" s="10"/>
      <c r="L86" s="14"/>
    </row>
    <row r="87" spans="1:32" s="31" customFormat="1" x14ac:dyDescent="0.2">
      <c r="A87" s="3">
        <v>40148</v>
      </c>
      <c r="B87" s="26">
        <v>34747296.009999998</v>
      </c>
      <c r="C87" s="166">
        <v>643.6</v>
      </c>
      <c r="D87" s="167">
        <v>0</v>
      </c>
      <c r="E87" s="10">
        <v>31</v>
      </c>
      <c r="F87" s="10">
        <v>0</v>
      </c>
      <c r="G87" s="18">
        <f>'CDM Activity'!F63</f>
        <v>843548.33514232759</v>
      </c>
      <c r="H87" s="128">
        <v>0</v>
      </c>
      <c r="I87" s="129">
        <v>695</v>
      </c>
      <c r="J87" s="10">
        <f t="shared" si="2"/>
        <v>34388677.54358992</v>
      </c>
      <c r="K87" s="10"/>
      <c r="L87" s="14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1:32" x14ac:dyDescent="0.2">
      <c r="A88" s="3">
        <v>40179</v>
      </c>
      <c r="B88" s="26">
        <v>35055254.890000001</v>
      </c>
      <c r="C88" s="166">
        <v>728.7</v>
      </c>
      <c r="D88" s="167">
        <v>0</v>
      </c>
      <c r="E88" s="10">
        <v>31</v>
      </c>
      <c r="F88" s="10">
        <v>0</v>
      </c>
      <c r="G88" s="18">
        <f>'CDM Activity'!F64</f>
        <v>816951.15537684131</v>
      </c>
      <c r="H88" s="128">
        <v>0</v>
      </c>
      <c r="I88" s="129">
        <v>683.8</v>
      </c>
      <c r="J88" s="10">
        <f t="shared" si="2"/>
        <v>34943657.699909672</v>
      </c>
      <c r="K88" s="10"/>
      <c r="L88" s="14"/>
    </row>
    <row r="89" spans="1:32" x14ac:dyDescent="0.2">
      <c r="A89" s="3">
        <v>40210</v>
      </c>
      <c r="B89" s="26">
        <v>29919682.469999999</v>
      </c>
      <c r="C89" s="166">
        <v>618.4</v>
      </c>
      <c r="D89" s="167">
        <v>0</v>
      </c>
      <c r="E89" s="10">
        <v>28</v>
      </c>
      <c r="F89" s="10">
        <v>0</v>
      </c>
      <c r="G89" s="18">
        <f>'CDM Activity'!F65</f>
        <v>790353.97561135504</v>
      </c>
      <c r="H89" s="128">
        <v>0</v>
      </c>
      <c r="I89" s="129">
        <v>675.2</v>
      </c>
      <c r="J89" s="10">
        <f t="shared" si="2"/>
        <v>30025614.410660204</v>
      </c>
      <c r="K89" s="10"/>
      <c r="L89" s="14"/>
    </row>
    <row r="90" spans="1:32" x14ac:dyDescent="0.2">
      <c r="A90" s="3">
        <v>40238</v>
      </c>
      <c r="B90" s="26">
        <v>29292829.460000001</v>
      </c>
      <c r="C90" s="166">
        <v>456.8</v>
      </c>
      <c r="D90" s="167">
        <v>0</v>
      </c>
      <c r="E90" s="10">
        <v>31</v>
      </c>
      <c r="F90" s="10">
        <v>1</v>
      </c>
      <c r="G90" s="18">
        <f>'CDM Activity'!F66</f>
        <v>763756.79584586876</v>
      </c>
      <c r="H90" s="128">
        <v>0</v>
      </c>
      <c r="I90" s="129">
        <v>672.4</v>
      </c>
      <c r="J90" s="10">
        <f t="shared" si="2"/>
        <v>29224848.86984577</v>
      </c>
      <c r="K90" s="10"/>
      <c r="L90" s="14"/>
    </row>
    <row r="91" spans="1:32" x14ac:dyDescent="0.2">
      <c r="A91" s="3">
        <v>40269</v>
      </c>
      <c r="B91" s="26">
        <v>25438254.800000001</v>
      </c>
      <c r="C91" s="166">
        <v>235.8</v>
      </c>
      <c r="D91" s="167">
        <v>0.8</v>
      </c>
      <c r="E91" s="10">
        <v>30</v>
      </c>
      <c r="F91" s="10">
        <v>1</v>
      </c>
      <c r="G91" s="18">
        <f>'CDM Activity'!F67</f>
        <v>737159.61608038249</v>
      </c>
      <c r="H91" s="128">
        <v>0</v>
      </c>
      <c r="I91" s="129">
        <v>673</v>
      </c>
      <c r="J91" s="10">
        <f t="shared" si="2"/>
        <v>25760823.252984926</v>
      </c>
      <c r="K91" s="10"/>
      <c r="L91" s="14"/>
    </row>
    <row r="92" spans="1:32" x14ac:dyDescent="0.2">
      <c r="A92" s="3">
        <v>40299</v>
      </c>
      <c r="B92" s="26">
        <v>28347226.620000001</v>
      </c>
      <c r="C92" s="166">
        <v>128.4</v>
      </c>
      <c r="D92" s="167">
        <v>28.8</v>
      </c>
      <c r="E92" s="10">
        <v>31</v>
      </c>
      <c r="F92" s="10">
        <v>1</v>
      </c>
      <c r="G92" s="18">
        <f>'CDM Activity'!F68</f>
        <v>710562.43631489621</v>
      </c>
      <c r="H92" s="128">
        <v>0</v>
      </c>
      <c r="I92" s="129">
        <v>682.7</v>
      </c>
      <c r="J92" s="10">
        <f t="shared" si="2"/>
        <v>28121329.670119978</v>
      </c>
      <c r="K92" s="10"/>
      <c r="L92" s="14"/>
    </row>
    <row r="93" spans="1:32" x14ac:dyDescent="0.2">
      <c r="A93" s="3">
        <v>40330</v>
      </c>
      <c r="B93" s="26">
        <v>30191752.949999999</v>
      </c>
      <c r="C93" s="166">
        <v>27.2</v>
      </c>
      <c r="D93" s="167">
        <v>44.8</v>
      </c>
      <c r="E93" s="10">
        <v>30</v>
      </c>
      <c r="F93" s="10">
        <v>0</v>
      </c>
      <c r="G93" s="18">
        <f>'CDM Activity'!F69</f>
        <v>683965.25654940994</v>
      </c>
      <c r="H93" s="128">
        <v>1</v>
      </c>
      <c r="I93" s="129">
        <v>699.2</v>
      </c>
      <c r="J93" s="10">
        <f t="shared" si="2"/>
        <v>28300123.16108229</v>
      </c>
      <c r="K93" s="10"/>
      <c r="L93" s="14"/>
    </row>
    <row r="94" spans="1:32" x14ac:dyDescent="0.2">
      <c r="A94" s="3">
        <v>40360</v>
      </c>
      <c r="B94" s="26">
        <v>36390486.810000002</v>
      </c>
      <c r="C94" s="166">
        <v>5.7</v>
      </c>
      <c r="D94" s="167">
        <v>121.6</v>
      </c>
      <c r="E94" s="10">
        <v>31</v>
      </c>
      <c r="F94" s="10">
        <v>0</v>
      </c>
      <c r="G94" s="18">
        <f>'CDM Activity'!F70</f>
        <v>657368.07678392367</v>
      </c>
      <c r="H94" s="128">
        <v>1</v>
      </c>
      <c r="I94" s="129">
        <v>706.9</v>
      </c>
      <c r="J94" s="10">
        <f t="shared" si="2"/>
        <v>34945098.877269439</v>
      </c>
      <c r="K94" s="10"/>
      <c r="L94" s="14"/>
    </row>
    <row r="95" spans="1:32" x14ac:dyDescent="0.2">
      <c r="A95" s="3">
        <v>40391</v>
      </c>
      <c r="B95" s="26">
        <v>34769306.909999996</v>
      </c>
      <c r="C95" s="166">
        <v>6.9</v>
      </c>
      <c r="D95" s="167">
        <v>95.6</v>
      </c>
      <c r="E95" s="10">
        <v>31</v>
      </c>
      <c r="F95" s="10">
        <v>0</v>
      </c>
      <c r="G95" s="18">
        <f>'CDM Activity'!F71</f>
        <v>630770.89701843739</v>
      </c>
      <c r="H95" s="128">
        <v>1</v>
      </c>
      <c r="I95" s="129">
        <v>711.5</v>
      </c>
      <c r="J95" s="10">
        <f t="shared" si="2"/>
        <v>33424369.294780254</v>
      </c>
      <c r="K95" s="10"/>
      <c r="L95" s="14"/>
    </row>
    <row r="96" spans="1:32" x14ac:dyDescent="0.2">
      <c r="A96" s="3">
        <v>40422</v>
      </c>
      <c r="B96" s="26">
        <v>28631797.66</v>
      </c>
      <c r="C96" s="166">
        <v>97.2</v>
      </c>
      <c r="D96" s="167">
        <v>24.2</v>
      </c>
      <c r="E96" s="10">
        <v>30</v>
      </c>
      <c r="F96" s="10">
        <v>1</v>
      </c>
      <c r="G96" s="18">
        <f>'CDM Activity'!F72</f>
        <v>604173.71725295112</v>
      </c>
      <c r="H96" s="128">
        <v>0</v>
      </c>
      <c r="I96" s="129">
        <v>705</v>
      </c>
      <c r="J96" s="10">
        <f t="shared" si="2"/>
        <v>27600304.456925552</v>
      </c>
      <c r="K96" s="10"/>
      <c r="L96" s="14"/>
    </row>
    <row r="97" spans="1:12" x14ac:dyDescent="0.2">
      <c r="A97" s="3">
        <v>40452</v>
      </c>
      <c r="B97" s="26">
        <v>28407067.149999999</v>
      </c>
      <c r="C97" s="166">
        <v>260.8</v>
      </c>
      <c r="D97" s="167">
        <v>0</v>
      </c>
      <c r="E97" s="10">
        <v>31</v>
      </c>
      <c r="F97" s="10">
        <v>1</v>
      </c>
      <c r="G97" s="18">
        <f>'CDM Activity'!F73</f>
        <v>577576.53748746484</v>
      </c>
      <c r="H97" s="128">
        <v>0</v>
      </c>
      <c r="I97" s="129">
        <v>702.8</v>
      </c>
      <c r="J97" s="10">
        <f t="shared" si="2"/>
        <v>28871883.424033526</v>
      </c>
      <c r="K97" s="10"/>
      <c r="L97" s="14"/>
    </row>
    <row r="98" spans="1:12" x14ac:dyDescent="0.2">
      <c r="A98" s="3">
        <v>40483</v>
      </c>
      <c r="B98" s="26">
        <v>29515328.84</v>
      </c>
      <c r="C98" s="166">
        <v>416.7</v>
      </c>
      <c r="D98" s="167">
        <v>0</v>
      </c>
      <c r="E98" s="10">
        <v>30</v>
      </c>
      <c r="F98" s="10">
        <v>1</v>
      </c>
      <c r="G98" s="18">
        <f>'CDM Activity'!F74</f>
        <v>550979.35772197857</v>
      </c>
      <c r="H98" s="128">
        <v>0</v>
      </c>
      <c r="I98" s="129">
        <v>698.8</v>
      </c>
      <c r="J98" s="10">
        <f t="shared" si="2"/>
        <v>29413354.3785193</v>
      </c>
      <c r="K98" s="10"/>
      <c r="L98" s="14"/>
    </row>
    <row r="99" spans="1:12" x14ac:dyDescent="0.2">
      <c r="A99" s="3">
        <v>40513</v>
      </c>
      <c r="B99" s="26">
        <v>35981970.210000001</v>
      </c>
      <c r="C99" s="166">
        <v>695.9</v>
      </c>
      <c r="D99" s="167">
        <v>0</v>
      </c>
      <c r="E99" s="10">
        <v>31</v>
      </c>
      <c r="F99" s="10">
        <v>0</v>
      </c>
      <c r="G99" s="18">
        <f>'CDM Activity'!F75</f>
        <v>524382.17795649229</v>
      </c>
      <c r="H99" s="128">
        <v>0</v>
      </c>
      <c r="I99" s="129">
        <v>696.2</v>
      </c>
      <c r="J99" s="10">
        <f t="shared" si="2"/>
        <v>35968107.665234119</v>
      </c>
      <c r="K99" s="10"/>
      <c r="L99" s="14"/>
    </row>
    <row r="100" spans="1:12" x14ac:dyDescent="0.2">
      <c r="A100" s="3">
        <v>40544</v>
      </c>
      <c r="B100" s="26">
        <v>35989667.369999997</v>
      </c>
      <c r="C100" s="166">
        <v>804.3</v>
      </c>
      <c r="D100" s="167">
        <v>0</v>
      </c>
      <c r="E100" s="10">
        <v>31</v>
      </c>
      <c r="F100" s="10">
        <v>0</v>
      </c>
      <c r="G100" s="18">
        <f>'CDM Activity'!F76</f>
        <v>548447.75314267294</v>
      </c>
      <c r="H100" s="128">
        <v>0</v>
      </c>
      <c r="I100" s="129">
        <v>692.1</v>
      </c>
      <c r="J100" s="10">
        <f t="shared" ref="J100:J147" si="3">$N$22+C100*$N$23+D100*$N$24+E100*$N$25+F100*$N$26+G100*$N$27+H100*$N$28+I100*$N$29</f>
        <v>36945306.503637232</v>
      </c>
      <c r="K100" s="10"/>
      <c r="L100" s="14"/>
    </row>
    <row r="101" spans="1:12" x14ac:dyDescent="0.2">
      <c r="A101" s="3">
        <v>40575</v>
      </c>
      <c r="B101" s="26">
        <v>31141596.280000001</v>
      </c>
      <c r="C101" s="166">
        <v>660.1</v>
      </c>
      <c r="D101" s="167">
        <v>0</v>
      </c>
      <c r="E101" s="10">
        <v>28</v>
      </c>
      <c r="F101" s="10">
        <v>0</v>
      </c>
      <c r="G101" s="18">
        <f>'CDM Activity'!F77</f>
        <v>572513.32832885359</v>
      </c>
      <c r="H101" s="128">
        <v>0</v>
      </c>
      <c r="I101" s="129">
        <v>685.6</v>
      </c>
      <c r="J101" s="10">
        <f t="shared" si="3"/>
        <v>31586380.695535544</v>
      </c>
      <c r="K101" s="10"/>
      <c r="L101" s="14"/>
    </row>
    <row r="102" spans="1:12" x14ac:dyDescent="0.2">
      <c r="A102" s="3">
        <v>40603</v>
      </c>
      <c r="B102" s="26">
        <v>31649296.84</v>
      </c>
      <c r="C102" s="166">
        <v>596.70000000000005</v>
      </c>
      <c r="D102" s="167">
        <v>0</v>
      </c>
      <c r="E102" s="10">
        <v>31</v>
      </c>
      <c r="F102" s="10">
        <v>1</v>
      </c>
      <c r="G102" s="18">
        <f>'CDM Activity'!F78</f>
        <v>596578.90351503424</v>
      </c>
      <c r="H102" s="128">
        <v>0</v>
      </c>
      <c r="I102" s="129">
        <v>684.6</v>
      </c>
      <c r="J102" s="10">
        <f t="shared" si="3"/>
        <v>31824984.290804144</v>
      </c>
      <c r="K102" s="10"/>
      <c r="L102" s="14"/>
    </row>
    <row r="103" spans="1:12" x14ac:dyDescent="0.2">
      <c r="A103" s="3">
        <v>40634</v>
      </c>
      <c r="B103" s="26">
        <v>27185313.100000001</v>
      </c>
      <c r="C103" s="166">
        <v>354</v>
      </c>
      <c r="D103" s="167">
        <v>0</v>
      </c>
      <c r="E103" s="10">
        <v>30</v>
      </c>
      <c r="F103" s="10">
        <v>1</v>
      </c>
      <c r="G103" s="18">
        <f>'CDM Activity'!F79</f>
        <v>620644.47870121489</v>
      </c>
      <c r="H103" s="128">
        <v>0</v>
      </c>
      <c r="I103" s="129">
        <v>691.5</v>
      </c>
      <c r="J103" s="10">
        <f t="shared" si="3"/>
        <v>28184120.694248419</v>
      </c>
      <c r="K103" s="10"/>
      <c r="L103" s="14"/>
    </row>
    <row r="104" spans="1:12" x14ac:dyDescent="0.2">
      <c r="A104" s="3">
        <v>40664</v>
      </c>
      <c r="B104" s="26">
        <v>27343106.68</v>
      </c>
      <c r="C104" s="166">
        <v>158.6</v>
      </c>
      <c r="D104" s="167">
        <v>13.3</v>
      </c>
      <c r="E104" s="10">
        <v>31</v>
      </c>
      <c r="F104" s="10">
        <v>1</v>
      </c>
      <c r="G104" s="18">
        <f>'CDM Activity'!F80</f>
        <v>644710.05388739554</v>
      </c>
      <c r="H104" s="128">
        <v>0</v>
      </c>
      <c r="I104" s="129">
        <v>706.2</v>
      </c>
      <c r="J104" s="10">
        <f t="shared" si="3"/>
        <v>28593583.22008086</v>
      </c>
      <c r="K104" s="10"/>
      <c r="L104" s="14"/>
    </row>
    <row r="105" spans="1:12" x14ac:dyDescent="0.2">
      <c r="A105" s="3">
        <v>40695</v>
      </c>
      <c r="B105" s="26">
        <v>29398937.16</v>
      </c>
      <c r="C105" s="166">
        <v>25</v>
      </c>
      <c r="D105" s="167">
        <v>40</v>
      </c>
      <c r="E105" s="10">
        <v>30</v>
      </c>
      <c r="F105" s="10">
        <v>0</v>
      </c>
      <c r="G105" s="18">
        <f>'CDM Activity'!F81</f>
        <v>668775.62907357619</v>
      </c>
      <c r="H105" s="128">
        <v>1</v>
      </c>
      <c r="I105" s="129">
        <v>719.4</v>
      </c>
      <c r="J105" s="10">
        <f t="shared" si="3"/>
        <v>28860117.248281077</v>
      </c>
      <c r="K105" s="10"/>
      <c r="L105" s="14"/>
    </row>
    <row r="106" spans="1:12" x14ac:dyDescent="0.2">
      <c r="A106" s="3">
        <v>40725</v>
      </c>
      <c r="B106" s="26">
        <v>37223618.07</v>
      </c>
      <c r="C106" s="166">
        <v>0</v>
      </c>
      <c r="D106" s="167">
        <v>163.69999999999999</v>
      </c>
      <c r="E106" s="10">
        <v>31</v>
      </c>
      <c r="F106" s="10">
        <v>0</v>
      </c>
      <c r="G106" s="18">
        <f>'CDM Activity'!F82</f>
        <v>692841.20425975684</v>
      </c>
      <c r="H106" s="128">
        <v>1</v>
      </c>
      <c r="I106" s="129">
        <v>724.3</v>
      </c>
      <c r="J106" s="10">
        <f t="shared" si="3"/>
        <v>38463353.276772104</v>
      </c>
      <c r="K106" s="10"/>
      <c r="L106" s="14"/>
    </row>
    <row r="107" spans="1:12" x14ac:dyDescent="0.2">
      <c r="A107" s="3">
        <v>40756</v>
      </c>
      <c r="B107" s="26">
        <v>33862516.780000001</v>
      </c>
      <c r="C107" s="166">
        <v>2.4</v>
      </c>
      <c r="D107" s="167">
        <v>83.2</v>
      </c>
      <c r="E107" s="10">
        <v>31</v>
      </c>
      <c r="F107" s="10">
        <v>0</v>
      </c>
      <c r="G107" s="18">
        <f>'CDM Activity'!F83</f>
        <v>716906.77944593749</v>
      </c>
      <c r="H107" s="128">
        <v>1</v>
      </c>
      <c r="I107" s="129">
        <v>718.2</v>
      </c>
      <c r="J107" s="10">
        <f t="shared" si="3"/>
        <v>32547005.162334684</v>
      </c>
      <c r="K107" s="10"/>
      <c r="L107" s="14"/>
    </row>
    <row r="108" spans="1:12" x14ac:dyDescent="0.2">
      <c r="A108" s="3">
        <v>40787</v>
      </c>
      <c r="B108" s="26">
        <v>28854388.719999999</v>
      </c>
      <c r="C108" s="166">
        <v>68.7</v>
      </c>
      <c r="D108" s="167">
        <v>26.8</v>
      </c>
      <c r="E108" s="10">
        <v>30</v>
      </c>
      <c r="F108" s="10">
        <v>1</v>
      </c>
      <c r="G108" s="18">
        <f>'CDM Activity'!F84</f>
        <v>740972.35463211813</v>
      </c>
      <c r="H108" s="128">
        <v>0</v>
      </c>
      <c r="I108" s="129">
        <v>714.7</v>
      </c>
      <c r="J108" s="10">
        <f t="shared" si="3"/>
        <v>27478044.244611934</v>
      </c>
      <c r="K108" s="10"/>
      <c r="L108" s="14"/>
    </row>
    <row r="109" spans="1:12" x14ac:dyDescent="0.2">
      <c r="A109" s="3">
        <v>40817</v>
      </c>
      <c r="B109" s="26">
        <v>28619487.32</v>
      </c>
      <c r="C109" s="166">
        <v>256</v>
      </c>
      <c r="D109" s="167">
        <v>0</v>
      </c>
      <c r="E109" s="10">
        <v>31</v>
      </c>
      <c r="F109" s="10">
        <v>1</v>
      </c>
      <c r="G109" s="18">
        <f>'CDM Activity'!F85</f>
        <v>765037.92981829878</v>
      </c>
      <c r="H109" s="128">
        <v>0</v>
      </c>
      <c r="I109" s="129">
        <v>715.4</v>
      </c>
      <c r="J109" s="10">
        <f t="shared" si="3"/>
        <v>28813335.900132801</v>
      </c>
      <c r="K109" s="10"/>
      <c r="L109" s="14"/>
    </row>
    <row r="110" spans="1:12" x14ac:dyDescent="0.2">
      <c r="A110" s="3">
        <v>40848</v>
      </c>
      <c r="B110" s="26">
        <v>29539702.280000001</v>
      </c>
      <c r="C110" s="166">
        <v>349.2</v>
      </c>
      <c r="D110" s="167">
        <v>0</v>
      </c>
      <c r="E110" s="10">
        <v>30</v>
      </c>
      <c r="F110" s="10">
        <v>1</v>
      </c>
      <c r="G110" s="18">
        <f>'CDM Activity'!F86</f>
        <v>789103.50500447943</v>
      </c>
      <c r="H110" s="128">
        <v>0</v>
      </c>
      <c r="I110" s="129">
        <v>718.8</v>
      </c>
      <c r="J110" s="10">
        <f t="shared" si="3"/>
        <v>28817882.839166444</v>
      </c>
      <c r="K110" s="10"/>
      <c r="L110" s="14"/>
    </row>
    <row r="111" spans="1:12" x14ac:dyDescent="0.2">
      <c r="A111" s="3">
        <v>40878</v>
      </c>
      <c r="B111" s="26">
        <v>33345517.91</v>
      </c>
      <c r="C111" s="166">
        <v>524.79999999999995</v>
      </c>
      <c r="D111" s="167">
        <v>0</v>
      </c>
      <c r="E111" s="10">
        <v>31</v>
      </c>
      <c r="F111" s="10">
        <v>0</v>
      </c>
      <c r="G111" s="18">
        <f>'CDM Activity'!F87</f>
        <v>813169.08019066008</v>
      </c>
      <c r="H111" s="128">
        <v>0</v>
      </c>
      <c r="I111" s="129">
        <v>718.1</v>
      </c>
      <c r="J111" s="10">
        <f t="shared" si="3"/>
        <v>34135212.269702427</v>
      </c>
      <c r="K111" s="10"/>
      <c r="L111" s="14"/>
    </row>
    <row r="112" spans="1:12" x14ac:dyDescent="0.2">
      <c r="A112" s="3">
        <v>40909</v>
      </c>
      <c r="B112" s="26">
        <v>33953549.299999997</v>
      </c>
      <c r="C112" s="166">
        <v>631.70000000000005</v>
      </c>
      <c r="D112" s="167">
        <v>0</v>
      </c>
      <c r="E112" s="10">
        <v>31</v>
      </c>
      <c r="F112" s="10">
        <v>0</v>
      </c>
      <c r="G112" s="18">
        <f>'CDM Activity'!F88</f>
        <v>804127.01657158416</v>
      </c>
      <c r="H112" s="128">
        <v>0</v>
      </c>
      <c r="I112" s="129">
        <v>712.3</v>
      </c>
      <c r="J112" s="10">
        <f t="shared" si="3"/>
        <v>35118959.883674257</v>
      </c>
      <c r="K112" s="10"/>
      <c r="L112" s="14"/>
    </row>
    <row r="113" spans="1:12" x14ac:dyDescent="0.2">
      <c r="A113" s="3">
        <v>40940</v>
      </c>
      <c r="B113" s="26">
        <v>30344155.68</v>
      </c>
      <c r="C113" s="166">
        <v>550.5</v>
      </c>
      <c r="D113" s="167">
        <v>0</v>
      </c>
      <c r="E113" s="10">
        <v>29</v>
      </c>
      <c r="F113" s="10">
        <v>0</v>
      </c>
      <c r="G113" s="18">
        <f>'CDM Activity'!F89</f>
        <v>795084.95295250823</v>
      </c>
      <c r="H113" s="128">
        <v>0</v>
      </c>
      <c r="I113" s="129">
        <v>709.6</v>
      </c>
      <c r="J113" s="10">
        <f t="shared" si="3"/>
        <v>31859465.930542327</v>
      </c>
      <c r="K113" s="10"/>
      <c r="L113" s="14"/>
    </row>
    <row r="114" spans="1:12" x14ac:dyDescent="0.2">
      <c r="A114" s="3">
        <v>40969</v>
      </c>
      <c r="B114" s="26">
        <v>28753453.760000002</v>
      </c>
      <c r="C114" s="166">
        <v>351.4</v>
      </c>
      <c r="D114" s="167">
        <v>0.2</v>
      </c>
      <c r="E114" s="10">
        <v>31</v>
      </c>
      <c r="F114" s="10">
        <v>1</v>
      </c>
      <c r="G114" s="18">
        <f>'CDM Activity'!F90</f>
        <v>786042.88933343231</v>
      </c>
      <c r="H114" s="128">
        <v>0</v>
      </c>
      <c r="I114" s="129">
        <v>702.8</v>
      </c>
      <c r="J114" s="10">
        <f t="shared" si="3"/>
        <v>29298414.741402723</v>
      </c>
      <c r="K114" s="10"/>
      <c r="L114" s="14"/>
    </row>
    <row r="115" spans="1:12" x14ac:dyDescent="0.2">
      <c r="A115" s="3">
        <v>41000</v>
      </c>
      <c r="B115" s="26">
        <v>26394365.489999998</v>
      </c>
      <c r="C115" s="166">
        <v>335.9</v>
      </c>
      <c r="D115" s="167">
        <v>0</v>
      </c>
      <c r="E115" s="10">
        <v>30</v>
      </c>
      <c r="F115" s="10">
        <v>1</v>
      </c>
      <c r="G115" s="18">
        <f>'CDM Activity'!F91</f>
        <v>777000.82571435638</v>
      </c>
      <c r="H115" s="128">
        <v>0</v>
      </c>
      <c r="I115" s="129">
        <v>704.9</v>
      </c>
      <c r="J115" s="10">
        <f t="shared" si="3"/>
        <v>28101121.116970021</v>
      </c>
      <c r="K115" s="10"/>
      <c r="L115" s="14"/>
    </row>
    <row r="116" spans="1:12" x14ac:dyDescent="0.2">
      <c r="A116" s="3">
        <v>41030</v>
      </c>
      <c r="B116" s="26">
        <v>27582029.329999998</v>
      </c>
      <c r="C116" s="166">
        <v>89.4</v>
      </c>
      <c r="D116" s="167">
        <v>26.5</v>
      </c>
      <c r="E116" s="10">
        <v>31</v>
      </c>
      <c r="F116" s="10">
        <v>1</v>
      </c>
      <c r="G116" s="18">
        <f>'CDM Activity'!F92</f>
        <v>767958.76209528046</v>
      </c>
      <c r="H116" s="128">
        <v>0</v>
      </c>
      <c r="I116" s="129">
        <v>709.7</v>
      </c>
      <c r="J116" s="10">
        <f t="shared" si="3"/>
        <v>28521060.474463578</v>
      </c>
      <c r="K116" s="10"/>
      <c r="L116" s="14"/>
    </row>
    <row r="117" spans="1:12" x14ac:dyDescent="0.2">
      <c r="A117" s="3">
        <v>41061</v>
      </c>
      <c r="B117" s="26">
        <v>30181640.640000001</v>
      </c>
      <c r="C117" s="166">
        <v>32.4</v>
      </c>
      <c r="D117" s="167">
        <v>74.8</v>
      </c>
      <c r="E117" s="10">
        <v>30</v>
      </c>
      <c r="F117" s="10">
        <v>0</v>
      </c>
      <c r="G117" s="18">
        <f>'CDM Activity'!F93</f>
        <v>758916.69847620453</v>
      </c>
      <c r="H117" s="128">
        <v>1</v>
      </c>
      <c r="I117" s="129">
        <v>716.9</v>
      </c>
      <c r="J117" s="10">
        <f t="shared" si="3"/>
        <v>30995720.551731568</v>
      </c>
      <c r="K117" s="10"/>
      <c r="L117" s="14"/>
    </row>
    <row r="118" spans="1:12" x14ac:dyDescent="0.2">
      <c r="A118" s="3">
        <v>41091</v>
      </c>
      <c r="B118" s="26">
        <v>37000777.939999998</v>
      </c>
      <c r="C118" s="166">
        <v>0</v>
      </c>
      <c r="D118" s="167">
        <v>160.19999999999999</v>
      </c>
      <c r="E118" s="10">
        <v>31</v>
      </c>
      <c r="F118" s="10">
        <v>0</v>
      </c>
      <c r="G118" s="18">
        <f>'CDM Activity'!F94</f>
        <v>749874.63485712861</v>
      </c>
      <c r="H118" s="128">
        <v>1</v>
      </c>
      <c r="I118" s="129">
        <v>722.2</v>
      </c>
      <c r="J118" s="10">
        <f t="shared" si="3"/>
        <v>37961250.187004581</v>
      </c>
      <c r="K118" s="10"/>
      <c r="L118" s="14"/>
    </row>
    <row r="119" spans="1:12" x14ac:dyDescent="0.2">
      <c r="A119" s="3">
        <v>41122</v>
      </c>
      <c r="B119" s="26">
        <v>32929453.609999999</v>
      </c>
      <c r="C119" s="166">
        <v>8.4</v>
      </c>
      <c r="D119" s="167">
        <v>72</v>
      </c>
      <c r="E119" s="10">
        <v>31</v>
      </c>
      <c r="F119" s="10">
        <v>0</v>
      </c>
      <c r="G119" s="18">
        <f>'CDM Activity'!F95</f>
        <v>740832.57123805268</v>
      </c>
      <c r="H119" s="128">
        <v>1</v>
      </c>
      <c r="I119" s="129">
        <v>724.6</v>
      </c>
      <c r="J119" s="10">
        <f t="shared" si="3"/>
        <v>32041442.029361464</v>
      </c>
      <c r="K119" s="10"/>
      <c r="L119" s="14"/>
    </row>
    <row r="120" spans="1:12" x14ac:dyDescent="0.2">
      <c r="A120" s="3">
        <v>41153</v>
      </c>
      <c r="B120" s="26">
        <v>28295170.850000001</v>
      </c>
      <c r="C120" s="166">
        <v>101.8</v>
      </c>
      <c r="D120" s="167">
        <v>26.4</v>
      </c>
      <c r="E120" s="10">
        <v>30</v>
      </c>
      <c r="F120" s="10">
        <v>1</v>
      </c>
      <c r="G120" s="18">
        <f>'CDM Activity'!F96</f>
        <v>731790.50761897676</v>
      </c>
      <c r="H120" s="128">
        <v>0</v>
      </c>
      <c r="I120" s="129">
        <v>727.4</v>
      </c>
      <c r="J120" s="10">
        <f t="shared" si="3"/>
        <v>28401226.840332177</v>
      </c>
      <c r="K120" s="10"/>
      <c r="L120" s="14"/>
    </row>
    <row r="121" spans="1:12" x14ac:dyDescent="0.2">
      <c r="A121" s="3">
        <v>41183</v>
      </c>
      <c r="B121" s="26">
        <v>28553832.039999999</v>
      </c>
      <c r="C121" s="166">
        <v>243</v>
      </c>
      <c r="D121" s="167">
        <v>0.6</v>
      </c>
      <c r="E121" s="10">
        <v>31</v>
      </c>
      <c r="F121" s="10">
        <v>1</v>
      </c>
      <c r="G121" s="18">
        <f>'CDM Activity'!F97</f>
        <v>722748.44399990083</v>
      </c>
      <c r="H121" s="128">
        <v>0</v>
      </c>
      <c r="I121" s="129">
        <v>724.6</v>
      </c>
      <c r="J121" s="10">
        <f t="shared" si="3"/>
        <v>29230640.878824856</v>
      </c>
      <c r="K121" s="10"/>
      <c r="L121" s="14"/>
    </row>
    <row r="122" spans="1:12" x14ac:dyDescent="0.2">
      <c r="A122" s="3">
        <v>41214</v>
      </c>
      <c r="B122" s="26">
        <v>31003875.760000002</v>
      </c>
      <c r="C122" s="166">
        <v>433.9</v>
      </c>
      <c r="D122" s="167">
        <v>0</v>
      </c>
      <c r="E122" s="10">
        <v>30</v>
      </c>
      <c r="F122" s="10">
        <v>1</v>
      </c>
      <c r="G122" s="18">
        <f>'CDM Activity'!F98</f>
        <v>713706.38038082491</v>
      </c>
      <c r="H122" s="128">
        <v>0</v>
      </c>
      <c r="I122" s="129">
        <v>715.3</v>
      </c>
      <c r="J122" s="10">
        <f t="shared" si="3"/>
        <v>29844935.360576786</v>
      </c>
      <c r="K122" s="10"/>
    </row>
    <row r="123" spans="1:12" x14ac:dyDescent="0.2">
      <c r="A123" s="3">
        <v>41244</v>
      </c>
      <c r="B123" s="26">
        <v>33121685.890000001</v>
      </c>
      <c r="C123" s="166">
        <v>436.4</v>
      </c>
      <c r="D123" s="167">
        <v>0</v>
      </c>
      <c r="E123" s="10">
        <v>31</v>
      </c>
      <c r="F123" s="10">
        <v>0</v>
      </c>
      <c r="G123" s="18">
        <f>'CDM Activity'!F99</f>
        <v>704664.31676174898</v>
      </c>
      <c r="H123" s="128">
        <v>0</v>
      </c>
      <c r="I123" s="129">
        <v>712.7</v>
      </c>
      <c r="J123" s="10">
        <f t="shared" si="3"/>
        <v>33220406.659744591</v>
      </c>
      <c r="K123" s="10"/>
    </row>
    <row r="124" spans="1:12" x14ac:dyDescent="0.2">
      <c r="A124" s="169">
        <v>41275</v>
      </c>
      <c r="B124" s="6">
        <v>34453934</v>
      </c>
      <c r="C124" s="1">
        <v>591.4</v>
      </c>
      <c r="D124" s="1">
        <v>0</v>
      </c>
      <c r="E124" s="10">
        <v>31</v>
      </c>
      <c r="F124" s="10">
        <v>0</v>
      </c>
      <c r="G124" s="18">
        <f>'CDM Activity'!F100</f>
        <v>711556.71674712095</v>
      </c>
      <c r="H124" s="128">
        <v>0</v>
      </c>
      <c r="I124" s="128">
        <v>711.2</v>
      </c>
      <c r="J124" s="162">
        <f t="shared" si="3"/>
        <v>34887333.789495707</v>
      </c>
      <c r="K124" s="10"/>
    </row>
    <row r="125" spans="1:12" x14ac:dyDescent="0.2">
      <c r="A125" s="169">
        <v>41306</v>
      </c>
      <c r="B125" s="6">
        <v>30965647</v>
      </c>
      <c r="C125" s="1">
        <v>622.5</v>
      </c>
      <c r="D125" s="1">
        <v>0</v>
      </c>
      <c r="E125" s="10">
        <v>28</v>
      </c>
      <c r="F125" s="10">
        <v>0</v>
      </c>
      <c r="G125" s="18">
        <f>'CDM Activity'!F101</f>
        <v>718449.11673249293</v>
      </c>
      <c r="H125" s="128">
        <v>0</v>
      </c>
      <c r="I125" s="128">
        <v>714.4</v>
      </c>
      <c r="J125" s="162">
        <f t="shared" si="3"/>
        <v>31980403.077018686</v>
      </c>
      <c r="K125" s="10"/>
    </row>
    <row r="126" spans="1:12" x14ac:dyDescent="0.2">
      <c r="A126" s="169">
        <v>41334</v>
      </c>
      <c r="B126" s="6">
        <v>31616629</v>
      </c>
      <c r="C126" s="1">
        <v>535.79999999999995</v>
      </c>
      <c r="D126" s="1">
        <v>0</v>
      </c>
      <c r="E126" s="10">
        <v>31</v>
      </c>
      <c r="F126" s="10">
        <v>1</v>
      </c>
      <c r="G126" s="18">
        <f>'CDM Activity'!F102</f>
        <v>725341.5167178649</v>
      </c>
      <c r="H126" s="128">
        <v>0</v>
      </c>
      <c r="I126" s="128">
        <v>707.1</v>
      </c>
      <c r="J126" s="162">
        <f t="shared" si="3"/>
        <v>31733189.521943286</v>
      </c>
      <c r="K126" s="10"/>
    </row>
    <row r="127" spans="1:12" x14ac:dyDescent="0.2">
      <c r="A127" s="169">
        <v>41365</v>
      </c>
      <c r="B127" s="6">
        <v>27694985</v>
      </c>
      <c r="C127" s="1">
        <v>366.5</v>
      </c>
      <c r="D127" s="1">
        <v>0</v>
      </c>
      <c r="E127" s="10">
        <v>30</v>
      </c>
      <c r="F127" s="10">
        <v>1</v>
      </c>
      <c r="G127" s="18">
        <f>'CDM Activity'!F103</f>
        <v>732233.91670323687</v>
      </c>
      <c r="H127" s="128">
        <v>0</v>
      </c>
      <c r="I127" s="128">
        <v>701.4</v>
      </c>
      <c r="J127" s="162">
        <f t="shared" si="3"/>
        <v>28426780.024517011</v>
      </c>
      <c r="K127" s="10"/>
    </row>
    <row r="128" spans="1:12" x14ac:dyDescent="0.2">
      <c r="A128" s="169">
        <v>41395</v>
      </c>
      <c r="B128" s="6">
        <v>27052699</v>
      </c>
      <c r="C128" s="1">
        <v>137.69999999999999</v>
      </c>
      <c r="D128" s="1">
        <v>17.600000000000001</v>
      </c>
      <c r="E128" s="10">
        <v>31</v>
      </c>
      <c r="F128" s="10">
        <v>1</v>
      </c>
      <c r="G128" s="18">
        <f>'CDM Activity'!F104</f>
        <v>739126.31668860884</v>
      </c>
      <c r="H128" s="128">
        <v>0</v>
      </c>
      <c r="I128" s="128">
        <v>706.8</v>
      </c>
      <c r="J128" s="162">
        <f t="shared" si="3"/>
        <v>28405941.340564504</v>
      </c>
      <c r="K128" s="10"/>
    </row>
    <row r="129" spans="1:11" x14ac:dyDescent="0.2">
      <c r="A129" s="169">
        <v>41426</v>
      </c>
      <c r="B129" s="6">
        <v>28706373</v>
      </c>
      <c r="C129" s="1">
        <v>41.8</v>
      </c>
      <c r="D129" s="1">
        <v>52.4</v>
      </c>
      <c r="E129" s="10">
        <v>30</v>
      </c>
      <c r="F129" s="10">
        <v>0</v>
      </c>
      <c r="G129" s="18">
        <f>'CDM Activity'!F105</f>
        <v>746018.71667398082</v>
      </c>
      <c r="H129" s="128">
        <v>1</v>
      </c>
      <c r="I129" s="128">
        <v>713.7</v>
      </c>
      <c r="J129" s="162">
        <f t="shared" si="3"/>
        <v>29440551.479149807</v>
      </c>
      <c r="K129" s="10"/>
    </row>
    <row r="130" spans="1:11" x14ac:dyDescent="0.2">
      <c r="A130" s="169">
        <v>41456</v>
      </c>
      <c r="B130" s="6">
        <v>34891029</v>
      </c>
      <c r="C130" s="1">
        <v>5.4</v>
      </c>
      <c r="D130" s="1">
        <v>84.2</v>
      </c>
      <c r="E130" s="10">
        <v>31</v>
      </c>
      <c r="F130" s="10">
        <v>0</v>
      </c>
      <c r="G130" s="18">
        <f>'CDM Activity'!F106</f>
        <v>752911.11665935279</v>
      </c>
      <c r="H130" s="128">
        <v>1</v>
      </c>
      <c r="I130" s="128">
        <v>715.8</v>
      </c>
      <c r="J130" s="162">
        <f t="shared" si="3"/>
        <v>32441042.688857339</v>
      </c>
      <c r="K130" s="10"/>
    </row>
    <row r="131" spans="1:11" x14ac:dyDescent="0.2">
      <c r="A131" s="169">
        <v>41487</v>
      </c>
      <c r="B131" s="6">
        <v>31944300</v>
      </c>
      <c r="C131" s="1">
        <v>8.1999999999999993</v>
      </c>
      <c r="D131" s="1">
        <v>70.7</v>
      </c>
      <c r="E131" s="10">
        <v>31</v>
      </c>
      <c r="F131" s="10">
        <v>0</v>
      </c>
      <c r="G131" s="18">
        <f>'CDM Activity'!F107</f>
        <v>759803.51664472476</v>
      </c>
      <c r="H131" s="128">
        <v>1</v>
      </c>
      <c r="I131" s="128">
        <v>705.1</v>
      </c>
      <c r="J131" s="162">
        <f t="shared" si="3"/>
        <v>31048529.640017658</v>
      </c>
      <c r="K131" s="10"/>
    </row>
    <row r="132" spans="1:11" x14ac:dyDescent="0.2">
      <c r="A132" s="169">
        <v>41518</v>
      </c>
      <c r="B132" s="6">
        <v>28067393</v>
      </c>
      <c r="C132" s="1">
        <v>102</v>
      </c>
      <c r="D132" s="1">
        <v>23.5</v>
      </c>
      <c r="E132" s="10">
        <v>30</v>
      </c>
      <c r="F132" s="10">
        <v>1</v>
      </c>
      <c r="G132" s="18">
        <f>'CDM Activity'!F108</f>
        <v>766695.91663009673</v>
      </c>
      <c r="H132" s="128">
        <v>0</v>
      </c>
      <c r="I132" s="128">
        <v>696.6</v>
      </c>
      <c r="J132" s="162">
        <f t="shared" si="3"/>
        <v>26765281.218013532</v>
      </c>
      <c r="K132" s="10"/>
    </row>
    <row r="133" spans="1:11" x14ac:dyDescent="0.2">
      <c r="A133" s="169">
        <v>41548</v>
      </c>
      <c r="B133" s="6">
        <v>28348884</v>
      </c>
      <c r="C133" s="1">
        <v>187.2</v>
      </c>
      <c r="D133" s="1">
        <v>0.5</v>
      </c>
      <c r="E133" s="10">
        <v>31</v>
      </c>
      <c r="F133" s="10">
        <v>1</v>
      </c>
      <c r="G133" s="18">
        <f>'CDM Activity'!F109</f>
        <v>773588.31661546871</v>
      </c>
      <c r="H133" s="128">
        <v>0</v>
      </c>
      <c r="I133" s="128">
        <v>699.3</v>
      </c>
      <c r="J133" s="162">
        <f t="shared" si="3"/>
        <v>27348191.443916477</v>
      </c>
      <c r="K133" s="10"/>
    </row>
    <row r="134" spans="1:11" x14ac:dyDescent="0.2">
      <c r="A134" s="169">
        <v>41579</v>
      </c>
      <c r="B134" s="6">
        <v>30945091</v>
      </c>
      <c r="C134" s="1">
        <v>441</v>
      </c>
      <c r="D134" s="1">
        <v>0</v>
      </c>
      <c r="E134" s="10">
        <v>30</v>
      </c>
      <c r="F134" s="10">
        <v>1</v>
      </c>
      <c r="G134" s="18">
        <f>'CDM Activity'!F110</f>
        <v>780480.71660084068</v>
      </c>
      <c r="H134" s="128">
        <v>0</v>
      </c>
      <c r="I134" s="128">
        <v>699.4</v>
      </c>
      <c r="J134" s="162">
        <f t="shared" si="3"/>
        <v>29040779.794972736</v>
      </c>
      <c r="K134" s="10"/>
    </row>
    <row r="135" spans="1:11" x14ac:dyDescent="0.2">
      <c r="A135" s="169">
        <v>41609</v>
      </c>
      <c r="B135" s="6">
        <v>35913695</v>
      </c>
      <c r="C135" s="1">
        <v>653.6</v>
      </c>
      <c r="D135" s="1">
        <v>0</v>
      </c>
      <c r="E135" s="10">
        <v>31</v>
      </c>
      <c r="F135" s="10">
        <v>0</v>
      </c>
      <c r="G135" s="18">
        <f>'CDM Activity'!F111</f>
        <v>787373.11658621265</v>
      </c>
      <c r="H135" s="128">
        <v>0</v>
      </c>
      <c r="I135" s="128">
        <v>702.3</v>
      </c>
      <c r="J135" s="162">
        <f t="shared" si="3"/>
        <v>34982624.081041865</v>
      </c>
      <c r="K135" s="10"/>
    </row>
    <row r="136" spans="1:11" x14ac:dyDescent="0.2">
      <c r="A136" s="168">
        <v>41640</v>
      </c>
      <c r="C136" s="133">
        <f>(C4+C16+C28+C40+C52+C64+C76+C88+C100+C112+C124)/11</f>
        <v>719.69999999999993</v>
      </c>
      <c r="D136" s="133">
        <f>(D4+D16+D28+D40+D52+D64+D76+D88+D100+D112+D124)/11</f>
        <v>0</v>
      </c>
      <c r="E136" s="10">
        <v>31</v>
      </c>
      <c r="F136" s="10">
        <v>0</v>
      </c>
      <c r="G136" s="18">
        <f>'CDM Activity'!F112</f>
        <v>777261.89352166711</v>
      </c>
      <c r="H136" s="128">
        <v>0</v>
      </c>
      <c r="I136" s="128">
        <f t="shared" ref="I136:I147" si="4">I135</f>
        <v>702.3</v>
      </c>
      <c r="J136" s="161">
        <f t="shared" si="3"/>
        <v>35759471.905010656</v>
      </c>
      <c r="K136" s="10"/>
    </row>
    <row r="137" spans="1:11" x14ac:dyDescent="0.2">
      <c r="A137" s="168">
        <v>41671</v>
      </c>
      <c r="C137" s="133">
        <f t="shared" ref="C137:D147" si="5">(C5+C17+C29+C41+C53+C65+C77+C89+C101+C113+C125)/11</f>
        <v>645.4636363636364</v>
      </c>
      <c r="D137" s="133">
        <f t="shared" si="5"/>
        <v>0</v>
      </c>
      <c r="E137" s="10">
        <v>28</v>
      </c>
      <c r="F137" s="10">
        <v>0</v>
      </c>
      <c r="G137" s="18">
        <f>'CDM Activity'!F113</f>
        <v>767150.67045712157</v>
      </c>
      <c r="H137" s="128">
        <v>0</v>
      </c>
      <c r="I137" s="128">
        <f t="shared" si="4"/>
        <v>702.3</v>
      </c>
      <c r="J137" s="161">
        <f t="shared" si="3"/>
        <v>31573139.167925712</v>
      </c>
      <c r="K137" s="10"/>
    </row>
    <row r="138" spans="1:11" x14ac:dyDescent="0.2">
      <c r="A138" s="168">
        <v>41699</v>
      </c>
      <c r="C138" s="133">
        <f t="shared" si="5"/>
        <v>541.0454545454545</v>
      </c>
      <c r="D138" s="133">
        <f t="shared" si="5"/>
        <v>1.8181818181818184E-2</v>
      </c>
      <c r="E138" s="10">
        <v>31</v>
      </c>
      <c r="F138" s="10">
        <v>1</v>
      </c>
      <c r="G138" s="18">
        <f>'CDM Activity'!F114</f>
        <v>757039.44739257602</v>
      </c>
      <c r="H138" s="128">
        <v>0</v>
      </c>
      <c r="I138" s="128">
        <f t="shared" si="4"/>
        <v>702.3</v>
      </c>
      <c r="J138" s="161">
        <f t="shared" si="3"/>
        <v>31492906.188074742</v>
      </c>
      <c r="K138" s="10"/>
    </row>
    <row r="139" spans="1:11" x14ac:dyDescent="0.2">
      <c r="A139" s="168">
        <v>41730</v>
      </c>
      <c r="C139" s="133">
        <f t="shared" si="5"/>
        <v>332.65454545454548</v>
      </c>
      <c r="D139" s="133">
        <f t="shared" si="5"/>
        <v>0.22727272727272727</v>
      </c>
      <c r="E139" s="10">
        <v>30</v>
      </c>
      <c r="F139" s="10">
        <v>1</v>
      </c>
      <c r="G139" s="18">
        <f>'CDM Activity'!F115</f>
        <v>746928.22432803048</v>
      </c>
      <c r="H139" s="128">
        <v>0</v>
      </c>
      <c r="I139" s="128">
        <f t="shared" si="4"/>
        <v>702.3</v>
      </c>
      <c r="J139" s="161">
        <f t="shared" si="3"/>
        <v>28055897.681543287</v>
      </c>
      <c r="K139" s="10"/>
    </row>
    <row r="140" spans="1:11" x14ac:dyDescent="0.2">
      <c r="A140" s="168">
        <v>41760</v>
      </c>
      <c r="C140" s="133">
        <f t="shared" si="5"/>
        <v>162.98181818181817</v>
      </c>
      <c r="D140" s="133">
        <f t="shared" si="5"/>
        <v>13.309090909090907</v>
      </c>
      <c r="E140" s="10">
        <v>31</v>
      </c>
      <c r="F140" s="10">
        <v>1</v>
      </c>
      <c r="G140" s="18">
        <f>'CDM Activity'!F116</f>
        <v>736817.00126348494</v>
      </c>
      <c r="H140" s="128">
        <v>0</v>
      </c>
      <c r="I140" s="128">
        <f t="shared" si="4"/>
        <v>702.3</v>
      </c>
      <c r="J140" s="161">
        <f t="shared" si="3"/>
        <v>28204667.912548594</v>
      </c>
      <c r="K140" s="10"/>
    </row>
    <row r="141" spans="1:11" x14ac:dyDescent="0.2">
      <c r="A141" s="168">
        <v>41791</v>
      </c>
      <c r="C141" s="133">
        <f t="shared" si="5"/>
        <v>35.699999999999996</v>
      </c>
      <c r="D141" s="133">
        <f t="shared" si="5"/>
        <v>54.981818181818177</v>
      </c>
      <c r="E141" s="10">
        <v>30</v>
      </c>
      <c r="F141" s="10">
        <v>0</v>
      </c>
      <c r="G141" s="18">
        <f>'CDM Activity'!F117</f>
        <v>726705.7781989394</v>
      </c>
      <c r="H141" s="128">
        <v>1</v>
      </c>
      <c r="I141" s="128">
        <f t="shared" si="4"/>
        <v>702.3</v>
      </c>
      <c r="J141" s="161">
        <f t="shared" si="3"/>
        <v>29114473.210768197</v>
      </c>
      <c r="K141" s="10"/>
    </row>
    <row r="142" spans="1:11" x14ac:dyDescent="0.2">
      <c r="A142" s="168">
        <v>41821</v>
      </c>
      <c r="C142" s="133">
        <f t="shared" si="5"/>
        <v>5.4636363636363638</v>
      </c>
      <c r="D142" s="133">
        <f t="shared" si="5"/>
        <v>105.21818181818183</v>
      </c>
      <c r="E142" s="10">
        <v>31</v>
      </c>
      <c r="F142" s="10">
        <v>0</v>
      </c>
      <c r="G142" s="18">
        <f>'CDM Activity'!F118</f>
        <v>716594.55513439386</v>
      </c>
      <c r="H142" s="128">
        <v>1</v>
      </c>
      <c r="I142" s="128">
        <f t="shared" si="4"/>
        <v>702.3</v>
      </c>
      <c r="J142" s="161">
        <f t="shared" si="3"/>
        <v>33428107.959800936</v>
      </c>
      <c r="K142" s="10"/>
    </row>
    <row r="143" spans="1:11" x14ac:dyDescent="0.2">
      <c r="A143" s="168">
        <v>41852</v>
      </c>
      <c r="C143" s="133">
        <f t="shared" si="5"/>
        <v>10.827272727272728</v>
      </c>
      <c r="D143" s="133">
        <f t="shared" si="5"/>
        <v>77.963636363636382</v>
      </c>
      <c r="E143" s="10">
        <v>31</v>
      </c>
      <c r="F143" s="10">
        <v>0</v>
      </c>
      <c r="G143" s="18">
        <f>'CDM Activity'!F119</f>
        <v>706483.33206984831</v>
      </c>
      <c r="H143" s="128">
        <v>1</v>
      </c>
      <c r="I143" s="128">
        <f t="shared" si="4"/>
        <v>702.3</v>
      </c>
      <c r="J143" s="161">
        <f t="shared" si="3"/>
        <v>31619475.784003876</v>
      </c>
      <c r="K143" s="10"/>
    </row>
    <row r="144" spans="1:11" x14ac:dyDescent="0.2">
      <c r="A144" s="168">
        <v>41883</v>
      </c>
      <c r="C144" s="133">
        <f t="shared" si="5"/>
        <v>74.472727272727283</v>
      </c>
      <c r="D144" s="133">
        <f t="shared" si="5"/>
        <v>22.445454545454545</v>
      </c>
      <c r="E144" s="10">
        <v>30</v>
      </c>
      <c r="F144" s="10">
        <v>1</v>
      </c>
      <c r="G144" s="18">
        <f>'CDM Activity'!F120</f>
        <v>696372.10900530277</v>
      </c>
      <c r="H144" s="128">
        <v>0</v>
      </c>
      <c r="I144" s="128">
        <f t="shared" si="4"/>
        <v>702.3</v>
      </c>
      <c r="J144" s="161">
        <f t="shared" si="3"/>
        <v>26833768.571173277</v>
      </c>
      <c r="K144" s="10"/>
    </row>
    <row r="145" spans="1:12" x14ac:dyDescent="0.2">
      <c r="A145" s="168">
        <v>41913</v>
      </c>
      <c r="C145" s="133">
        <f t="shared" si="5"/>
        <v>254.36363636363637</v>
      </c>
      <c r="D145" s="133">
        <f t="shared" si="5"/>
        <v>1.9727272727272729</v>
      </c>
      <c r="E145" s="10">
        <v>31</v>
      </c>
      <c r="F145" s="10">
        <v>1</v>
      </c>
      <c r="G145" s="18">
        <f>'CDM Activity'!F121</f>
        <v>686260.88594075723</v>
      </c>
      <c r="H145" s="128">
        <v>0</v>
      </c>
      <c r="I145" s="128">
        <f t="shared" si="4"/>
        <v>702.3</v>
      </c>
      <c r="J145" s="161">
        <f t="shared" si="3"/>
        <v>28596097.646863107</v>
      </c>
      <c r="K145" s="10"/>
    </row>
    <row r="146" spans="1:12" x14ac:dyDescent="0.2">
      <c r="A146" s="168">
        <v>41944</v>
      </c>
      <c r="C146" s="133">
        <f t="shared" si="5"/>
        <v>410.68181818181819</v>
      </c>
      <c r="D146" s="133">
        <f t="shared" si="5"/>
        <v>0</v>
      </c>
      <c r="E146" s="10">
        <v>30</v>
      </c>
      <c r="F146" s="10">
        <v>1</v>
      </c>
      <c r="G146" s="18">
        <f>'CDM Activity'!F122</f>
        <v>676149.66287621169</v>
      </c>
      <c r="H146" s="128">
        <v>0</v>
      </c>
      <c r="I146" s="128">
        <f t="shared" si="4"/>
        <v>702.3</v>
      </c>
      <c r="J146" s="161">
        <f t="shared" si="3"/>
        <v>29129702.437405214</v>
      </c>
      <c r="K146" s="10"/>
    </row>
    <row r="147" spans="1:12" x14ac:dyDescent="0.2">
      <c r="A147" s="168">
        <v>41974</v>
      </c>
      <c r="C147" s="133">
        <f t="shared" si="5"/>
        <v>605.0181818181818</v>
      </c>
      <c r="D147" s="133">
        <f t="shared" si="5"/>
        <v>0</v>
      </c>
      <c r="E147" s="10">
        <v>31</v>
      </c>
      <c r="F147" s="10">
        <v>0</v>
      </c>
      <c r="G147" s="18">
        <f>'CDM Activity'!F123</f>
        <v>666038.43981166615</v>
      </c>
      <c r="H147" s="128">
        <v>0</v>
      </c>
      <c r="I147" s="128">
        <f t="shared" si="4"/>
        <v>702.3</v>
      </c>
      <c r="J147" s="161">
        <f t="shared" si="3"/>
        <v>34789395.677327037</v>
      </c>
      <c r="K147" s="10"/>
    </row>
    <row r="148" spans="1:12" x14ac:dyDescent="0.2">
      <c r="A148" s="3"/>
      <c r="G148" s="18"/>
      <c r="J148" s="10"/>
      <c r="K148" s="10"/>
    </row>
    <row r="149" spans="1:12" x14ac:dyDescent="0.2">
      <c r="A149" s="3"/>
      <c r="H149" s="42"/>
      <c r="I149" s="42"/>
      <c r="J149" s="42">
        <f>SUM(J4:J148)</f>
        <v>4508964745.8324413</v>
      </c>
    </row>
    <row r="150" spans="1:12" x14ac:dyDescent="0.2">
      <c r="A150" s="3"/>
    </row>
    <row r="151" spans="1:12" x14ac:dyDescent="0.2">
      <c r="A151" s="17">
        <v>2003</v>
      </c>
      <c r="B151" s="6">
        <f>SUM(B4:B15)</f>
        <v>377328534.95999986</v>
      </c>
      <c r="J151" s="6">
        <f>SUM(J4:J15)</f>
        <v>381221566.08680987</v>
      </c>
      <c r="K151" s="34">
        <f t="shared" ref="K151:K160" si="6">J151-B151</f>
        <v>3893031.1268100142</v>
      </c>
      <c r="L151" s="5">
        <f t="shared" ref="L151:L160" si="7">K151/B151</f>
        <v>1.0317351501716428E-2</v>
      </c>
    </row>
    <row r="152" spans="1:12" x14ac:dyDescent="0.2">
      <c r="A152">
        <v>2004</v>
      </c>
      <c r="B152" s="6">
        <f>SUM(B16:B27)</f>
        <v>382256439.04000014</v>
      </c>
      <c r="J152" s="6">
        <f>SUM(J16:J27)</f>
        <v>379503203.08578652</v>
      </c>
      <c r="K152" s="34">
        <f t="shared" si="6"/>
        <v>-2753235.9542136192</v>
      </c>
      <c r="L152" s="5">
        <f t="shared" si="7"/>
        <v>-7.2025888200290449E-3</v>
      </c>
    </row>
    <row r="153" spans="1:12" x14ac:dyDescent="0.2">
      <c r="A153" s="17">
        <v>2005</v>
      </c>
      <c r="B153" s="6">
        <f>SUM(B28:B39)</f>
        <v>397949707</v>
      </c>
      <c r="J153" s="6">
        <f>SUM(J28:J39)</f>
        <v>395559949.96057868</v>
      </c>
      <c r="K153" s="34">
        <f t="shared" si="6"/>
        <v>-2389757.03942132</v>
      </c>
      <c r="L153" s="5">
        <f t="shared" si="7"/>
        <v>-6.0051735115897948E-3</v>
      </c>
    </row>
    <row r="154" spans="1:12" x14ac:dyDescent="0.2">
      <c r="A154">
        <v>2006</v>
      </c>
      <c r="B154" s="6">
        <f>SUM(B40:B51)</f>
        <v>378534757</v>
      </c>
      <c r="J154" s="6">
        <f>SUM(J40:J51)</f>
        <v>378472421.53347081</v>
      </c>
      <c r="K154" s="34">
        <f t="shared" si="6"/>
        <v>-62335.46652919054</v>
      </c>
      <c r="L154" s="5">
        <f t="shared" si="7"/>
        <v>-1.6467567476027186E-4</v>
      </c>
    </row>
    <row r="155" spans="1:12" x14ac:dyDescent="0.2">
      <c r="A155" s="17">
        <v>2007</v>
      </c>
      <c r="B155" s="6">
        <f>SUM(B52:B63)</f>
        <v>385126910.3599999</v>
      </c>
      <c r="J155" s="6">
        <f>SUM(J52:J63)</f>
        <v>383318890.8826375</v>
      </c>
      <c r="K155" s="34">
        <f t="shared" si="6"/>
        <v>-1808019.4773623943</v>
      </c>
      <c r="L155" s="5">
        <f t="shared" si="7"/>
        <v>-4.6946069690958136E-3</v>
      </c>
    </row>
    <row r="156" spans="1:12" x14ac:dyDescent="0.2">
      <c r="A156">
        <v>2008</v>
      </c>
      <c r="B156" s="6">
        <f>SUM(B64:B75)</f>
        <v>376481613.95999986</v>
      </c>
      <c r="J156" s="6">
        <f>SUM(J64:J75)</f>
        <v>380130927.61278176</v>
      </c>
      <c r="K156" s="34">
        <f t="shared" si="6"/>
        <v>3649313.6527819037</v>
      </c>
      <c r="L156" s="5">
        <f t="shared" si="7"/>
        <v>9.6932055045047521E-3</v>
      </c>
    </row>
    <row r="157" spans="1:12" x14ac:dyDescent="0.2">
      <c r="A157" s="17">
        <v>2009</v>
      </c>
      <c r="B157" s="6">
        <f>SUM(B76:B87)</f>
        <v>357880922.79999995</v>
      </c>
      <c r="J157" s="6">
        <f>SUM(J76:J87)</f>
        <v>358216548.26712191</v>
      </c>
      <c r="K157" s="34">
        <f t="shared" si="6"/>
        <v>335625.46712195873</v>
      </c>
      <c r="L157" s="5">
        <f t="shared" si="7"/>
        <v>9.3781323825836173E-4</v>
      </c>
    </row>
    <row r="158" spans="1:12" x14ac:dyDescent="0.2">
      <c r="A158">
        <v>2010</v>
      </c>
      <c r="B158" s="6">
        <f>SUM(B88:B99)</f>
        <v>371940958.76999992</v>
      </c>
      <c r="J158" s="6">
        <f>SUM(J88:J99)</f>
        <v>366599515.16136503</v>
      </c>
      <c r="K158" s="34">
        <f t="shared" si="6"/>
        <v>-5341443.6086348891</v>
      </c>
      <c r="L158" s="5">
        <f t="shared" si="7"/>
        <v>-1.4360998654998682E-2</v>
      </c>
    </row>
    <row r="159" spans="1:12" x14ac:dyDescent="0.2">
      <c r="A159">
        <v>2011</v>
      </c>
      <c r="B159" s="6">
        <f>SUM(B100:B111)</f>
        <v>374153148.51000005</v>
      </c>
      <c r="J159" s="6">
        <f>SUM(J100:J111)</f>
        <v>376249326.34530771</v>
      </c>
      <c r="K159" s="34">
        <f t="shared" si="6"/>
        <v>2096177.8353076577</v>
      </c>
      <c r="L159" s="5">
        <f t="shared" si="7"/>
        <v>5.6024594304640279E-3</v>
      </c>
    </row>
    <row r="160" spans="1:12" x14ac:dyDescent="0.2">
      <c r="A160">
        <v>2012</v>
      </c>
      <c r="B160" s="6">
        <f>SUM(B112:B123)</f>
        <v>368113990.29000002</v>
      </c>
      <c r="J160" s="6">
        <f>SUM(J112:J123)</f>
        <v>374594644.65462887</v>
      </c>
      <c r="K160" s="34">
        <f t="shared" si="6"/>
        <v>6480654.3646288514</v>
      </c>
      <c r="L160" s="5">
        <f t="shared" si="7"/>
        <v>1.7605020552257183E-2</v>
      </c>
    </row>
    <row r="161" spans="1:12" x14ac:dyDescent="0.2">
      <c r="A161">
        <v>2013</v>
      </c>
      <c r="B161" s="6">
        <f>SUM(B124:B135)</f>
        <v>370600659</v>
      </c>
      <c r="J161" s="6">
        <f>SUM(J124:J135)</f>
        <v>366500648.09950864</v>
      </c>
      <c r="K161" s="34">
        <f t="shared" ref="K161" si="8">J161-B161</f>
        <v>-4100010.9004913568</v>
      </c>
      <c r="L161" s="5">
        <f t="shared" ref="L161" si="9">K161/B161</f>
        <v>-1.1063150593294969E-2</v>
      </c>
    </row>
    <row r="162" spans="1:12" x14ac:dyDescent="0.2">
      <c r="A162" s="17">
        <v>2014</v>
      </c>
      <c r="J162" s="6">
        <f>SUM(J136:J147)</f>
        <v>368597104.14244461</v>
      </c>
      <c r="K162" s="34"/>
      <c r="L162" s="5"/>
    </row>
    <row r="163" spans="1:12" x14ac:dyDescent="0.2">
      <c r="J163" s="6"/>
    </row>
    <row r="164" spans="1:12" x14ac:dyDescent="0.2">
      <c r="A164" s="83" t="s">
        <v>171</v>
      </c>
      <c r="B164" s="6">
        <f>SUM(B151:B161)</f>
        <v>4140367641.6900001</v>
      </c>
      <c r="J164" s="6">
        <f>SUM(J151:J161)</f>
        <v>4140367641.6899977</v>
      </c>
      <c r="K164" s="6">
        <f>J164-B164</f>
        <v>0</v>
      </c>
    </row>
    <row r="166" spans="1:12" x14ac:dyDescent="0.2">
      <c r="J166" s="6">
        <f>SUM(J151:J162)</f>
        <v>4508964745.8324423</v>
      </c>
      <c r="K166" s="42">
        <f>J149-J166</f>
        <v>0</v>
      </c>
    </row>
    <row r="167" spans="1:12" x14ac:dyDescent="0.2">
      <c r="J167" s="135"/>
      <c r="K167" s="135" t="s">
        <v>63</v>
      </c>
      <c r="L167" s="135"/>
    </row>
    <row r="170" spans="1:12" x14ac:dyDescent="0.2">
      <c r="J170" s="10"/>
    </row>
    <row r="172" spans="1:12" x14ac:dyDescent="0.2">
      <c r="C172" s="134"/>
      <c r="D172" s="1" t="s">
        <v>65</v>
      </c>
    </row>
    <row r="173" spans="1:12" x14ac:dyDescent="0.2">
      <c r="B173" s="6" t="s">
        <v>99</v>
      </c>
    </row>
    <row r="174" spans="1:12" x14ac:dyDescent="0.2">
      <c r="C174" s="136">
        <f>'HDD and CDD'!X5</f>
        <v>676.88789473684119</v>
      </c>
      <c r="D174" s="136">
        <f>'HDD and CDD'!X21</f>
        <v>0</v>
      </c>
      <c r="E174" s="10">
        <v>31</v>
      </c>
      <c r="F174" s="10">
        <v>0</v>
      </c>
      <c r="G174" s="10">
        <v>777897.4469103209</v>
      </c>
      <c r="H174" s="10">
        <v>0</v>
      </c>
      <c r="I174" s="128">
        <v>702.3</v>
      </c>
      <c r="J174" s="10">
        <f t="shared" ref="J174:J185" si="10">$N$22+C174*$N$23+D174*$N$24+E174*$N$25+F174*$N$26+G174*$N$27+H174*$N$28+I174*$N$29</f>
        <v>35273664.52851256</v>
      </c>
    </row>
    <row r="175" spans="1:12" x14ac:dyDescent="0.2">
      <c r="C175" s="136">
        <f>'HDD and CDD'!X6</f>
        <v>620.54736842105285</v>
      </c>
      <c r="D175" s="136">
        <f>'HDD and CDD'!X22</f>
        <v>0</v>
      </c>
      <c r="E175" s="10">
        <v>28</v>
      </c>
      <c r="F175" s="10">
        <v>0</v>
      </c>
      <c r="G175" s="10">
        <v>767747.06262359594</v>
      </c>
      <c r="H175" s="10">
        <v>0</v>
      </c>
      <c r="I175" s="128">
        <v>702.3</v>
      </c>
      <c r="J175" s="10">
        <f t="shared" si="10"/>
        <v>31289739.102974217</v>
      </c>
    </row>
    <row r="176" spans="1:12" x14ac:dyDescent="0.2">
      <c r="C176" s="136">
        <f>'HDD and CDD'!X7</f>
        <v>510.37210526315812</v>
      </c>
      <c r="D176" s="136">
        <f>'HDD and CDD'!X23</f>
        <v>3.6842105263157343E-2</v>
      </c>
      <c r="E176" s="10">
        <v>31</v>
      </c>
      <c r="F176" s="10">
        <v>1</v>
      </c>
      <c r="G176" s="10">
        <v>757596.67833687097</v>
      </c>
      <c r="H176" s="10">
        <v>0</v>
      </c>
      <c r="I176" s="128">
        <v>702.3</v>
      </c>
      <c r="J176" s="10">
        <f t="shared" si="10"/>
        <v>31145843.764689844</v>
      </c>
    </row>
    <row r="177" spans="2:11" x14ac:dyDescent="0.2">
      <c r="C177" s="136">
        <f>'HDD and CDD'!X8</f>
        <v>315.59789473684214</v>
      </c>
      <c r="D177" s="136">
        <f>'HDD and CDD'!X24</f>
        <v>0.56526315789473713</v>
      </c>
      <c r="E177" s="10">
        <v>30</v>
      </c>
      <c r="F177" s="10">
        <v>1</v>
      </c>
      <c r="G177" s="10">
        <v>747446.29405014601</v>
      </c>
      <c r="H177" s="10">
        <v>0</v>
      </c>
      <c r="I177" s="128">
        <v>702.3</v>
      </c>
      <c r="J177" s="10">
        <f t="shared" si="10"/>
        <v>27885120.583017692</v>
      </c>
    </row>
    <row r="178" spans="2:11" x14ac:dyDescent="0.2">
      <c r="C178" s="136">
        <f>'HDD and CDD'!X9</f>
        <v>141.43736842105318</v>
      </c>
      <c r="D178" s="136">
        <f>'HDD and CDD'!X25</f>
        <v>17.665263157894742</v>
      </c>
      <c r="E178" s="10">
        <v>31</v>
      </c>
      <c r="F178" s="10">
        <v>1</v>
      </c>
      <c r="G178" s="10">
        <v>737295.90976342105</v>
      </c>
      <c r="H178" s="10">
        <v>0</v>
      </c>
      <c r="I178" s="128">
        <v>702.3</v>
      </c>
      <c r="J178" s="10">
        <f t="shared" si="10"/>
        <v>28263237.485500261</v>
      </c>
    </row>
    <row r="179" spans="2:11" x14ac:dyDescent="0.2">
      <c r="C179" s="136">
        <f>'HDD and CDD'!X10</f>
        <v>34.498421052631556</v>
      </c>
      <c r="D179" s="136">
        <f>'HDD and CDD'!X26</f>
        <v>51.500526315789557</v>
      </c>
      <c r="E179" s="10">
        <v>30</v>
      </c>
      <c r="F179" s="10">
        <v>0</v>
      </c>
      <c r="G179" s="10">
        <v>727145.52547669609</v>
      </c>
      <c r="H179" s="10">
        <v>1</v>
      </c>
      <c r="I179" s="128">
        <v>702.3</v>
      </c>
      <c r="J179" s="10">
        <f t="shared" si="10"/>
        <v>28857046.440587599</v>
      </c>
    </row>
    <row r="180" spans="2:11" x14ac:dyDescent="0.2">
      <c r="C180" s="136">
        <f>'HDD and CDD'!X11</f>
        <v>3.9294736842106204</v>
      </c>
      <c r="D180" s="136">
        <f>'HDD and CDD'!X27</f>
        <v>115.88631578947343</v>
      </c>
      <c r="E180" s="10">
        <v>31</v>
      </c>
      <c r="F180" s="10">
        <v>0</v>
      </c>
      <c r="G180" s="10">
        <v>716995.14118997112</v>
      </c>
      <c r="H180" s="10">
        <v>1</v>
      </c>
      <c r="I180" s="128">
        <v>702.3</v>
      </c>
      <c r="J180" s="10">
        <f t="shared" si="10"/>
        <v>34152878.545973375</v>
      </c>
    </row>
    <row r="181" spans="2:11" x14ac:dyDescent="0.2">
      <c r="C181" s="136">
        <f>'HDD and CDD'!X12</f>
        <v>8.3178947368421063</v>
      </c>
      <c r="D181" s="136">
        <f>'HDD and CDD'!X28</f>
        <v>79.257894736842076</v>
      </c>
      <c r="E181" s="10">
        <v>31</v>
      </c>
      <c r="F181" s="10">
        <v>0</v>
      </c>
      <c r="G181" s="10">
        <v>706844.75690324616</v>
      </c>
      <c r="H181" s="10">
        <v>1</v>
      </c>
      <c r="I181" s="128">
        <v>702.3</v>
      </c>
      <c r="J181" s="10">
        <f t="shared" si="10"/>
        <v>31680225.521837402</v>
      </c>
    </row>
    <row r="182" spans="2:11" x14ac:dyDescent="0.2">
      <c r="C182" s="136">
        <f>'HDD and CDD'!X13</f>
        <v>74.588947368421032</v>
      </c>
      <c r="D182" s="136">
        <f>'HDD and CDD'!X29</f>
        <v>25.895789473684204</v>
      </c>
      <c r="E182" s="10">
        <v>30</v>
      </c>
      <c r="F182" s="10">
        <v>1</v>
      </c>
      <c r="G182" s="10">
        <v>696694.3726165212</v>
      </c>
      <c r="H182" s="10">
        <v>0</v>
      </c>
      <c r="I182" s="128">
        <v>702.3</v>
      </c>
      <c r="J182" s="10">
        <f t="shared" si="10"/>
        <v>27074534.335029777</v>
      </c>
    </row>
    <row r="183" spans="2:11" x14ac:dyDescent="0.2">
      <c r="C183" s="136">
        <f>'HDD and CDD'!X14</f>
        <v>249.64789473684209</v>
      </c>
      <c r="D183" s="136">
        <f>'HDD and CDD'!X30</f>
        <v>2.1500000000000057</v>
      </c>
      <c r="E183" s="10">
        <v>31</v>
      </c>
      <c r="F183" s="10">
        <v>1</v>
      </c>
      <c r="G183" s="10">
        <v>686543.98832979624</v>
      </c>
      <c r="H183" s="10">
        <v>0</v>
      </c>
      <c r="I183" s="128">
        <v>702.3</v>
      </c>
      <c r="J183" s="10">
        <f t="shared" si="10"/>
        <v>28554312.216371458</v>
      </c>
    </row>
    <row r="184" spans="2:11" x14ac:dyDescent="0.2">
      <c r="C184" s="136">
        <f>'HDD and CDD'!X15</f>
        <v>398.16052631578987</v>
      </c>
      <c r="D184" s="136">
        <f>'HDD and CDD'!X31</f>
        <v>0</v>
      </c>
      <c r="E184" s="10">
        <v>30</v>
      </c>
      <c r="F184" s="10">
        <v>1</v>
      </c>
      <c r="G184" s="10">
        <v>676393.60404307127</v>
      </c>
      <c r="H184" s="10">
        <v>0</v>
      </c>
      <c r="I184" s="128">
        <v>702.3</v>
      </c>
      <c r="J184" s="10">
        <f t="shared" si="10"/>
        <v>28987447.632099159</v>
      </c>
    </row>
    <row r="185" spans="2:11" x14ac:dyDescent="0.2">
      <c r="C185" s="136">
        <f>'HDD and CDD'!X16</f>
        <v>596.22789473684225</v>
      </c>
      <c r="D185" s="136">
        <f>'HDD and CDD'!X32</f>
        <v>0</v>
      </c>
      <c r="E185" s="10">
        <v>31</v>
      </c>
      <c r="F185" s="10">
        <v>0</v>
      </c>
      <c r="G185" s="10">
        <v>666243.21975634631</v>
      </c>
      <c r="H185" s="10">
        <v>0</v>
      </c>
      <c r="I185" s="128">
        <v>702.3</v>
      </c>
      <c r="J185" s="10">
        <f t="shared" si="10"/>
        <v>34689430.588892594</v>
      </c>
      <c r="K185" s="42">
        <f>SUM(J174:J185)</f>
        <v>367853480.74548596</v>
      </c>
    </row>
    <row r="186" spans="2:11" x14ac:dyDescent="0.2">
      <c r="I186" s="42"/>
    </row>
    <row r="188" spans="2:11" x14ac:dyDescent="0.2">
      <c r="B188" s="6" t="s">
        <v>146</v>
      </c>
      <c r="C188" s="154"/>
      <c r="D188" s="154"/>
      <c r="E188" s="154"/>
      <c r="F188" s="154"/>
      <c r="H188" s="154"/>
      <c r="I188" s="154"/>
      <c r="J188" s="154"/>
      <c r="K188" s="154"/>
    </row>
    <row r="189" spans="2:11" x14ac:dyDescent="0.2">
      <c r="C189" s="136">
        <f>'HDD and CDD'!W5</f>
        <v>708.72</v>
      </c>
      <c r="D189" s="136">
        <f>'HDD and CDD'!W21</f>
        <v>0</v>
      </c>
      <c r="E189" s="10">
        <v>31</v>
      </c>
      <c r="F189" s="10">
        <v>0</v>
      </c>
      <c r="G189" s="10">
        <v>777897.4469103209</v>
      </c>
      <c r="H189" s="10">
        <v>0</v>
      </c>
      <c r="I189" s="128">
        <v>702.3</v>
      </c>
      <c r="J189" s="10">
        <f t="shared" ref="J189:J200" si="11">$N$22+C189*$N$23+D189*$N$24+E189*$N$25+F189*$N$26+G189*$N$27+H189*$N$28+I189*$N$29</f>
        <v>35633490.888285302</v>
      </c>
      <c r="K189" s="154"/>
    </row>
    <row r="190" spans="2:11" x14ac:dyDescent="0.2">
      <c r="C190" s="136">
        <f>'HDD and CDD'!W6</f>
        <v>640.09</v>
      </c>
      <c r="D190" s="136">
        <f>'HDD and CDD'!W22</f>
        <v>0</v>
      </c>
      <c r="E190" s="10">
        <v>28</v>
      </c>
      <c r="F190" s="10">
        <v>0</v>
      </c>
      <c r="G190" s="10">
        <v>767747.06262359594</v>
      </c>
      <c r="H190" s="10">
        <v>0</v>
      </c>
      <c r="I190" s="128">
        <v>702.3</v>
      </c>
      <c r="J190" s="10">
        <f t="shared" si="11"/>
        <v>31510646.703125034</v>
      </c>
      <c r="K190" s="154"/>
    </row>
    <row r="191" spans="2:11" x14ac:dyDescent="0.2">
      <c r="C191" s="136">
        <f>'HDD and CDD'!W7</f>
        <v>535.84</v>
      </c>
      <c r="D191" s="136">
        <f>'HDD and CDD'!W23</f>
        <v>0.02</v>
      </c>
      <c r="E191" s="10">
        <v>31</v>
      </c>
      <c r="F191" s="10">
        <v>1</v>
      </c>
      <c r="G191" s="10">
        <v>757596.67833687097</v>
      </c>
      <c r="H191" s="10">
        <v>0</v>
      </c>
      <c r="I191" s="128">
        <v>702.3</v>
      </c>
      <c r="J191" s="10">
        <f t="shared" si="11"/>
        <v>31432556.389302425</v>
      </c>
      <c r="K191" s="154"/>
    </row>
    <row r="192" spans="2:11" x14ac:dyDescent="0.2">
      <c r="C192" s="136">
        <f>'HDD and CDD'!W8</f>
        <v>327.20999999999998</v>
      </c>
      <c r="D192" s="136">
        <f>'HDD and CDD'!W24</f>
        <v>0.25</v>
      </c>
      <c r="E192" s="10">
        <v>30</v>
      </c>
      <c r="F192" s="10">
        <v>1</v>
      </c>
      <c r="G192" s="10">
        <v>747446.29405014601</v>
      </c>
      <c r="H192" s="10">
        <v>0</v>
      </c>
      <c r="I192" s="128">
        <v>702.3</v>
      </c>
      <c r="J192" s="10">
        <f t="shared" si="11"/>
        <v>27994416.919049591</v>
      </c>
      <c r="K192" s="154"/>
    </row>
    <row r="193" spans="3:11" x14ac:dyDescent="0.2">
      <c r="C193" s="136">
        <f>'HDD and CDD'!W9</f>
        <v>157.69999999999999</v>
      </c>
      <c r="D193" s="136">
        <f>'HDD and CDD'!W25</f>
        <v>14.639999999999997</v>
      </c>
      <c r="E193" s="10">
        <v>31</v>
      </c>
      <c r="F193" s="10">
        <v>1</v>
      </c>
      <c r="G193" s="10">
        <v>737295.90976342105</v>
      </c>
      <c r="H193" s="10">
        <v>0</v>
      </c>
      <c r="I193" s="128">
        <v>702.3</v>
      </c>
      <c r="J193" s="10">
        <f t="shared" si="11"/>
        <v>28236287.264776401</v>
      </c>
      <c r="K193" s="154"/>
    </row>
    <row r="194" spans="3:11" x14ac:dyDescent="0.2">
      <c r="C194" s="136">
        <f>'HDD and CDD'!W10</f>
        <v>33.82</v>
      </c>
      <c r="D194" s="136">
        <f>'HDD and CDD'!W26</f>
        <v>56.339999999999996</v>
      </c>
      <c r="E194" s="10">
        <v>30</v>
      </c>
      <c r="F194" s="10">
        <v>0</v>
      </c>
      <c r="G194" s="10">
        <v>727145.52547669609</v>
      </c>
      <c r="H194" s="10">
        <v>1</v>
      </c>
      <c r="I194" s="128">
        <v>702.3</v>
      </c>
      <c r="J194" s="10">
        <f t="shared" si="11"/>
        <v>29186561.383481987</v>
      </c>
      <c r="K194" s="154"/>
    </row>
    <row r="195" spans="3:11" x14ac:dyDescent="0.2">
      <c r="C195" s="136">
        <f>'HDD and CDD'!W11</f>
        <v>5.36</v>
      </c>
      <c r="D195" s="136">
        <f>'HDD and CDD'!W27</f>
        <v>107.35000000000002</v>
      </c>
      <c r="E195" s="10">
        <v>31</v>
      </c>
      <c r="F195" s="10">
        <v>0</v>
      </c>
      <c r="G195" s="10">
        <v>716995.14118997112</v>
      </c>
      <c r="H195" s="10">
        <v>1</v>
      </c>
      <c r="I195" s="128">
        <v>702.3</v>
      </c>
      <c r="J195" s="10">
        <f t="shared" si="11"/>
        <v>33574292.876043223</v>
      </c>
      <c r="K195" s="154"/>
    </row>
    <row r="196" spans="3:11" x14ac:dyDescent="0.2">
      <c r="C196" s="136">
        <f>'HDD and CDD'!W12</f>
        <v>11.340000000000002</v>
      </c>
      <c r="D196" s="136">
        <f>'HDD and CDD'!W28</f>
        <v>75.500000000000014</v>
      </c>
      <c r="E196" s="10">
        <v>31</v>
      </c>
      <c r="F196" s="10">
        <v>0</v>
      </c>
      <c r="G196" s="10">
        <v>706844.75690324616</v>
      </c>
      <c r="H196" s="10">
        <v>1</v>
      </c>
      <c r="I196" s="128">
        <v>702.3</v>
      </c>
      <c r="J196" s="10">
        <f t="shared" si="11"/>
        <v>31452560.847892605</v>
      </c>
      <c r="K196" s="154"/>
    </row>
    <row r="197" spans="3:11" x14ac:dyDescent="0.2">
      <c r="C197" s="136">
        <f>'HDD and CDD'!W13</f>
        <v>74.53</v>
      </c>
      <c r="D197" s="136">
        <f>'HDD and CDD'!W29</f>
        <v>23.21</v>
      </c>
      <c r="E197" s="10">
        <v>30</v>
      </c>
      <c r="F197" s="10">
        <v>1</v>
      </c>
      <c r="G197" s="10">
        <v>696694.3726165212</v>
      </c>
      <c r="H197" s="10">
        <v>0</v>
      </c>
      <c r="I197" s="128">
        <v>702.3</v>
      </c>
      <c r="J197" s="10">
        <f t="shared" si="11"/>
        <v>26886739.279181946</v>
      </c>
      <c r="K197" s="154"/>
    </row>
    <row r="198" spans="3:11" x14ac:dyDescent="0.2">
      <c r="C198" s="136">
        <f>'HDD and CDD'!W14</f>
        <v>250.45</v>
      </c>
      <c r="D198" s="136">
        <f>'HDD and CDD'!W30</f>
        <v>2.1700000000000004</v>
      </c>
      <c r="E198" s="10">
        <v>31</v>
      </c>
      <c r="F198" s="10">
        <v>1</v>
      </c>
      <c r="G198" s="10">
        <v>686543.98832979624</v>
      </c>
      <c r="H198" s="10">
        <v>0</v>
      </c>
      <c r="I198" s="128">
        <v>702.3</v>
      </c>
      <c r="J198" s="10">
        <f t="shared" si="11"/>
        <v>28564772.592315804</v>
      </c>
      <c r="K198" s="154"/>
    </row>
    <row r="199" spans="3:11" x14ac:dyDescent="0.2">
      <c r="C199" s="136">
        <f>'HDD and CDD'!W15</f>
        <v>412.6</v>
      </c>
      <c r="D199" s="136">
        <f>'HDD and CDD'!W31</f>
        <v>0</v>
      </c>
      <c r="E199" s="10">
        <v>30</v>
      </c>
      <c r="F199" s="10">
        <v>1</v>
      </c>
      <c r="G199" s="10">
        <v>676393.60404307127</v>
      </c>
      <c r="H199" s="10">
        <v>0</v>
      </c>
      <c r="I199" s="128">
        <v>702.3</v>
      </c>
      <c r="J199" s="10">
        <f t="shared" si="11"/>
        <v>29150669.737890478</v>
      </c>
      <c r="K199" s="154"/>
    </row>
    <row r="200" spans="3:11" x14ac:dyDescent="0.2">
      <c r="C200" s="136">
        <f>'HDD and CDD'!W16</f>
        <v>608.41999999999996</v>
      </c>
      <c r="D200" s="136">
        <f>'HDD and CDD'!W32</f>
        <v>0</v>
      </c>
      <c r="E200" s="10">
        <v>31</v>
      </c>
      <c r="F200" s="10">
        <v>0</v>
      </c>
      <c r="G200" s="10">
        <v>666243.21975634631</v>
      </c>
      <c r="H200" s="10">
        <v>0</v>
      </c>
      <c r="I200" s="128">
        <v>702.3</v>
      </c>
      <c r="J200" s="10">
        <f t="shared" si="11"/>
        <v>34827248.70737832</v>
      </c>
      <c r="K200" s="42">
        <f>SUM(J189:J200)</f>
        <v>368450243.58872312</v>
      </c>
    </row>
    <row r="201" spans="3:11" x14ac:dyDescent="0.2">
      <c r="I201" s="42"/>
    </row>
  </sheetData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scale="55" orientation="landscape" r:id="rId1"/>
  <headerFooter scaleWithDoc="0" alignWithMargins="0">
    <oddFooter>&amp;L&amp;F
&amp;A&amp;RPage &amp;P of &amp;N</oddFooter>
  </headerFooter>
  <rowBreaks count="2" manualBreakCount="2">
    <brk id="63" max="11" man="1"/>
    <brk id="12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W75"/>
  <sheetViews>
    <sheetView zoomScale="90" zoomScaleNormal="90" workbookViewId="0">
      <pane xSplit="1" ySplit="2" topLeftCell="C33" activePane="bottomRight" state="frozen"/>
      <selection activeCell="H30" sqref="H30"/>
      <selection pane="topRight" activeCell="H30" sqref="H30"/>
      <selection pane="bottomLeft" activeCell="H30" sqref="H30"/>
      <selection pane="bottomRight" activeCell="G66" sqref="G66"/>
    </sheetView>
  </sheetViews>
  <sheetFormatPr defaultRowHeight="12.75" x14ac:dyDescent="0.2"/>
  <cols>
    <col min="1" max="1" width="11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9" width="14.140625" style="6" bestFit="1" customWidth="1"/>
    <col min="10" max="10" width="16.28515625" style="6" customWidth="1"/>
    <col min="11" max="11" width="14.7109375" style="6" customWidth="1"/>
    <col min="12" max="13" width="13.85546875" style="6" bestFit="1" customWidth="1"/>
    <col min="14" max="15" width="12.7109375" style="6" bestFit="1" customWidth="1"/>
    <col min="16" max="16" width="10.7109375" style="6" bestFit="1" customWidth="1"/>
    <col min="17" max="17" width="9.140625" style="6"/>
    <col min="18" max="18" width="11.140625" style="6" bestFit="1" customWidth="1"/>
  </cols>
  <sheetData>
    <row r="2" spans="1:18" ht="42" customHeight="1" x14ac:dyDescent="0.2">
      <c r="B2" s="2" t="s">
        <v>6</v>
      </c>
      <c r="C2" s="2" t="s">
        <v>7</v>
      </c>
      <c r="D2" s="2" t="s">
        <v>40</v>
      </c>
      <c r="E2" s="2" t="s">
        <v>8</v>
      </c>
      <c r="F2" s="2" t="s">
        <v>1</v>
      </c>
      <c r="G2" s="7" t="s">
        <v>2</v>
      </c>
      <c r="H2" s="9" t="s">
        <v>90</v>
      </c>
      <c r="I2" s="9" t="s">
        <v>148</v>
      </c>
      <c r="J2" s="9" t="s">
        <v>132</v>
      </c>
      <c r="K2" s="9" t="s">
        <v>97</v>
      </c>
      <c r="L2" s="9" t="s">
        <v>131</v>
      </c>
      <c r="M2" s="9" t="s">
        <v>147</v>
      </c>
    </row>
    <row r="4" spans="1:18" x14ac:dyDescent="0.2">
      <c r="A4" s="135"/>
      <c r="B4" s="36" t="s">
        <v>42</v>
      </c>
    </row>
    <row r="5" spans="1:18" ht="13.5" thickBot="1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13.5" thickBot="1" x14ac:dyDescent="0.25">
      <c r="H6" s="190" t="s">
        <v>120</v>
      </c>
      <c r="I6" s="191"/>
      <c r="J6" s="191"/>
      <c r="K6" s="191"/>
      <c r="L6" s="191"/>
      <c r="M6" s="192"/>
    </row>
    <row r="7" spans="1:18" x14ac:dyDescent="0.2">
      <c r="A7">
        <f>'Purchased Power Model '!A151</f>
        <v>2003</v>
      </c>
      <c r="B7" s="6">
        <f>'Purchased Power Model '!B151</f>
        <v>377328534.95999986</v>
      </c>
      <c r="C7" s="6">
        <f>'Purchased Power Model '!J151</f>
        <v>381221566.08680987</v>
      </c>
      <c r="D7" s="34">
        <f t="shared" ref="D7:D17" si="0">C7-B7</f>
        <v>3893031.1268100142</v>
      </c>
      <c r="E7" s="5">
        <f t="shared" ref="E7:E17" si="1">D7/B7</f>
        <v>1.0317351501716428E-2</v>
      </c>
      <c r="F7" s="46">
        <f t="shared" ref="F7:F11" si="2">1 +(B7-G7)/G7</f>
        <v>1.0522435938123615</v>
      </c>
      <c r="G7" s="57">
        <f t="shared" ref="G7:G17" si="3">SUM(H7:M7)</f>
        <v>358594281</v>
      </c>
      <c r="H7" s="127">
        <f>94104295+80917261</f>
        <v>175021556</v>
      </c>
      <c r="I7" s="127">
        <f>58877719+429600-691384</f>
        <v>58615935</v>
      </c>
      <c r="J7" s="127">
        <f>121347276-429600+691384</f>
        <v>121609060</v>
      </c>
      <c r="K7" s="127">
        <f>2220905</f>
        <v>2220905</v>
      </c>
      <c r="L7" s="127">
        <v>587864</v>
      </c>
      <c r="M7" s="127">
        <f>538961</f>
        <v>538961</v>
      </c>
      <c r="P7" s="24"/>
      <c r="Q7" s="80"/>
      <c r="R7" s="32"/>
    </row>
    <row r="8" spans="1:18" x14ac:dyDescent="0.2">
      <c r="A8">
        <f>'Purchased Power Model '!A152</f>
        <v>2004</v>
      </c>
      <c r="B8" s="6">
        <f>'Purchased Power Model '!B152</f>
        <v>382256439.04000014</v>
      </c>
      <c r="C8" s="6">
        <f>'Purchased Power Model '!J152</f>
        <v>379503203.08578652</v>
      </c>
      <c r="D8" s="34">
        <f t="shared" si="0"/>
        <v>-2753235.9542136192</v>
      </c>
      <c r="E8" s="5">
        <f t="shared" si="1"/>
        <v>-7.2025888200290449E-3</v>
      </c>
      <c r="F8" s="46">
        <f t="shared" si="2"/>
        <v>1.0549830430857314</v>
      </c>
      <c r="G8" s="57">
        <f t="shared" si="3"/>
        <v>362334202</v>
      </c>
      <c r="H8" s="127">
        <f>93420201+78828037</f>
        <v>172248238</v>
      </c>
      <c r="I8" s="127">
        <f>56982950+290640-934598</f>
        <v>56338992</v>
      </c>
      <c r="J8" s="127">
        <f>129791532-290640+934598</f>
        <v>130435490</v>
      </c>
      <c r="K8" s="127">
        <f>2191755</f>
        <v>2191755</v>
      </c>
      <c r="L8" s="127">
        <v>572369</v>
      </c>
      <c r="M8" s="127">
        <f>547358</f>
        <v>547358</v>
      </c>
      <c r="P8" s="24"/>
      <c r="Q8" s="80"/>
      <c r="R8" s="32"/>
    </row>
    <row r="9" spans="1:18" x14ac:dyDescent="0.2">
      <c r="A9">
        <f>'Purchased Power Model '!A153</f>
        <v>2005</v>
      </c>
      <c r="B9" s="6">
        <f>'Purchased Power Model '!B153</f>
        <v>397949707</v>
      </c>
      <c r="C9" s="6">
        <f>'Purchased Power Model '!J153</f>
        <v>395559949.96057868</v>
      </c>
      <c r="D9" s="34">
        <f t="shared" si="0"/>
        <v>-2389757.03942132</v>
      </c>
      <c r="E9" s="5">
        <f t="shared" si="1"/>
        <v>-6.0051735115897948E-3</v>
      </c>
      <c r="F9" s="46">
        <f t="shared" si="2"/>
        <v>1.0656569754651146</v>
      </c>
      <c r="G9" s="57">
        <f t="shared" si="3"/>
        <v>373431335</v>
      </c>
      <c r="H9" s="127">
        <f>100150217+81314088</f>
        <v>181464305</v>
      </c>
      <c r="I9" s="127">
        <f>25037041+30102089+4667767-264154-249749+205440-968864</f>
        <v>58529570</v>
      </c>
      <c r="J9" s="127">
        <f>30778778+27095233-4667767+76236616-205440+968864</f>
        <v>130206284</v>
      </c>
      <c r="K9" s="127">
        <f>2177588</f>
        <v>2177588</v>
      </c>
      <c r="L9" s="127">
        <v>539685</v>
      </c>
      <c r="M9" s="127">
        <f>264154+249749</f>
        <v>513903</v>
      </c>
      <c r="P9" s="24"/>
      <c r="Q9" s="80"/>
      <c r="R9" s="32"/>
    </row>
    <row r="10" spans="1:18" x14ac:dyDescent="0.2">
      <c r="A10">
        <f>'Purchased Power Model '!A154</f>
        <v>2006</v>
      </c>
      <c r="B10" s="6">
        <f>'Purchased Power Model '!B154</f>
        <v>378534757</v>
      </c>
      <c r="C10" s="6">
        <f>'Purchased Power Model '!J154</f>
        <v>378472421.53347081</v>
      </c>
      <c r="D10" s="34">
        <f t="shared" si="0"/>
        <v>-62335.46652919054</v>
      </c>
      <c r="E10" s="5">
        <f t="shared" si="1"/>
        <v>-1.6467567476027186E-4</v>
      </c>
      <c r="F10" s="46">
        <f t="shared" si="2"/>
        <v>1.0535008974572106</v>
      </c>
      <c r="G10" s="57">
        <f t="shared" si="3"/>
        <v>359311281</v>
      </c>
      <c r="H10" s="127">
        <f>94857940+76680692</f>
        <v>171538632</v>
      </c>
      <c r="I10" s="127">
        <f>56022743+1457794-178345+411240-991548</f>
        <v>56721884</v>
      </c>
      <c r="J10" s="127">
        <f>35765479+10255059+9021034-1457794+73630083-411240+991548</f>
        <v>127794169</v>
      </c>
      <c r="K10" s="127">
        <v>2232308</v>
      </c>
      <c r="L10" s="127">
        <v>516624</v>
      </c>
      <c r="M10" s="127">
        <f>329319+178345</f>
        <v>507664</v>
      </c>
      <c r="P10" s="24"/>
      <c r="Q10" s="80"/>
      <c r="R10" s="32"/>
    </row>
    <row r="11" spans="1:18" x14ac:dyDescent="0.2">
      <c r="A11">
        <f>'Purchased Power Model '!A155</f>
        <v>2007</v>
      </c>
      <c r="B11" s="6">
        <f>'Purchased Power Model '!B155</f>
        <v>385126910.3599999</v>
      </c>
      <c r="C11" s="6">
        <f>'Purchased Power Model '!J155</f>
        <v>383318890.8826375</v>
      </c>
      <c r="D11" s="34">
        <f t="shared" si="0"/>
        <v>-1808019.4773623943</v>
      </c>
      <c r="E11" s="5">
        <f t="shared" si="1"/>
        <v>-4.6946069690958136E-3</v>
      </c>
      <c r="F11" s="46">
        <f t="shared" si="2"/>
        <v>1.0687961703016211</v>
      </c>
      <c r="G11" s="57">
        <f t="shared" si="3"/>
        <v>360337098</v>
      </c>
      <c r="H11" s="127">
        <f>96426388+77368939</f>
        <v>173795327</v>
      </c>
      <c r="I11" s="127">
        <f>58537616+470700-1124922</f>
        <v>57883394</v>
      </c>
      <c r="J11" s="127">
        <f>45432558+79284697-470700+1124922</f>
        <v>125371477</v>
      </c>
      <c r="K11" s="127">
        <v>2297657</v>
      </c>
      <c r="L11" s="127">
        <v>489923</v>
      </c>
      <c r="M11" s="127">
        <v>499320</v>
      </c>
      <c r="P11" s="24"/>
      <c r="Q11" s="80"/>
      <c r="R11" s="32"/>
    </row>
    <row r="12" spans="1:18" x14ac:dyDescent="0.2">
      <c r="A12">
        <f>'Purchased Power Model '!A156</f>
        <v>2008</v>
      </c>
      <c r="B12" s="6">
        <f>'Purchased Power Model '!B156</f>
        <v>376481613.95999986</v>
      </c>
      <c r="C12" s="6">
        <f>'Purchased Power Model '!J156</f>
        <v>380130927.61278176</v>
      </c>
      <c r="D12" s="34">
        <f t="shared" si="0"/>
        <v>3649313.6527819037</v>
      </c>
      <c r="E12" s="5">
        <f t="shared" si="1"/>
        <v>9.6932055045047521E-3</v>
      </c>
      <c r="F12" s="46">
        <f t="shared" ref="F12:F17" si="4">1 +(B12-G12)/G12</f>
        <v>1.0692941107967595</v>
      </c>
      <c r="G12" s="57">
        <f t="shared" si="3"/>
        <v>352084249</v>
      </c>
      <c r="H12" s="127">
        <f>95289153+76491943</f>
        <v>171781096</v>
      </c>
      <c r="I12" s="127">
        <f>58711522+444780-1326286</f>
        <v>57830016</v>
      </c>
      <c r="J12" s="127">
        <f>31081627+87223389-444780+1326286</f>
        <v>119186522</v>
      </c>
      <c r="K12" s="127">
        <v>2328757</v>
      </c>
      <c r="L12" s="127">
        <v>475594</v>
      </c>
      <c r="M12" s="127">
        <v>482264</v>
      </c>
      <c r="P12" s="24"/>
      <c r="Q12" s="80"/>
      <c r="R12" s="32"/>
    </row>
    <row r="13" spans="1:18" x14ac:dyDescent="0.2">
      <c r="A13">
        <f>'Purchased Power Model '!A157</f>
        <v>2009</v>
      </c>
      <c r="B13" s="6">
        <f>'Purchased Power Model '!B157</f>
        <v>357880922.79999995</v>
      </c>
      <c r="C13" s="6">
        <f>'Purchased Power Model '!J157</f>
        <v>358216548.26712191</v>
      </c>
      <c r="D13" s="34">
        <f t="shared" si="0"/>
        <v>335625.46712195873</v>
      </c>
      <c r="E13" s="5">
        <f t="shared" si="1"/>
        <v>9.3781323825836173E-4</v>
      </c>
      <c r="F13" s="46">
        <f t="shared" si="4"/>
        <v>1.0571868609617969</v>
      </c>
      <c r="G13" s="57">
        <f t="shared" si="3"/>
        <v>338521917</v>
      </c>
      <c r="H13" s="138">
        <v>168226691</v>
      </c>
      <c r="I13" s="138">
        <f>57269262+374576-1539920</f>
        <v>56103918</v>
      </c>
      <c r="J13" s="138">
        <f>29526000+80244756-374576+1539920</f>
        <v>110936100</v>
      </c>
      <c r="K13" s="138">
        <f>2312050-(679*9)</f>
        <v>2305939</v>
      </c>
      <c r="L13" s="138">
        <v>467767</v>
      </c>
      <c r="M13" s="138">
        <v>481502</v>
      </c>
      <c r="P13" s="24"/>
      <c r="Q13" s="80"/>
      <c r="R13" s="32"/>
    </row>
    <row r="14" spans="1:18" x14ac:dyDescent="0.2">
      <c r="A14">
        <f>'Purchased Power Model '!A158</f>
        <v>2010</v>
      </c>
      <c r="B14" s="6">
        <f>'Purchased Power Model '!B158</f>
        <v>371940958.76999992</v>
      </c>
      <c r="C14" s="6">
        <f>'Purchased Power Model '!J158</f>
        <v>366599515.16136503</v>
      </c>
      <c r="D14" s="34">
        <f t="shared" si="0"/>
        <v>-5341443.6086348891</v>
      </c>
      <c r="E14" s="5">
        <f t="shared" si="1"/>
        <v>-1.4360998654998682E-2</v>
      </c>
      <c r="F14" s="46">
        <f t="shared" si="4"/>
        <v>1.0675385619255351</v>
      </c>
      <c r="G14" s="57">
        <f t="shared" si="3"/>
        <v>348409858</v>
      </c>
      <c r="H14" s="138">
        <v>172161499</v>
      </c>
      <c r="I14" s="138">
        <f>57658761+339971-1816640</f>
        <v>56182092</v>
      </c>
      <c r="J14" s="138">
        <f>28844795+86639548-339971+1816640</f>
        <v>116961012</v>
      </c>
      <c r="K14" s="138">
        <f>2258028-(679*12)</f>
        <v>2249880</v>
      </c>
      <c r="L14" s="138">
        <v>401194</v>
      </c>
      <c r="M14" s="138">
        <v>454181</v>
      </c>
      <c r="P14" s="24"/>
      <c r="Q14" s="80"/>
      <c r="R14" s="32"/>
    </row>
    <row r="15" spans="1:18" x14ac:dyDescent="0.2">
      <c r="A15">
        <f>'Purchased Power Model '!A159</f>
        <v>2011</v>
      </c>
      <c r="B15" s="6">
        <f>'Purchased Power Model '!B159</f>
        <v>374153148.51000005</v>
      </c>
      <c r="C15" s="6">
        <f>'Purchased Power Model '!J159</f>
        <v>376249326.34530771</v>
      </c>
      <c r="D15" s="34">
        <f t="shared" si="0"/>
        <v>2096177.8353076577</v>
      </c>
      <c r="E15" s="5">
        <f t="shared" si="1"/>
        <v>5.6024594304640279E-3</v>
      </c>
      <c r="F15" s="46">
        <f t="shared" si="4"/>
        <v>1.0691557694468869</v>
      </c>
      <c r="G15" s="57">
        <f t="shared" si="3"/>
        <v>349951952</v>
      </c>
      <c r="H15" s="138">
        <v>171241285</v>
      </c>
      <c r="I15" s="138">
        <f>57101452+682037-1904708</f>
        <v>55878781</v>
      </c>
      <c r="J15" s="138">
        <f>29326720+89216393-682037+1904708</f>
        <v>119765784</v>
      </c>
      <c r="K15" s="138">
        <f>2281811-(679*12)</f>
        <v>2273663</v>
      </c>
      <c r="L15" s="138">
        <v>385924</v>
      </c>
      <c r="M15" s="138">
        <v>406515</v>
      </c>
      <c r="P15" s="24"/>
      <c r="Q15" s="80"/>
      <c r="R15" s="32"/>
    </row>
    <row r="16" spans="1:18" x14ac:dyDescent="0.2">
      <c r="A16">
        <f>'Purchased Power Model '!A160</f>
        <v>2012</v>
      </c>
      <c r="B16" s="6">
        <f>'Purchased Power Model '!B160</f>
        <v>368113990.29000002</v>
      </c>
      <c r="C16" s="6">
        <f>'Purchased Power Model '!J160</f>
        <v>374594644.65462887</v>
      </c>
      <c r="D16" s="34">
        <f t="shared" si="0"/>
        <v>6480654.3646288514</v>
      </c>
      <c r="E16" s="5">
        <f t="shared" si="1"/>
        <v>1.7605020552257183E-2</v>
      </c>
      <c r="F16" s="46">
        <f t="shared" si="4"/>
        <v>1.0682658139062413</v>
      </c>
      <c r="G16" s="57">
        <f t="shared" si="3"/>
        <v>344590256</v>
      </c>
      <c r="H16" s="138">
        <v>168308353</v>
      </c>
      <c r="I16" s="138">
        <f>56019870+813048-1985174</f>
        <v>54847744</v>
      </c>
      <c r="J16" s="138">
        <f>27720179+89400018-813048+1985174</f>
        <v>118292323</v>
      </c>
      <c r="K16" s="138">
        <f>2398127-(679*12)</f>
        <v>2389979</v>
      </c>
      <c r="L16" s="138">
        <v>361875</v>
      </c>
      <c r="M16" s="138">
        <v>389982</v>
      </c>
      <c r="P16" s="24"/>
      <c r="Q16" s="80"/>
      <c r="R16" s="32"/>
    </row>
    <row r="17" spans="1:18" x14ac:dyDescent="0.2">
      <c r="A17">
        <f>'Purchased Power Model '!A161</f>
        <v>2013</v>
      </c>
      <c r="B17" s="6">
        <f>'Purchased Power Model '!B161</f>
        <v>370600659</v>
      </c>
      <c r="C17" s="6">
        <f>'Purchased Power Model '!J161</f>
        <v>366500648.09950864</v>
      </c>
      <c r="D17" s="34">
        <f t="shared" si="0"/>
        <v>-4100010.9004913568</v>
      </c>
      <c r="E17" s="5">
        <f t="shared" si="1"/>
        <v>-1.1063150593294969E-2</v>
      </c>
      <c r="F17" s="46">
        <f t="shared" si="4"/>
        <v>1.0649968796307867</v>
      </c>
      <c r="G17" s="26">
        <f t="shared" si="3"/>
        <v>347982859</v>
      </c>
      <c r="H17" s="138">
        <v>169969351</v>
      </c>
      <c r="I17" s="138">
        <v>54795842</v>
      </c>
      <c r="J17" s="138">
        <v>120153846</v>
      </c>
      <c r="K17" s="138">
        <v>2355438</v>
      </c>
      <c r="L17" s="138">
        <v>343914</v>
      </c>
      <c r="M17" s="138">
        <v>364468</v>
      </c>
      <c r="P17" s="24"/>
      <c r="Q17" s="80"/>
      <c r="R17" s="32"/>
    </row>
    <row r="18" spans="1:18" x14ac:dyDescent="0.2">
      <c r="A18">
        <f>'Purchased Power Model '!A162</f>
        <v>2014</v>
      </c>
      <c r="B18" s="6"/>
      <c r="C18" s="6">
        <f>'Purchased Power Model '!J162</f>
        <v>368597104.14244461</v>
      </c>
      <c r="D18" s="34"/>
      <c r="E18" s="5"/>
      <c r="F18" s="46"/>
      <c r="G18" s="140">
        <f>C18/$F$21</f>
        <v>345928812.09642518</v>
      </c>
      <c r="H18" s="76">
        <f>(G18-$G$17)/$G$17</f>
        <v>-5.9027243740612644E-3</v>
      </c>
      <c r="I18" s="26"/>
      <c r="J18" s="26"/>
      <c r="K18" s="26"/>
      <c r="L18" s="26"/>
      <c r="M18" s="26"/>
      <c r="P18" s="24"/>
      <c r="Q18" s="80"/>
      <c r="R18" s="32"/>
    </row>
    <row r="19" spans="1:18" x14ac:dyDescent="0.2">
      <c r="B19" s="6"/>
      <c r="C19" s="6"/>
    </row>
    <row r="21" spans="1:18" x14ac:dyDescent="0.2">
      <c r="A21" s="19" t="s">
        <v>137</v>
      </c>
      <c r="F21" s="46">
        <f>AVERAGE(F13:F17)+0.0001</f>
        <v>1.0655287771742494</v>
      </c>
    </row>
    <row r="22" spans="1:18" x14ac:dyDescent="0.2">
      <c r="E22"/>
      <c r="F22"/>
      <c r="G22"/>
    </row>
    <row r="24" spans="1:18" x14ac:dyDescent="0.2">
      <c r="A24" s="21" t="s">
        <v>15</v>
      </c>
      <c r="B24" s="13"/>
      <c r="H24" s="26"/>
      <c r="I24" s="26"/>
      <c r="J24" s="26"/>
      <c r="K24" s="26"/>
      <c r="L24" s="26"/>
    </row>
    <row r="25" spans="1:18" x14ac:dyDescent="0.2">
      <c r="H25" s="26"/>
      <c r="I25" s="26"/>
      <c r="J25" s="26"/>
      <c r="K25" s="26"/>
      <c r="L25" s="26"/>
    </row>
    <row r="26" spans="1:18" x14ac:dyDescent="0.2">
      <c r="A26">
        <f t="shared" ref="A26:A37" si="5">A7</f>
        <v>2003</v>
      </c>
      <c r="H26" s="26">
        <f>H7/'Rate Class Customer Model'!B3</f>
        <v>9952.8891669036111</v>
      </c>
      <c r="I26" s="26">
        <f>I7/'Rate Class Customer Model'!C3</f>
        <v>25686.211656441719</v>
      </c>
      <c r="J26" s="26">
        <f>J7/'Rate Class Customer Model'!D3</f>
        <v>774580</v>
      </c>
      <c r="K26" s="26">
        <f>K7/'Rate Class Customer Model'!E3</f>
        <v>818.61592333210467</v>
      </c>
      <c r="L26" s="26">
        <f>L7/'Rate Class Customer Model'!F3</f>
        <v>685.95565927654604</v>
      </c>
      <c r="M26" s="26">
        <f>M7/'Rate Class Customer Model'!G3</f>
        <v>6124.556818181818</v>
      </c>
    </row>
    <row r="27" spans="1:18" x14ac:dyDescent="0.2">
      <c r="A27">
        <f t="shared" si="5"/>
        <v>2004</v>
      </c>
      <c r="H27" s="26">
        <f>H8/'Rate Class Customer Model'!B4</f>
        <v>9689.9323807380733</v>
      </c>
      <c r="I27" s="26">
        <f>I8/'Rate Class Customer Model'!C4</f>
        <v>24537.88850174216</v>
      </c>
      <c r="J27" s="26">
        <f>J8/'Rate Class Customer Model'!D4</f>
        <v>830799.29936305736</v>
      </c>
      <c r="K27" s="26">
        <f>K8/'Rate Class Customer Model'!E4</f>
        <v>789.25279078141875</v>
      </c>
      <c r="L27" s="26">
        <f>L8/'Rate Class Customer Model'!F4</f>
        <v>785.14266117969817</v>
      </c>
      <c r="M27" s="26">
        <f>M8/'Rate Class Customer Model'!G4</f>
        <v>6757.5061728395058</v>
      </c>
    </row>
    <row r="28" spans="1:18" x14ac:dyDescent="0.2">
      <c r="A28">
        <f t="shared" si="5"/>
        <v>2005</v>
      </c>
      <c r="H28" s="26">
        <f>H9/'Rate Class Customer Model'!B5</f>
        <v>10141.636673559493</v>
      </c>
      <c r="I28" s="26">
        <f>I9/'Rate Class Customer Model'!C5</f>
        <v>25184.840791738381</v>
      </c>
      <c r="J28" s="26">
        <f>J9/'Rate Class Customer Model'!D5</f>
        <v>829339.38853503182</v>
      </c>
      <c r="K28" s="26">
        <f>K9/'Rate Class Customer Model'!E5</f>
        <v>787.83936324167871</v>
      </c>
      <c r="L28" s="26">
        <f>L9/'Rate Class Customer Model'!F5</f>
        <v>765.51063829787233</v>
      </c>
      <c r="M28" s="26">
        <f>M9/'Rate Class Customer Model'!G5</f>
        <v>5906.9310344827591</v>
      </c>
    </row>
    <row r="29" spans="1:18" x14ac:dyDescent="0.2">
      <c r="A29">
        <f t="shared" si="5"/>
        <v>2006</v>
      </c>
      <c r="H29" s="26">
        <f>H10/'Rate Class Customer Model'!B6</f>
        <v>9516.1784089648281</v>
      </c>
      <c r="I29" s="26">
        <f>I10/'Rate Class Customer Model'!C6</f>
        <v>24544.302899177845</v>
      </c>
      <c r="J29" s="26">
        <f>J10/'Rate Class Customer Model'!D6</f>
        <v>813975.59872611461</v>
      </c>
      <c r="K29" s="26">
        <f>K10/'Rate Class Customer Model'!E6</f>
        <v>809.39376359680932</v>
      </c>
      <c r="L29" s="26">
        <f>L10/'Rate Class Customer Model'!F6</f>
        <v>745.48917748917745</v>
      </c>
      <c r="M29" s="26">
        <f>M10/'Rate Class Customer Model'!G6</f>
        <v>5768.909090909091</v>
      </c>
    </row>
    <row r="30" spans="1:18" x14ac:dyDescent="0.2">
      <c r="A30">
        <f t="shared" si="5"/>
        <v>2007</v>
      </c>
      <c r="D30" s="6"/>
      <c r="H30" s="26">
        <f>H11/'Rate Class Customer Model'!B7</f>
        <v>9581.3069628976245</v>
      </c>
      <c r="I30" s="26">
        <f>I11/'Rate Class Customer Model'!C7</f>
        <v>24789.46209850107</v>
      </c>
      <c r="J30" s="26">
        <f>J11/'Rate Class Customer Model'!D7</f>
        <v>876723.61538461538</v>
      </c>
      <c r="K30" s="26">
        <f>K11/'Rate Class Customer Model'!E7</f>
        <v>822.35397279885467</v>
      </c>
      <c r="L30" s="26">
        <f>L11/'Rate Class Customer Model'!F7</f>
        <v>736.72631578947369</v>
      </c>
      <c r="M30" s="26">
        <f>M11/'Rate Class Customer Model'!G7</f>
        <v>5944.2857142857147</v>
      </c>
    </row>
    <row r="31" spans="1:18" x14ac:dyDescent="0.2">
      <c r="A31">
        <f t="shared" si="5"/>
        <v>2008</v>
      </c>
      <c r="H31" s="26">
        <f>H12/'Rate Class Customer Model'!B8</f>
        <v>9415.2423129624549</v>
      </c>
      <c r="I31" s="26">
        <f>I12/'Rate Class Customer Model'!C8</f>
        <v>24682.038412291935</v>
      </c>
      <c r="J31" s="26">
        <f>J12/'Rate Class Customer Model'!D8</f>
        <v>821976.0137931034</v>
      </c>
      <c r="K31" s="26">
        <f>K12/'Rate Class Customer Model'!E8</f>
        <v>808.87704063911076</v>
      </c>
      <c r="L31" s="26">
        <f>L12/'Rate Class Customer Model'!F8</f>
        <v>735.07573415765069</v>
      </c>
      <c r="M31" s="26">
        <f>M12/'Rate Class Customer Model'!G8</f>
        <v>5741.2380952380954</v>
      </c>
    </row>
    <row r="32" spans="1:18" x14ac:dyDescent="0.2">
      <c r="A32">
        <f t="shared" si="5"/>
        <v>2009</v>
      </c>
      <c r="H32" s="26">
        <f>H13/'Rate Class Customer Model'!B9</f>
        <v>9188.1965699929005</v>
      </c>
      <c r="I32" s="26">
        <f>I13/'Rate Class Customer Model'!C9</f>
        <v>23632.652906486943</v>
      </c>
      <c r="J32" s="26">
        <f>J13/'Rate Class Customer Model'!D9</f>
        <v>770389.58333333337</v>
      </c>
      <c r="K32" s="26">
        <f>K13/'Rate Class Customer Model'!E9</f>
        <v>802.90355153203348</v>
      </c>
      <c r="L32" s="26">
        <f>L13/'Rate Class Customer Model'!F9</f>
        <v>713.0594512195122</v>
      </c>
      <c r="M32" s="26">
        <f>M13/'Rate Class Customer Model'!G9</f>
        <v>5732.166666666667</v>
      </c>
    </row>
    <row r="33" spans="1:23" x14ac:dyDescent="0.2">
      <c r="A33">
        <f t="shared" si="5"/>
        <v>2010</v>
      </c>
      <c r="H33" s="26">
        <f>H14/'Rate Class Customer Model'!B10</f>
        <v>9323.6663417275922</v>
      </c>
      <c r="I33" s="26">
        <f>I14/'Rate Class Customer Model'!C10</f>
        <v>23775.747778247991</v>
      </c>
      <c r="J33" s="26">
        <f>J14/'Rate Class Customer Model'!D10</f>
        <v>817909.17482517485</v>
      </c>
      <c r="K33" s="26">
        <f>K14/'Rate Class Customer Model'!E10</f>
        <v>746.22885572139307</v>
      </c>
      <c r="L33" s="26">
        <f>L14/'Rate Class Customer Model'!F10</f>
        <v>675.41077441077437</v>
      </c>
      <c r="M33" s="26">
        <f>M14/'Rate Class Customer Model'!G10</f>
        <v>5822.833333333333</v>
      </c>
    </row>
    <row r="34" spans="1:23" x14ac:dyDescent="0.2">
      <c r="A34">
        <f t="shared" si="5"/>
        <v>2011</v>
      </c>
      <c r="H34" s="26">
        <f>H15/'Rate Class Customer Model'!B11</f>
        <v>9240.8010900652953</v>
      </c>
      <c r="I34" s="26">
        <f>I15/'Rate Class Customer Model'!C11</f>
        <v>23478.479411764707</v>
      </c>
      <c r="J34" s="26">
        <f>J15/'Rate Class Customer Model'!D11</f>
        <v>825970.92413793108</v>
      </c>
      <c r="K34" s="26">
        <f>K15/'Rate Class Customer Model'!E11</f>
        <v>767.35167060411743</v>
      </c>
      <c r="L34" s="26">
        <f>L15/'Rate Class Customer Model'!F11</f>
        <v>680.64197530864203</v>
      </c>
      <c r="M34" s="26">
        <f>M15/'Rate Class Customer Model'!G11</f>
        <v>5348.8815789473683</v>
      </c>
    </row>
    <row r="35" spans="1:23" x14ac:dyDescent="0.2">
      <c r="A35">
        <f t="shared" si="5"/>
        <v>2012</v>
      </c>
      <c r="H35" s="26">
        <f>H16/'Rate Class Customer Model'!B12</f>
        <v>9040.5732932266201</v>
      </c>
      <c r="I35" s="26">
        <f>I16/'Rate Class Customer Model'!C12</f>
        <v>23399.208191126279</v>
      </c>
      <c r="J35" s="26">
        <f>J16/'Rate Class Customer Model'!D12</f>
        <v>788615.48666666669</v>
      </c>
      <c r="K35" s="26">
        <f>K16/'Rate Class Customer Model'!E12</f>
        <v>801.46847753185784</v>
      </c>
      <c r="L35" s="26">
        <f>L16/'Rate Class Customer Model'!F12</f>
        <v>676.40186915887853</v>
      </c>
      <c r="M35" s="26">
        <f>M16/'Rate Class Customer Model'!G12</f>
        <v>5342.2191780821922</v>
      </c>
    </row>
    <row r="36" spans="1:23" x14ac:dyDescent="0.2">
      <c r="A36">
        <f t="shared" si="5"/>
        <v>2013</v>
      </c>
      <c r="H36" s="26">
        <f>H17/'Rate Class Customer Model'!B13</f>
        <v>9081.0146390981463</v>
      </c>
      <c r="I36" s="26">
        <f>I17/'Rate Class Customer Model'!C13</f>
        <v>23397.029035012809</v>
      </c>
      <c r="J36" s="26">
        <f>J17/'Rate Class Customer Model'!D13</f>
        <v>760467.37974683545</v>
      </c>
      <c r="K36" s="26">
        <f>K17/'Rate Class Customer Model'!E13</f>
        <v>791.21195834732953</v>
      </c>
      <c r="L36" s="26">
        <f>L17/'Rate Class Customer Model'!F13</f>
        <v>660.10364683301339</v>
      </c>
      <c r="M36" s="26">
        <f>M17/'Rate Class Customer Model'!G13</f>
        <v>5282.144927536232</v>
      </c>
    </row>
    <row r="37" spans="1:23" x14ac:dyDescent="0.2">
      <c r="A37">
        <f t="shared" si="5"/>
        <v>2014</v>
      </c>
      <c r="B37" s="81"/>
      <c r="C37" s="81"/>
      <c r="D37" s="81"/>
      <c r="E37" s="81"/>
      <c r="F37" s="81"/>
      <c r="H37" s="140">
        <f>H36*H51</f>
        <v>8998.1431203236607</v>
      </c>
      <c r="I37" s="140">
        <f>I36*I51</f>
        <v>23179.644964486048</v>
      </c>
      <c r="J37" s="140">
        <f>J36*J51</f>
        <v>759070.33772566728</v>
      </c>
      <c r="K37" s="140">
        <f>K36</f>
        <v>791.21195834732953</v>
      </c>
      <c r="L37" s="140">
        <f>L36*L51</f>
        <v>647.50245014813868</v>
      </c>
      <c r="M37" s="140">
        <f>M36*M51</f>
        <v>5204.5582955116606</v>
      </c>
    </row>
    <row r="39" spans="1:23" x14ac:dyDescent="0.2">
      <c r="A39" s="35">
        <v>2003</v>
      </c>
      <c r="D39" s="6"/>
      <c r="H39" s="24"/>
      <c r="I39" s="24"/>
      <c r="J39" s="24"/>
      <c r="K39" s="24"/>
      <c r="L39" s="24"/>
      <c r="M39" s="24"/>
      <c r="O39" s="76"/>
      <c r="P39" s="76"/>
      <c r="Q39" s="76"/>
      <c r="R39" s="76"/>
      <c r="S39" s="76"/>
      <c r="T39" s="76"/>
      <c r="U39" s="76"/>
      <c r="V39" s="76"/>
      <c r="W39" s="76"/>
    </row>
    <row r="40" spans="1:23" x14ac:dyDescent="0.2">
      <c r="A40" s="35">
        <v>2004</v>
      </c>
      <c r="D40" s="6"/>
      <c r="H40" s="24">
        <f t="shared" ref="H40:M49" si="6">H27/H26</f>
        <v>0.97357985387399382</v>
      </c>
      <c r="I40" s="24">
        <f t="shared" si="6"/>
        <v>0.95529418000370725</v>
      </c>
      <c r="J40" s="24">
        <f t="shared" si="6"/>
        <v>1.0725803653115977</v>
      </c>
      <c r="K40" s="24">
        <f t="shared" si="6"/>
        <v>0.96413075813237803</v>
      </c>
      <c r="L40" s="24">
        <f t="shared" si="6"/>
        <v>1.1445968125808033</v>
      </c>
      <c r="M40" s="24">
        <f t="shared" si="6"/>
        <v>1.1033461478843116</v>
      </c>
      <c r="O40" s="76"/>
      <c r="P40" s="76"/>
      <c r="Q40" s="76"/>
      <c r="R40" s="76"/>
      <c r="S40" s="76"/>
      <c r="T40" s="76"/>
      <c r="U40" s="76"/>
      <c r="V40" s="76"/>
      <c r="W40" s="76"/>
    </row>
    <row r="41" spans="1:23" x14ac:dyDescent="0.2">
      <c r="A41" s="35">
        <v>2005</v>
      </c>
      <c r="D41" s="6"/>
      <c r="H41" s="24">
        <f t="shared" si="6"/>
        <v>1.0466158353921364</v>
      </c>
      <c r="I41" s="24">
        <f t="shared" si="6"/>
        <v>1.0263654425665145</v>
      </c>
      <c r="J41" s="24">
        <f t="shared" si="6"/>
        <v>0.99824276353007901</v>
      </c>
      <c r="K41" s="24">
        <f t="shared" si="6"/>
        <v>0.9982091573748626</v>
      </c>
      <c r="L41" s="24">
        <f t="shared" si="6"/>
        <v>0.97499559780342571</v>
      </c>
      <c r="M41" s="24">
        <f t="shared" si="6"/>
        <v>0.87412884034416871</v>
      </c>
      <c r="O41" s="76"/>
      <c r="P41" s="76"/>
      <c r="Q41" s="76"/>
      <c r="R41" s="76"/>
      <c r="S41" s="76"/>
      <c r="T41" s="76"/>
      <c r="U41" s="76"/>
      <c r="V41" s="76"/>
      <c r="W41" s="76"/>
    </row>
    <row r="42" spans="1:23" x14ac:dyDescent="0.2">
      <c r="A42" s="35">
        <v>2006</v>
      </c>
      <c r="D42" s="6"/>
      <c r="H42" s="24">
        <f t="shared" si="6"/>
        <v>0.93832767976935005</v>
      </c>
      <c r="I42" s="24">
        <f t="shared" si="6"/>
        <v>0.9745665300067865</v>
      </c>
      <c r="J42" s="24">
        <f t="shared" si="6"/>
        <v>0.98147466523197913</v>
      </c>
      <c r="K42" s="24">
        <f t="shared" si="6"/>
        <v>1.0273588771528779</v>
      </c>
      <c r="L42" s="24">
        <f t="shared" si="6"/>
        <v>0.97384561388563717</v>
      </c>
      <c r="M42" s="24">
        <f t="shared" si="6"/>
        <v>0.97663389960574443</v>
      </c>
      <c r="O42" s="76"/>
      <c r="P42" s="76"/>
      <c r="Q42" s="76"/>
      <c r="R42" s="76"/>
      <c r="S42" s="76"/>
      <c r="T42" s="76"/>
      <c r="U42" s="76"/>
      <c r="V42" s="76"/>
      <c r="W42" s="76"/>
    </row>
    <row r="43" spans="1:23" x14ac:dyDescent="0.2">
      <c r="A43" s="35">
        <v>2007</v>
      </c>
      <c r="D43" s="6"/>
      <c r="H43" s="24">
        <f t="shared" si="6"/>
        <v>1.0068439820202868</v>
      </c>
      <c r="I43" s="24">
        <f t="shared" si="6"/>
        <v>1.0099884360264897</v>
      </c>
      <c r="J43" s="24">
        <f t="shared" si="6"/>
        <v>1.0770883264273554</v>
      </c>
      <c r="K43" s="24">
        <f t="shared" si="6"/>
        <v>1.0160122424769527</v>
      </c>
      <c r="L43" s="24">
        <f t="shared" si="6"/>
        <v>0.98824548770886622</v>
      </c>
      <c r="M43" s="24">
        <f t="shared" si="6"/>
        <v>1.0304003097661896</v>
      </c>
      <c r="O43" s="76"/>
      <c r="P43" s="76"/>
      <c r="Q43" s="76"/>
      <c r="R43" s="76"/>
      <c r="S43" s="76"/>
      <c r="T43" s="76"/>
      <c r="U43" s="76"/>
      <c r="V43" s="76"/>
      <c r="W43" s="76"/>
    </row>
    <row r="44" spans="1:23" x14ac:dyDescent="0.2">
      <c r="A44" s="35">
        <v>2008</v>
      </c>
      <c r="D44" s="6"/>
      <c r="H44" s="24">
        <f t="shared" si="6"/>
        <v>0.98266784995217937</v>
      </c>
      <c r="I44" s="24">
        <f t="shared" si="6"/>
        <v>0.99566655840363594</v>
      </c>
      <c r="J44" s="24">
        <f t="shared" si="6"/>
        <v>0.93755432084774581</v>
      </c>
      <c r="K44" s="24">
        <f t="shared" si="6"/>
        <v>0.98361176256755278</v>
      </c>
      <c r="L44" s="24">
        <f t="shared" si="6"/>
        <v>0.99775957286111838</v>
      </c>
      <c r="M44" s="24">
        <f t="shared" si="6"/>
        <v>0.96584154450052062</v>
      </c>
      <c r="O44" s="76"/>
      <c r="P44" s="76"/>
      <c r="Q44" s="76"/>
      <c r="R44" s="76"/>
      <c r="S44" s="76"/>
      <c r="T44" s="76"/>
      <c r="U44" s="76"/>
      <c r="V44" s="76"/>
      <c r="W44" s="76"/>
    </row>
    <row r="45" spans="1:23" x14ac:dyDescent="0.2">
      <c r="A45" s="35">
        <v>2009</v>
      </c>
      <c r="D45" s="6"/>
      <c r="H45" s="24">
        <f t="shared" si="6"/>
        <v>0.97588530008866914</v>
      </c>
      <c r="I45" s="24">
        <f t="shared" si="6"/>
        <v>0.95748383953237892</v>
      </c>
      <c r="J45" s="24">
        <f t="shared" si="6"/>
        <v>0.93724095400093432</v>
      </c>
      <c r="K45" s="24">
        <f t="shared" si="6"/>
        <v>0.99261508386694042</v>
      </c>
      <c r="L45" s="24">
        <f t="shared" si="6"/>
        <v>0.97004895969887006</v>
      </c>
      <c r="M45" s="24">
        <f t="shared" si="6"/>
        <v>0.99841995255710569</v>
      </c>
      <c r="O45" s="76"/>
      <c r="P45" s="76"/>
      <c r="Q45" s="76"/>
      <c r="R45" s="76"/>
      <c r="S45" s="76"/>
      <c r="T45" s="76"/>
      <c r="U45" s="76"/>
      <c r="V45" s="76"/>
      <c r="W45" s="76"/>
    </row>
    <row r="46" spans="1:23" x14ac:dyDescent="0.2">
      <c r="A46" s="35">
        <v>2010</v>
      </c>
      <c r="D46" s="6"/>
      <c r="H46" s="24">
        <f t="shared" si="6"/>
        <v>1.0147438913286981</v>
      </c>
      <c r="I46" s="24">
        <f t="shared" si="6"/>
        <v>1.0060549643887746</v>
      </c>
      <c r="J46" s="24">
        <f t="shared" si="6"/>
        <v>1.0616825467528168</v>
      </c>
      <c r="K46" s="24">
        <f t="shared" si="6"/>
        <v>0.92941282212228549</v>
      </c>
      <c r="L46" s="24">
        <f t="shared" si="6"/>
        <v>0.94720120917779149</v>
      </c>
      <c r="M46" s="24">
        <f t="shared" si="6"/>
        <v>1.0158171720989735</v>
      </c>
      <c r="O46" s="76"/>
      <c r="P46" s="76"/>
      <c r="Q46" s="76"/>
      <c r="R46" s="76"/>
      <c r="S46" s="76"/>
      <c r="T46" s="76"/>
      <c r="U46" s="76"/>
      <c r="V46" s="76"/>
      <c r="W46" s="76"/>
    </row>
    <row r="47" spans="1:23" x14ac:dyDescent="0.2">
      <c r="A47" s="35">
        <v>2011</v>
      </c>
      <c r="D47" s="6"/>
      <c r="H47" s="24">
        <f t="shared" si="6"/>
        <v>0.9911123748292624</v>
      </c>
      <c r="I47" s="24">
        <f t="shared" si="6"/>
        <v>0.98749699192404583</v>
      </c>
      <c r="J47" s="24">
        <f t="shared" si="6"/>
        <v>1.0098565336603289</v>
      </c>
      <c r="K47" s="24">
        <f t="shared" si="6"/>
        <v>1.028306081600536</v>
      </c>
      <c r="L47" s="24">
        <f t="shared" si="6"/>
        <v>1.0077452138699317</v>
      </c>
      <c r="M47" s="24">
        <f t="shared" si="6"/>
        <v>0.91860461612858035</v>
      </c>
      <c r="O47" s="76"/>
      <c r="P47" s="76"/>
      <c r="Q47" s="76"/>
      <c r="R47" s="76"/>
      <c r="S47" s="76"/>
      <c r="T47" s="76"/>
      <c r="U47" s="76"/>
      <c r="V47" s="76"/>
      <c r="W47" s="76"/>
    </row>
    <row r="48" spans="1:23" x14ac:dyDescent="0.2">
      <c r="A48" s="35">
        <v>2012</v>
      </c>
      <c r="B48" s="81"/>
      <c r="C48" s="81"/>
      <c r="D48" s="6"/>
      <c r="E48" s="81"/>
      <c r="F48" s="81"/>
      <c r="H48" s="24">
        <f t="shared" si="6"/>
        <v>0.97833220357335271</v>
      </c>
      <c r="I48" s="24">
        <f t="shared" si="6"/>
        <v>0.9966236646229012</v>
      </c>
      <c r="J48" s="24">
        <f t="shared" si="6"/>
        <v>0.95477390743475332</v>
      </c>
      <c r="K48" s="24">
        <f t="shared" si="6"/>
        <v>1.0444604582679557</v>
      </c>
      <c r="L48" s="24">
        <f t="shared" si="6"/>
        <v>0.99377043099958562</v>
      </c>
      <c r="M48" s="24">
        <f t="shared" si="6"/>
        <v>0.99875443104005168</v>
      </c>
      <c r="O48" s="76"/>
      <c r="P48" s="76"/>
      <c r="Q48" s="76"/>
      <c r="R48" s="76"/>
      <c r="S48" s="76"/>
      <c r="T48" s="76"/>
      <c r="U48" s="76"/>
      <c r="V48" s="76"/>
      <c r="W48" s="76"/>
    </row>
    <row r="49" spans="1:23" x14ac:dyDescent="0.2">
      <c r="A49" s="187">
        <v>2013</v>
      </c>
      <c r="B49" s="186"/>
      <c r="C49" s="186"/>
      <c r="D49" s="6"/>
      <c r="E49" s="186"/>
      <c r="F49" s="186"/>
      <c r="H49" s="24">
        <f t="shared" si="6"/>
        <v>1.0044733165209585</v>
      </c>
      <c r="I49" s="24">
        <f t="shared" si="6"/>
        <v>0.99990687051905047</v>
      </c>
      <c r="J49" s="24">
        <f t="shared" si="6"/>
        <v>0.96430693107637522</v>
      </c>
      <c r="K49" s="24">
        <f t="shared" si="6"/>
        <v>0.98720284144410331</v>
      </c>
      <c r="L49" s="24">
        <f t="shared" si="6"/>
        <v>0.97590452796037896</v>
      </c>
      <c r="M49" s="24">
        <f t="shared" si="6"/>
        <v>0.98875481358151118</v>
      </c>
      <c r="O49" s="76"/>
      <c r="P49" s="76"/>
      <c r="Q49" s="76"/>
      <c r="R49" s="76"/>
      <c r="S49" s="76"/>
      <c r="T49" s="76"/>
      <c r="U49" s="76"/>
      <c r="V49" s="76"/>
      <c r="W49" s="76"/>
    </row>
    <row r="50" spans="1:23" x14ac:dyDescent="0.2">
      <c r="A50" s="3"/>
      <c r="D50" s="6"/>
      <c r="E50" s="6"/>
      <c r="F50" s="6"/>
    </row>
    <row r="51" spans="1:23" x14ac:dyDescent="0.2">
      <c r="A51" t="s">
        <v>17</v>
      </c>
      <c r="D51" s="6"/>
      <c r="H51" s="139">
        <f t="shared" ref="H51:L51" si="7">H53</f>
        <v>0.99087420050864317</v>
      </c>
      <c r="I51" s="139">
        <f t="shared" si="7"/>
        <v>0.99070890281832558</v>
      </c>
      <c r="J51" s="139">
        <f t="shared" si="7"/>
        <v>0.99816291657160461</v>
      </c>
      <c r="K51" s="139">
        <f t="shared" si="7"/>
        <v>0.99660087800055064</v>
      </c>
      <c r="L51" s="139">
        <f t="shared" si="7"/>
        <v>0.98091027561303201</v>
      </c>
      <c r="M51" s="139">
        <f>M53</f>
        <v>0.98531152910627162</v>
      </c>
    </row>
    <row r="52" spans="1:23" x14ac:dyDescent="0.2">
      <c r="A52" s="3"/>
      <c r="D52" s="6"/>
      <c r="H52" s="13"/>
      <c r="I52" s="13"/>
      <c r="K52" s="11"/>
      <c r="L52" s="11"/>
      <c r="M52" s="11"/>
    </row>
    <row r="53" spans="1:23" x14ac:dyDescent="0.2">
      <c r="A53" t="s">
        <v>14</v>
      </c>
      <c r="D53" s="6"/>
      <c r="H53" s="24">
        <f>GEOMEAN(H40:H49)</f>
        <v>0.99087420050864317</v>
      </c>
      <c r="I53" s="24">
        <f>GEOMEAN(I40:I49)</f>
        <v>0.99070890281832558</v>
      </c>
      <c r="J53" s="24">
        <f>GEOMEAN(J40:J49)</f>
        <v>0.99816291657160461</v>
      </c>
      <c r="K53" s="24">
        <f>GEOMEAN(K40:K49)</f>
        <v>0.99660087800055064</v>
      </c>
      <c r="L53" s="24">
        <f>GEOMEAN(L41:L49)</f>
        <v>0.98091027561303201</v>
      </c>
      <c r="M53" s="24">
        <f>GEOMEAN(M40:M49)</f>
        <v>0.98531152910627162</v>
      </c>
      <c r="O53" s="76"/>
      <c r="P53" s="76"/>
      <c r="Q53" s="76"/>
      <c r="R53" s="76"/>
      <c r="S53" s="76"/>
      <c r="T53" s="76"/>
      <c r="U53" s="76"/>
      <c r="V53" s="76"/>
      <c r="W53" s="76"/>
    </row>
    <row r="54" spans="1:23" x14ac:dyDescent="0.2">
      <c r="D54" s="6"/>
      <c r="H54" s="24"/>
      <c r="I54" s="24"/>
      <c r="J54" s="24"/>
      <c r="K54" s="24"/>
      <c r="L54" s="24"/>
      <c r="M54" s="24"/>
    </row>
    <row r="55" spans="1:23" x14ac:dyDescent="0.2">
      <c r="A55" s="19" t="s">
        <v>44</v>
      </c>
    </row>
    <row r="56" spans="1:23" x14ac:dyDescent="0.2">
      <c r="A56">
        <v>2013</v>
      </c>
      <c r="B56"/>
      <c r="C56"/>
      <c r="D56"/>
      <c r="G56" s="34">
        <f>SUM(H56:M56)</f>
        <v>347982859</v>
      </c>
      <c r="H56" s="34">
        <f>H36*'Rate Class Customer Model'!B13</f>
        <v>169969351</v>
      </c>
      <c r="I56" s="34">
        <f>I36*'Rate Class Customer Model'!C13</f>
        <v>54795842</v>
      </c>
      <c r="J56" s="34">
        <f>(J36*'Rate Class Customer Model'!D13)</f>
        <v>120153846</v>
      </c>
      <c r="K56" s="34">
        <f>K36*'Rate Class Customer Model'!E13</f>
        <v>2355438</v>
      </c>
      <c r="L56" s="34">
        <f>L36*'Rate Class Customer Model'!F13</f>
        <v>343914</v>
      </c>
      <c r="M56" s="34">
        <f>M36*'Rate Class Customer Model'!G13</f>
        <v>364468</v>
      </c>
    </row>
    <row r="57" spans="1:23" x14ac:dyDescent="0.2">
      <c r="A57">
        <v>2014</v>
      </c>
      <c r="B57" s="81"/>
      <c r="C57" s="81"/>
      <c r="D57" s="81"/>
      <c r="E57" s="81"/>
      <c r="F57" s="81"/>
      <c r="G57" s="34">
        <f>SUM(H57:M57)</f>
        <v>346761584.17577982</v>
      </c>
      <c r="H57" s="34">
        <f>H37*'Rate Class Customer Model'!B14</f>
        <v>169386295.52738211</v>
      </c>
      <c r="I57" s="34">
        <f>I37*'Rate Class Customer Model'!C14</f>
        <v>54339109.417415135</v>
      </c>
      <c r="J57" s="34">
        <f>(J37*'Rate Class Customer Model'!D14)</f>
        <v>120009285.80419958</v>
      </c>
      <c r="K57" s="34">
        <f>K37*'Rate Class Customer Model'!E14</f>
        <v>2355438</v>
      </c>
      <c r="L57" s="34">
        <f>L37*'Rate Class Customer Model'!F14</f>
        <v>320970.28625634481</v>
      </c>
      <c r="M57" s="34">
        <f>M37*'Rate Class Customer Model'!G14</f>
        <v>350485.14052657475</v>
      </c>
    </row>
    <row r="58" spans="1:23" x14ac:dyDescent="0.2">
      <c r="G58" s="34"/>
      <c r="H58" s="34"/>
      <c r="I58" s="34"/>
      <c r="J58" s="34"/>
      <c r="K58" s="34"/>
      <c r="L58" s="34"/>
      <c r="M58" s="34"/>
    </row>
    <row r="59" spans="1:23" x14ac:dyDescent="0.2">
      <c r="A59" s="19" t="s">
        <v>43</v>
      </c>
      <c r="G59" s="34"/>
      <c r="H59" s="34"/>
      <c r="I59" s="34"/>
      <c r="J59" s="34"/>
      <c r="K59" s="34"/>
      <c r="L59" s="34"/>
      <c r="N59" s="34" t="s">
        <v>16</v>
      </c>
    </row>
    <row r="60" spans="1:23" x14ac:dyDescent="0.2">
      <c r="A60">
        <v>2013</v>
      </c>
      <c r="G60" s="188">
        <f>G17</f>
        <v>347982859</v>
      </c>
      <c r="H60" s="34">
        <f>H56+H69</f>
        <v>169969351</v>
      </c>
      <c r="I60" s="34">
        <f t="shared" ref="I60:M60" si="8">I56+I69</f>
        <v>54795842</v>
      </c>
      <c r="J60" s="34">
        <f t="shared" si="8"/>
        <v>120153846</v>
      </c>
      <c r="K60" s="34">
        <f t="shared" si="8"/>
        <v>2355438</v>
      </c>
      <c r="L60" s="34">
        <f t="shared" si="8"/>
        <v>343914</v>
      </c>
      <c r="M60" s="34">
        <f t="shared" si="8"/>
        <v>364468</v>
      </c>
      <c r="N60" s="34">
        <f>SUM(H60:M60)</f>
        <v>347982859</v>
      </c>
      <c r="O60" s="34">
        <f>N60-G60</f>
        <v>0</v>
      </c>
    </row>
    <row r="61" spans="1:23" x14ac:dyDescent="0.2">
      <c r="A61">
        <v>2014</v>
      </c>
      <c r="B61" s="81"/>
      <c r="C61" s="81"/>
      <c r="D61" s="81"/>
      <c r="E61" s="81"/>
      <c r="F61" s="81"/>
      <c r="G61" s="142">
        <f>G18</f>
        <v>345928812.09642518</v>
      </c>
      <c r="H61" s="34">
        <f>H57+H70+H75</f>
        <v>168256470.83947089</v>
      </c>
      <c r="I61" s="34">
        <f t="shared" ref="I61:M61" si="9">I57+I70+I75</f>
        <v>53569663.434468746</v>
      </c>
      <c r="J61" s="34">
        <f t="shared" si="9"/>
        <v>119035699.39570256</v>
      </c>
      <c r="K61" s="34">
        <f t="shared" si="9"/>
        <v>2355438</v>
      </c>
      <c r="L61" s="34">
        <f t="shared" si="9"/>
        <v>320970.28625634481</v>
      </c>
      <c r="M61" s="34">
        <f t="shared" si="9"/>
        <v>350485.14052657475</v>
      </c>
      <c r="N61" s="34">
        <f>SUM(H61:M61)</f>
        <v>343888727.09642518</v>
      </c>
      <c r="O61" s="34">
        <f>N61-G61</f>
        <v>-2040085</v>
      </c>
    </row>
    <row r="62" spans="1:23" ht="13.5" thickBot="1" x14ac:dyDescent="0.25">
      <c r="B62" s="81"/>
      <c r="C62" s="81"/>
      <c r="D62" s="81"/>
      <c r="E62" s="81"/>
      <c r="F62" s="81"/>
      <c r="G62" s="188"/>
      <c r="H62" s="34"/>
      <c r="I62" s="34"/>
      <c r="J62" s="34"/>
      <c r="K62" s="34"/>
      <c r="L62" s="34"/>
      <c r="M62" s="34"/>
      <c r="N62" s="34"/>
      <c r="O62" s="34"/>
    </row>
    <row r="63" spans="1:23" ht="13.5" thickBot="1" x14ac:dyDescent="0.25">
      <c r="E63" s="22"/>
      <c r="F63" s="22"/>
      <c r="G63" s="155"/>
      <c r="H63" s="193" t="s">
        <v>123</v>
      </c>
      <c r="I63" s="194"/>
      <c r="J63" s="194"/>
      <c r="K63" s="194"/>
      <c r="L63" s="194"/>
      <c r="M63" s="195"/>
      <c r="N63" s="34"/>
    </row>
    <row r="64" spans="1:23" x14ac:dyDescent="0.2">
      <c r="A64" s="45" t="s">
        <v>45</v>
      </c>
      <c r="G64" s="34"/>
      <c r="H64" s="145">
        <f>(100%+42%)/2</f>
        <v>0.71</v>
      </c>
      <c r="I64" s="145">
        <f>(100%+42%)/2</f>
        <v>0.71</v>
      </c>
      <c r="J64" s="145">
        <v>0.42</v>
      </c>
      <c r="K64" s="145">
        <v>0</v>
      </c>
      <c r="L64" s="145">
        <v>0</v>
      </c>
      <c r="M64" s="145">
        <v>0</v>
      </c>
      <c r="N64" s="34" t="s">
        <v>16</v>
      </c>
    </row>
    <row r="65" spans="1:18" x14ac:dyDescent="0.2">
      <c r="A65">
        <v>2013</v>
      </c>
      <c r="B65" s="189" t="s">
        <v>173</v>
      </c>
      <c r="G65" s="34">
        <f>G60-G56</f>
        <v>0</v>
      </c>
      <c r="H65" s="34">
        <f t="shared" ref="H65:M65" si="10">H56*H64</f>
        <v>120678239.20999999</v>
      </c>
      <c r="I65" s="34">
        <f t="shared" si="10"/>
        <v>38905047.82</v>
      </c>
      <c r="J65" s="34">
        <f t="shared" si="10"/>
        <v>50464615.32</v>
      </c>
      <c r="K65" s="34">
        <f t="shared" si="10"/>
        <v>0</v>
      </c>
      <c r="L65" s="34">
        <f t="shared" si="10"/>
        <v>0</v>
      </c>
      <c r="M65" s="34">
        <f t="shared" si="10"/>
        <v>0</v>
      </c>
      <c r="N65" s="34">
        <f>SUM(H65:M65)</f>
        <v>210047902.34999999</v>
      </c>
    </row>
    <row r="66" spans="1:18" x14ac:dyDescent="0.2">
      <c r="A66">
        <v>2014</v>
      </c>
      <c r="B66" s="81"/>
      <c r="C66" s="81"/>
      <c r="D66" s="81"/>
      <c r="E66" s="81"/>
      <c r="F66" s="81"/>
      <c r="G66" s="34">
        <f>G61-G57</f>
        <v>-832772.07935464382</v>
      </c>
      <c r="H66" s="34">
        <f>H57*H64</f>
        <v>120264269.82444128</v>
      </c>
      <c r="I66" s="34">
        <f t="shared" ref="I66:M66" si="11">I57*I64</f>
        <v>38580767.68636474</v>
      </c>
      <c r="J66" s="34">
        <f t="shared" si="11"/>
        <v>50403900.037763819</v>
      </c>
      <c r="K66" s="34">
        <f t="shared" si="11"/>
        <v>0</v>
      </c>
      <c r="L66" s="34">
        <f t="shared" si="11"/>
        <v>0</v>
      </c>
      <c r="M66" s="34">
        <f t="shared" si="11"/>
        <v>0</v>
      </c>
      <c r="N66" s="34">
        <f>SUM(H66:M66)</f>
        <v>209248937.54856986</v>
      </c>
    </row>
    <row r="67" spans="1:18" ht="12" customHeight="1" x14ac:dyDescent="0.2">
      <c r="G67" s="34"/>
      <c r="H67" s="34"/>
      <c r="I67" s="34"/>
      <c r="J67" s="34"/>
      <c r="K67" s="34"/>
      <c r="L67" s="34"/>
      <c r="N67" s="34"/>
    </row>
    <row r="68" spans="1:18" x14ac:dyDescent="0.2">
      <c r="A68" t="s">
        <v>46</v>
      </c>
      <c r="G68" s="34"/>
      <c r="H68" s="34"/>
      <c r="I68" s="34"/>
      <c r="J68" s="34"/>
      <c r="K68" s="34"/>
      <c r="L68" s="34"/>
      <c r="N68" s="34"/>
    </row>
    <row r="69" spans="1:18" x14ac:dyDescent="0.2">
      <c r="A69">
        <v>2013</v>
      </c>
      <c r="B69"/>
      <c r="C69"/>
      <c r="D69"/>
      <c r="E69"/>
      <c r="H69" s="34">
        <f t="shared" ref="H69:M69" si="12">H65/$N$65*$G$65</f>
        <v>0</v>
      </c>
      <c r="I69" s="34">
        <f t="shared" si="12"/>
        <v>0</v>
      </c>
      <c r="J69" s="34">
        <f t="shared" si="12"/>
        <v>0</v>
      </c>
      <c r="K69" s="34">
        <f t="shared" si="12"/>
        <v>0</v>
      </c>
      <c r="L69" s="34">
        <f t="shared" si="12"/>
        <v>0</v>
      </c>
      <c r="M69" s="34">
        <f t="shared" si="12"/>
        <v>0</v>
      </c>
      <c r="N69" s="34">
        <f>SUM(H69:M69)</f>
        <v>0</v>
      </c>
    </row>
    <row r="70" spans="1:18" x14ac:dyDescent="0.2">
      <c r="A70">
        <v>2014</v>
      </c>
      <c r="B70" s="81"/>
      <c r="C70" s="81"/>
      <c r="D70" s="81"/>
      <c r="E70" s="81"/>
      <c r="F70" s="81"/>
      <c r="H70" s="34">
        <f t="shared" ref="H70:M70" si="13">H66/$N$66*$G$66</f>
        <v>-478629.55591122631</v>
      </c>
      <c r="I70" s="34">
        <f t="shared" si="13"/>
        <v>-153544.32144638628</v>
      </c>
      <c r="J70" s="34">
        <f t="shared" si="13"/>
        <v>-200598.20199703122</v>
      </c>
      <c r="K70" s="34">
        <f t="shared" si="13"/>
        <v>0</v>
      </c>
      <c r="L70" s="34">
        <f t="shared" si="13"/>
        <v>0</v>
      </c>
      <c r="M70" s="34">
        <f t="shared" si="13"/>
        <v>0</v>
      </c>
      <c r="N70" s="34">
        <f>SUM(H70:M70)</f>
        <v>-832772.07935464382</v>
      </c>
    </row>
    <row r="71" spans="1:18" ht="13.5" thickBot="1" x14ac:dyDescent="0.25"/>
    <row r="72" spans="1:18" ht="13.5" thickBot="1" x14ac:dyDescent="0.25">
      <c r="B72" s="147"/>
      <c r="C72" s="147"/>
      <c r="D72" s="147"/>
      <c r="E72" s="147"/>
      <c r="F72" s="147"/>
      <c r="G72" s="196" t="s">
        <v>133</v>
      </c>
      <c r="H72" s="197"/>
      <c r="I72" s="197"/>
      <c r="J72" s="197"/>
      <c r="K72" s="197"/>
      <c r="L72" s="197"/>
      <c r="M72" s="198"/>
      <c r="N72" s="150"/>
    </row>
    <row r="73" spans="1:18" x14ac:dyDescent="0.2">
      <c r="A73" t="s">
        <v>95</v>
      </c>
      <c r="G73" s="149"/>
      <c r="H73" s="145">
        <v>0.31919999999999998</v>
      </c>
      <c r="I73" s="145">
        <v>0.3019</v>
      </c>
      <c r="J73" s="151">
        <v>0.37890000000000001</v>
      </c>
      <c r="K73" s="145">
        <v>0</v>
      </c>
      <c r="L73" s="145">
        <v>0</v>
      </c>
      <c r="M73" s="145">
        <v>0</v>
      </c>
      <c r="N73" s="34" t="s">
        <v>16</v>
      </c>
      <c r="R73"/>
    </row>
    <row r="74" spans="1:18" x14ac:dyDescent="0.2">
      <c r="A74">
        <v>2013</v>
      </c>
      <c r="B74" s="189" t="s">
        <v>173</v>
      </c>
      <c r="E74" s="34"/>
      <c r="F74" s="34"/>
      <c r="G74" s="164">
        <f>-('CDM Activity'!R14*0.5)</f>
        <v>-680028.33333333326</v>
      </c>
      <c r="H74" s="34">
        <f>ROUND(H73*G74,0)</f>
        <v>-217065</v>
      </c>
      <c r="I74" s="34">
        <f>ROUND(I73*G74,0)</f>
        <v>-205301</v>
      </c>
      <c r="J74" s="34">
        <f>ROUND(J73*G74,0)</f>
        <v>-257663</v>
      </c>
      <c r="K74" s="34">
        <f>ROUND(K73*G74,0)</f>
        <v>0</v>
      </c>
      <c r="L74" s="34">
        <f t="shared" ref="L74:M74" si="14">ROUND(L73*K74,0)</f>
        <v>0</v>
      </c>
      <c r="M74" s="34">
        <f t="shared" si="14"/>
        <v>0</v>
      </c>
      <c r="N74" s="34">
        <f>SUM(H74:M74)</f>
        <v>-680029</v>
      </c>
      <c r="R74"/>
    </row>
    <row r="75" spans="1:18" x14ac:dyDescent="0.2">
      <c r="A75">
        <v>2014</v>
      </c>
      <c r="G75" s="164">
        <f>-('CDM Activity'!S15*0.5+'CDM Activity'!S14)</f>
        <v>-2040084.9999999998</v>
      </c>
      <c r="H75" s="34">
        <f>$G$75*H73</f>
        <v>-651195.13199999987</v>
      </c>
      <c r="I75" s="34">
        <f t="shared" ref="I75:J75" si="15">$G$75*I73</f>
        <v>-615901.66149999993</v>
      </c>
      <c r="J75" s="34">
        <f t="shared" si="15"/>
        <v>-772988.20649999997</v>
      </c>
      <c r="K75" s="34">
        <f t="shared" ref="K75:M75" si="16">$G$75*K73</f>
        <v>0</v>
      </c>
      <c r="L75" s="34">
        <f t="shared" si="16"/>
        <v>0</v>
      </c>
      <c r="M75" s="34">
        <f t="shared" si="16"/>
        <v>0</v>
      </c>
      <c r="N75" s="34">
        <f>SUM(H75:M75)</f>
        <v>-2040084.9999999995</v>
      </c>
      <c r="R75"/>
    </row>
  </sheetData>
  <mergeCells count="3">
    <mergeCell ref="H6:M6"/>
    <mergeCell ref="H63:M63"/>
    <mergeCell ref="G72:M72"/>
  </mergeCells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paperSize="17" scale="70" orientation="landscape" r:id="rId1"/>
  <headerFooter scaleWithDoc="0" alignWithMargins="0">
    <oddFooter>&amp;L&amp;F
&amp;A&amp;RPage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workbookViewId="0">
      <pane xSplit="1" ySplit="2" topLeftCell="B3" activePane="bottomRight" state="frozen"/>
      <selection activeCell="H30" sqref="H30"/>
      <selection pane="topRight" activeCell="H30" sqref="H30"/>
      <selection pane="bottomLeft" activeCell="H30" sqref="H30"/>
      <selection pane="bottomRight" activeCell="G30" sqref="G30"/>
    </sheetView>
  </sheetViews>
  <sheetFormatPr defaultRowHeight="12.75" x14ac:dyDescent="0.2"/>
  <cols>
    <col min="1" max="1" width="11" customWidth="1"/>
    <col min="2" max="2" width="15" style="6" customWidth="1"/>
    <col min="3" max="3" width="14.140625" style="6" bestFit="1" customWidth="1"/>
    <col min="4" max="4" width="16" style="6" customWidth="1"/>
    <col min="5" max="5" width="17.5703125" style="6" customWidth="1"/>
    <col min="6" max="7" width="12.5703125" style="6" customWidth="1"/>
    <col min="8" max="8" width="12.7109375" style="6" bestFit="1" customWidth="1"/>
  </cols>
  <sheetData>
    <row r="1" spans="1:9" ht="13.5" thickBot="1" x14ac:dyDescent="0.25">
      <c r="B1" s="190" t="s">
        <v>134</v>
      </c>
      <c r="C1" s="199"/>
      <c r="D1" s="199"/>
      <c r="E1" s="190" t="s">
        <v>135</v>
      </c>
      <c r="F1" s="199"/>
      <c r="G1" s="200"/>
      <c r="H1" s="148"/>
    </row>
    <row r="2" spans="1:9" ht="42" customHeight="1" x14ac:dyDescent="0.2">
      <c r="B2" s="9" t="s">
        <v>90</v>
      </c>
      <c r="C2" s="9" t="s">
        <v>148</v>
      </c>
      <c r="D2" s="9" t="s">
        <v>149</v>
      </c>
      <c r="E2" s="9" t="s">
        <v>97</v>
      </c>
      <c r="F2" s="9" t="s">
        <v>131</v>
      </c>
      <c r="G2" s="9" t="s">
        <v>150</v>
      </c>
      <c r="H2" s="6" t="s">
        <v>9</v>
      </c>
    </row>
    <row r="3" spans="1:9" x14ac:dyDescent="0.2">
      <c r="A3" s="4">
        <v>2003</v>
      </c>
      <c r="B3" s="141">
        <f>11954+5631</f>
        <v>17585</v>
      </c>
      <c r="C3" s="141">
        <f>2288+1-7</f>
        <v>2282</v>
      </c>
      <c r="D3" s="141">
        <f>151-1+7</f>
        <v>157</v>
      </c>
      <c r="E3" s="141">
        <v>2713</v>
      </c>
      <c r="F3" s="141">
        <v>857</v>
      </c>
      <c r="G3" s="141">
        <v>88</v>
      </c>
      <c r="H3" s="138">
        <f t="shared" ref="H3:H14" si="0">SUM(B3:G3)</f>
        <v>23682</v>
      </c>
      <c r="I3" s="61"/>
    </row>
    <row r="4" spans="1:9" x14ac:dyDescent="0.2">
      <c r="A4" s="4">
        <v>2004</v>
      </c>
      <c r="B4" s="141">
        <f>12109+5667</f>
        <v>17776</v>
      </c>
      <c r="C4" s="141">
        <f>2303+1-8</f>
        <v>2296</v>
      </c>
      <c r="D4" s="141">
        <f>150-1+8</f>
        <v>157</v>
      </c>
      <c r="E4" s="141">
        <v>2777</v>
      </c>
      <c r="F4" s="141">
        <v>729</v>
      </c>
      <c r="G4" s="141">
        <v>81</v>
      </c>
      <c r="H4" s="138">
        <f t="shared" si="0"/>
        <v>23816</v>
      </c>
      <c r="I4" s="61"/>
    </row>
    <row r="5" spans="1:9" x14ac:dyDescent="0.2">
      <c r="A5" s="4">
        <v>2005</v>
      </c>
      <c r="B5" s="141">
        <f>12197+5696</f>
        <v>17893</v>
      </c>
      <c r="C5" s="141">
        <f>903+1375+52+2-8</f>
        <v>2324</v>
      </c>
      <c r="D5" s="141">
        <f>88+90-52+25-2+8</f>
        <v>157</v>
      </c>
      <c r="E5" s="141">
        <v>2764</v>
      </c>
      <c r="F5" s="141">
        <v>705</v>
      </c>
      <c r="G5" s="141">
        <f>87</f>
        <v>87</v>
      </c>
      <c r="H5" s="138">
        <f t="shared" si="0"/>
        <v>23930</v>
      </c>
      <c r="I5" s="61"/>
    </row>
    <row r="6" spans="1:9" x14ac:dyDescent="0.2">
      <c r="A6" s="4">
        <v>2006</v>
      </c>
      <c r="B6" s="141">
        <f>12300+5726</f>
        <v>18026</v>
      </c>
      <c r="C6" s="141">
        <f>2318+2-9</f>
        <v>2311</v>
      </c>
      <c r="D6" s="141">
        <f>126+24-2+9</f>
        <v>157</v>
      </c>
      <c r="E6" s="141">
        <v>2758</v>
      </c>
      <c r="F6" s="141">
        <v>693</v>
      </c>
      <c r="G6" s="141">
        <v>88</v>
      </c>
      <c r="H6" s="138">
        <f t="shared" si="0"/>
        <v>24033</v>
      </c>
      <c r="I6" s="61"/>
    </row>
    <row r="7" spans="1:9" x14ac:dyDescent="0.2">
      <c r="A7" s="4">
        <v>2007</v>
      </c>
      <c r="B7" s="141">
        <f>12396+5743</f>
        <v>18139</v>
      </c>
      <c r="C7" s="141">
        <f>2343+2-10</f>
        <v>2335</v>
      </c>
      <c r="D7" s="141">
        <f>93+42-2+10</f>
        <v>143</v>
      </c>
      <c r="E7" s="141">
        <v>2794</v>
      </c>
      <c r="F7" s="141">
        <v>665</v>
      </c>
      <c r="G7" s="141">
        <v>84</v>
      </c>
      <c r="H7" s="138">
        <f t="shared" si="0"/>
        <v>24160</v>
      </c>
      <c r="I7" s="61"/>
    </row>
    <row r="8" spans="1:9" x14ac:dyDescent="0.2">
      <c r="A8" s="4">
        <v>2008</v>
      </c>
      <c r="B8" s="141">
        <f>12493+5752</f>
        <v>18245</v>
      </c>
      <c r="C8" s="141">
        <f>2351+2-10</f>
        <v>2343</v>
      </c>
      <c r="D8" s="141">
        <f>87+50-2+10</f>
        <v>145</v>
      </c>
      <c r="E8" s="141">
        <v>2879</v>
      </c>
      <c r="F8" s="141">
        <v>647</v>
      </c>
      <c r="G8" s="141">
        <v>84</v>
      </c>
      <c r="H8" s="138">
        <f t="shared" si="0"/>
        <v>24343</v>
      </c>
      <c r="I8" s="61"/>
    </row>
    <row r="9" spans="1:9" x14ac:dyDescent="0.2">
      <c r="A9" s="4">
        <v>2009</v>
      </c>
      <c r="B9" s="138">
        <v>18309</v>
      </c>
      <c r="C9" s="138">
        <f>2381+3-10</f>
        <v>2374</v>
      </c>
      <c r="D9" s="138">
        <f>87+50-3+10</f>
        <v>144</v>
      </c>
      <c r="E9" s="138">
        <f>2878-6</f>
        <v>2872</v>
      </c>
      <c r="F9" s="138">
        <v>656</v>
      </c>
      <c r="G9" s="138">
        <v>84</v>
      </c>
      <c r="H9" s="138">
        <f t="shared" si="0"/>
        <v>24439</v>
      </c>
      <c r="I9" s="61"/>
    </row>
    <row r="10" spans="1:9" x14ac:dyDescent="0.2">
      <c r="A10" s="4">
        <v>2010</v>
      </c>
      <c r="B10" s="137">
        <v>18465</v>
      </c>
      <c r="C10" s="137">
        <f>2369+4-10</f>
        <v>2363</v>
      </c>
      <c r="D10" s="137">
        <f>86+51-4+10</f>
        <v>143</v>
      </c>
      <c r="E10" s="137">
        <f>3021-6</f>
        <v>3015</v>
      </c>
      <c r="F10" s="137">
        <v>594</v>
      </c>
      <c r="G10" s="137">
        <v>78</v>
      </c>
      <c r="H10" s="138">
        <f t="shared" si="0"/>
        <v>24658</v>
      </c>
      <c r="I10" s="61"/>
    </row>
    <row r="11" spans="1:9" x14ac:dyDescent="0.2">
      <c r="A11" s="4">
        <v>2011</v>
      </c>
      <c r="B11" s="137">
        <f>18554-22-1</f>
        <v>18531</v>
      </c>
      <c r="C11" s="137">
        <f>2376+5-1</f>
        <v>2380</v>
      </c>
      <c r="D11" s="137">
        <f>84+56-5+10</f>
        <v>145</v>
      </c>
      <c r="E11" s="137">
        <f>2969-6</f>
        <v>2963</v>
      </c>
      <c r="F11" s="137">
        <v>567</v>
      </c>
      <c r="G11" s="137">
        <v>76</v>
      </c>
      <c r="H11" s="138">
        <f t="shared" si="0"/>
        <v>24662</v>
      </c>
      <c r="I11" s="61"/>
    </row>
    <row r="12" spans="1:9" x14ac:dyDescent="0.2">
      <c r="A12" s="4">
        <v>2012</v>
      </c>
      <c r="B12" s="138">
        <f>18640-2-8-13</f>
        <v>18617</v>
      </c>
      <c r="C12" s="138">
        <f>2371+6-10-9-14</f>
        <v>2344</v>
      </c>
      <c r="D12" s="138">
        <f>91-1+56-6+10</f>
        <v>150</v>
      </c>
      <c r="E12" s="138">
        <f>2988-6</f>
        <v>2982</v>
      </c>
      <c r="F12" s="138">
        <v>535</v>
      </c>
      <c r="G12" s="138">
        <v>73</v>
      </c>
      <c r="H12" s="138">
        <f t="shared" si="0"/>
        <v>24701</v>
      </c>
      <c r="I12" s="61"/>
    </row>
    <row r="13" spans="1:9" x14ac:dyDescent="0.2">
      <c r="A13" s="4">
        <v>2013</v>
      </c>
      <c r="B13" s="138">
        <v>18717</v>
      </c>
      <c r="C13" s="138">
        <v>2342</v>
      </c>
      <c r="D13" s="138">
        <v>158</v>
      </c>
      <c r="E13" s="138">
        <v>2977</v>
      </c>
      <c r="F13" s="138">
        <v>521</v>
      </c>
      <c r="G13" s="138">
        <v>69</v>
      </c>
      <c r="H13" s="138">
        <f t="shared" si="0"/>
        <v>24784</v>
      </c>
    </row>
    <row r="14" spans="1:9" x14ac:dyDescent="0.2">
      <c r="A14" s="4">
        <v>2014</v>
      </c>
      <c r="B14" s="140">
        <f t="shared" ref="B14:G14" si="1">B13*B28</f>
        <v>18824.583390410589</v>
      </c>
      <c r="C14" s="140">
        <f t="shared" si="1"/>
        <v>2344.2597805388764</v>
      </c>
      <c r="D14" s="140">
        <f t="shared" si="1"/>
        <v>158.1003496510908</v>
      </c>
      <c r="E14" s="140">
        <f t="shared" si="1"/>
        <v>2977</v>
      </c>
      <c r="F14" s="140">
        <f t="shared" si="1"/>
        <v>495.70513004686194</v>
      </c>
      <c r="G14" s="140">
        <f t="shared" si="1"/>
        <v>67.341956920499541</v>
      </c>
      <c r="H14" s="140">
        <f t="shared" si="0"/>
        <v>24866.990607567917</v>
      </c>
    </row>
    <row r="15" spans="1:9" x14ac:dyDescent="0.2">
      <c r="A15" s="20"/>
    </row>
    <row r="16" spans="1:9" x14ac:dyDescent="0.2">
      <c r="A16" s="19" t="s">
        <v>41</v>
      </c>
      <c r="B16" s="5"/>
      <c r="C16" s="5"/>
      <c r="D16" s="5"/>
      <c r="E16" s="5"/>
      <c r="F16" s="5"/>
      <c r="G16" s="5"/>
    </row>
    <row r="17" spans="1:10" x14ac:dyDescent="0.2">
      <c r="A17" s="4">
        <v>2004</v>
      </c>
      <c r="B17" s="23">
        <f t="shared" ref="B17:G26" si="2">B4/B3</f>
        <v>1.0108615297128234</v>
      </c>
      <c r="C17" s="23">
        <f t="shared" si="2"/>
        <v>1.0061349693251533</v>
      </c>
      <c r="D17" s="23">
        <f t="shared" si="2"/>
        <v>1</v>
      </c>
      <c r="E17" s="23">
        <f t="shared" si="2"/>
        <v>1.0235901216365646</v>
      </c>
      <c r="F17" s="23">
        <f t="shared" si="2"/>
        <v>0.85064177362893811</v>
      </c>
      <c r="G17" s="23">
        <f t="shared" si="2"/>
        <v>0.92045454545454541</v>
      </c>
      <c r="I17" s="76"/>
      <c r="J17" s="76"/>
    </row>
    <row r="18" spans="1:10" x14ac:dyDescent="0.2">
      <c r="A18" s="4">
        <v>2005</v>
      </c>
      <c r="B18" s="23">
        <f t="shared" si="2"/>
        <v>1.0065819081908192</v>
      </c>
      <c r="C18" s="23">
        <f t="shared" si="2"/>
        <v>1.0121951219512195</v>
      </c>
      <c r="D18" s="23">
        <f t="shared" si="2"/>
        <v>1</v>
      </c>
      <c r="E18" s="23">
        <f t="shared" si="2"/>
        <v>0.99531868923298528</v>
      </c>
      <c r="F18" s="23">
        <f t="shared" si="2"/>
        <v>0.96707818930041156</v>
      </c>
      <c r="G18" s="23">
        <f t="shared" si="2"/>
        <v>1.0740740740740742</v>
      </c>
      <c r="I18" s="76"/>
      <c r="J18" s="76"/>
    </row>
    <row r="19" spans="1:10" x14ac:dyDescent="0.2">
      <c r="A19" s="4">
        <v>2006</v>
      </c>
      <c r="B19" s="23">
        <f t="shared" si="2"/>
        <v>1.0074330743866315</v>
      </c>
      <c r="C19" s="23">
        <f t="shared" si="2"/>
        <v>0.99440619621342508</v>
      </c>
      <c r="D19" s="23">
        <f t="shared" si="2"/>
        <v>1</v>
      </c>
      <c r="E19" s="23">
        <f t="shared" si="2"/>
        <v>0.99782923299565851</v>
      </c>
      <c r="F19" s="23">
        <f t="shared" si="2"/>
        <v>0.98297872340425529</v>
      </c>
      <c r="G19" s="23">
        <f t="shared" si="2"/>
        <v>1.0114942528735633</v>
      </c>
      <c r="I19" s="76"/>
      <c r="J19" s="76"/>
    </row>
    <row r="20" spans="1:10" x14ac:dyDescent="0.2">
      <c r="A20" s="4">
        <v>2007</v>
      </c>
      <c r="B20" s="23">
        <f t="shared" si="2"/>
        <v>1.0062687229557306</v>
      </c>
      <c r="C20" s="23">
        <f t="shared" si="2"/>
        <v>1.0103851146689744</v>
      </c>
      <c r="D20" s="23">
        <f t="shared" si="2"/>
        <v>0.91082802547770703</v>
      </c>
      <c r="E20" s="23">
        <f t="shared" si="2"/>
        <v>1.013052936910805</v>
      </c>
      <c r="F20" s="23">
        <f t="shared" si="2"/>
        <v>0.95959595959595956</v>
      </c>
      <c r="G20" s="23">
        <f t="shared" si="2"/>
        <v>0.95454545454545459</v>
      </c>
      <c r="I20" s="76"/>
      <c r="J20" s="76"/>
    </row>
    <row r="21" spans="1:10" x14ac:dyDescent="0.2">
      <c r="A21" s="4">
        <v>2008</v>
      </c>
      <c r="B21" s="23">
        <f t="shared" si="2"/>
        <v>1.0058437620596505</v>
      </c>
      <c r="C21" s="23">
        <f t="shared" si="2"/>
        <v>1.0034261241970022</v>
      </c>
      <c r="D21" s="23">
        <f t="shared" si="2"/>
        <v>1.013986013986014</v>
      </c>
      <c r="E21" s="23">
        <f t="shared" si="2"/>
        <v>1.0304223335719398</v>
      </c>
      <c r="F21" s="23">
        <f t="shared" si="2"/>
        <v>0.97293233082706765</v>
      </c>
      <c r="G21" s="23">
        <f t="shared" si="2"/>
        <v>1</v>
      </c>
      <c r="I21" s="76"/>
      <c r="J21" s="76"/>
    </row>
    <row r="22" spans="1:10" x14ac:dyDescent="0.2">
      <c r="A22" s="4">
        <v>2009</v>
      </c>
      <c r="B22" s="23">
        <f t="shared" si="2"/>
        <v>1.0035078103590025</v>
      </c>
      <c r="C22" s="23">
        <f t="shared" si="2"/>
        <v>1.0132309005548443</v>
      </c>
      <c r="D22" s="23">
        <f t="shared" si="2"/>
        <v>0.99310344827586206</v>
      </c>
      <c r="E22" s="23">
        <f t="shared" si="2"/>
        <v>0.99756860020840565</v>
      </c>
      <c r="F22" s="23">
        <f t="shared" si="2"/>
        <v>1.0139103554868625</v>
      </c>
      <c r="G22" s="23">
        <f t="shared" si="2"/>
        <v>1</v>
      </c>
      <c r="I22" s="76"/>
      <c r="J22" s="76"/>
    </row>
    <row r="23" spans="1:10" x14ac:dyDescent="0.2">
      <c r="A23" s="4">
        <v>2010</v>
      </c>
      <c r="B23" s="23">
        <f t="shared" si="2"/>
        <v>1.0085203998033754</v>
      </c>
      <c r="C23" s="23">
        <f t="shared" si="2"/>
        <v>0.99536647009267065</v>
      </c>
      <c r="D23" s="23">
        <f t="shared" si="2"/>
        <v>0.99305555555555558</v>
      </c>
      <c r="E23" s="23">
        <f t="shared" si="2"/>
        <v>1.049791086350975</v>
      </c>
      <c r="F23" s="23">
        <f t="shared" si="2"/>
        <v>0.90548780487804881</v>
      </c>
      <c r="G23" s="23">
        <f t="shared" si="2"/>
        <v>0.9285714285714286</v>
      </c>
      <c r="I23" s="76"/>
      <c r="J23" s="76"/>
    </row>
    <row r="24" spans="1:10" x14ac:dyDescent="0.2">
      <c r="A24" s="4">
        <v>2011</v>
      </c>
      <c r="B24" s="23">
        <f t="shared" si="2"/>
        <v>1.0035743298131601</v>
      </c>
      <c r="C24" s="23">
        <f t="shared" si="2"/>
        <v>1.0071942446043165</v>
      </c>
      <c r="D24" s="23">
        <f t="shared" si="2"/>
        <v>1.013986013986014</v>
      </c>
      <c r="E24" s="23">
        <f t="shared" si="2"/>
        <v>0.98275290215588718</v>
      </c>
      <c r="F24" s="23">
        <f t="shared" si="2"/>
        <v>0.95454545454545459</v>
      </c>
      <c r="G24" s="23">
        <f t="shared" si="2"/>
        <v>0.97435897435897434</v>
      </c>
      <c r="I24" s="76"/>
      <c r="J24" s="76"/>
    </row>
    <row r="25" spans="1:10" x14ac:dyDescent="0.2">
      <c r="A25" s="4">
        <v>2012</v>
      </c>
      <c r="B25" s="23">
        <f t="shared" si="2"/>
        <v>1.0046408720522368</v>
      </c>
      <c r="C25" s="23">
        <f t="shared" si="2"/>
        <v>0.98487394957983199</v>
      </c>
      <c r="D25" s="23">
        <f t="shared" si="2"/>
        <v>1.0344827586206897</v>
      </c>
      <c r="E25" s="23">
        <f t="shared" si="2"/>
        <v>1.0064124198447519</v>
      </c>
      <c r="F25" s="23">
        <f t="shared" si="2"/>
        <v>0.9435626102292769</v>
      </c>
      <c r="G25" s="23">
        <f t="shared" si="2"/>
        <v>0.96052631578947367</v>
      </c>
      <c r="I25" s="76"/>
      <c r="J25" s="76"/>
    </row>
    <row r="26" spans="1:10" x14ac:dyDescent="0.2">
      <c r="A26" s="4">
        <v>2013</v>
      </c>
      <c r="B26" s="23">
        <f t="shared" si="2"/>
        <v>1.0053714347102112</v>
      </c>
      <c r="C26" s="23">
        <f t="shared" si="2"/>
        <v>0.99914675767918093</v>
      </c>
      <c r="D26" s="23">
        <f t="shared" si="2"/>
        <v>1.0533333333333332</v>
      </c>
      <c r="E26" s="23">
        <f t="shared" si="2"/>
        <v>0.9983232729711603</v>
      </c>
      <c r="F26" s="23">
        <f t="shared" si="2"/>
        <v>0.9738317757009346</v>
      </c>
      <c r="G26" s="23">
        <f t="shared" si="2"/>
        <v>0.9452054794520548</v>
      </c>
      <c r="I26" s="76"/>
      <c r="J26" s="76"/>
    </row>
    <row r="28" spans="1:10" x14ac:dyDescent="0.2">
      <c r="A28" t="s">
        <v>61</v>
      </c>
      <c r="B28" s="139">
        <f t="shared" ref="B28:F28" si="3">B30</f>
        <v>1.0057478971208307</v>
      </c>
      <c r="C28" s="139">
        <f t="shared" si="3"/>
        <v>1.0009648934837219</v>
      </c>
      <c r="D28" s="139">
        <f t="shared" si="3"/>
        <v>1.0006351243739924</v>
      </c>
      <c r="E28" s="139">
        <v>1</v>
      </c>
      <c r="F28" s="139">
        <f t="shared" si="3"/>
        <v>0.95144938588649119</v>
      </c>
      <c r="G28" s="139">
        <f>G30</f>
        <v>0.97597039015216736</v>
      </c>
    </row>
    <row r="29" spans="1:10" x14ac:dyDescent="0.2">
      <c r="B29" s="24"/>
      <c r="C29" s="24"/>
      <c r="D29" s="24"/>
      <c r="E29" s="24"/>
      <c r="F29" s="24"/>
      <c r="G29" s="24"/>
    </row>
    <row r="30" spans="1:10" x14ac:dyDescent="0.2">
      <c r="A30" t="s">
        <v>14</v>
      </c>
      <c r="B30" s="24">
        <f>GEOMEAN(B18:B26)</f>
        <v>1.0057478971208307</v>
      </c>
      <c r="C30" s="24">
        <f>GEOMEAN(C19:C26)</f>
        <v>1.0009648934837219</v>
      </c>
      <c r="D30" s="24">
        <f>GEOMEAN(D17:D26)</f>
        <v>1.0006351243739924</v>
      </c>
      <c r="E30" s="24">
        <f>GEOMEAN(E17:E26)</f>
        <v>1.0093293544771011</v>
      </c>
      <c r="F30" s="24">
        <f>GEOMEAN(F17:F26)</f>
        <v>0.95144938588649119</v>
      </c>
      <c r="G30" s="24">
        <f>GEOMEAN(G17:G26)</f>
        <v>0.97597039015216736</v>
      </c>
    </row>
    <row r="31" spans="1:10" x14ac:dyDescent="0.2">
      <c r="A31" s="4"/>
      <c r="B31" s="24"/>
      <c r="C31" s="24"/>
      <c r="D31" s="24"/>
      <c r="E31" s="24"/>
      <c r="F31" s="24"/>
      <c r="G31" s="24"/>
    </row>
    <row r="32" spans="1:10" x14ac:dyDescent="0.2">
      <c r="A32" s="4"/>
      <c r="B32" s="24"/>
      <c r="C32" s="24"/>
      <c r="D32" s="24"/>
      <c r="E32" s="24"/>
      <c r="F32" s="24"/>
      <c r="G32" s="24"/>
    </row>
    <row r="33" spans="2:7" x14ac:dyDescent="0.2">
      <c r="B33" s="24"/>
      <c r="C33" s="24"/>
      <c r="D33" s="24"/>
      <c r="E33" s="24"/>
      <c r="F33" s="24"/>
      <c r="G33" s="24"/>
    </row>
    <row r="34" spans="2:7" x14ac:dyDescent="0.2">
      <c r="B34" s="24"/>
      <c r="C34" s="24"/>
      <c r="E34" s="24"/>
      <c r="F34" s="24"/>
      <c r="G34" s="24"/>
    </row>
    <row r="40" spans="2:7" x14ac:dyDescent="0.2">
      <c r="D40" s="25"/>
    </row>
    <row r="41" spans="2:7" x14ac:dyDescent="0.2">
      <c r="B41" s="25"/>
      <c r="C41" s="25"/>
      <c r="D41" s="25"/>
      <c r="E41" s="25"/>
      <c r="F41" s="25"/>
      <c r="G41" s="25"/>
    </row>
    <row r="42" spans="2:7" x14ac:dyDescent="0.2">
      <c r="B42" s="25"/>
      <c r="C42" s="25"/>
      <c r="E42" s="25"/>
      <c r="F42" s="25"/>
      <c r="G42" s="25"/>
    </row>
    <row r="60" spans="2:7" x14ac:dyDescent="0.2">
      <c r="D60" s="16"/>
    </row>
    <row r="61" spans="2:7" x14ac:dyDescent="0.2">
      <c r="B61" s="16"/>
      <c r="C61" s="16"/>
      <c r="D61" s="16"/>
      <c r="E61" s="16"/>
      <c r="F61" s="16"/>
      <c r="G61" s="16"/>
    </row>
    <row r="62" spans="2:7" x14ac:dyDescent="0.2">
      <c r="B62" s="16"/>
      <c r="C62" s="16"/>
      <c r="E62" s="16"/>
      <c r="F62" s="16"/>
      <c r="G62" s="16"/>
    </row>
  </sheetData>
  <mergeCells count="2">
    <mergeCell ref="B1:D1"/>
    <mergeCell ref="E1:G1"/>
  </mergeCells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orientation="landscape" r:id="rId1"/>
  <headerFooter scaleWithDoc="0" alignWithMargins="0">
    <oddFooter>&amp;L&amp;F
&amp;A&amp;RPage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workbookViewId="0">
      <pane xSplit="1" ySplit="2" topLeftCell="B3" activePane="bottomRight" state="frozen"/>
      <selection activeCell="H30" sqref="H30"/>
      <selection pane="topRight" activeCell="H30" sqref="H30"/>
      <selection pane="bottomLeft" activeCell="H30" sqref="H30"/>
      <selection pane="bottomRight" activeCell="B37" sqref="B37"/>
    </sheetView>
  </sheetViews>
  <sheetFormatPr defaultRowHeight="12.75" x14ac:dyDescent="0.2"/>
  <cols>
    <col min="1" max="1" width="11" customWidth="1"/>
    <col min="2" max="2" width="15.85546875" style="6" customWidth="1"/>
    <col min="3" max="4" width="17.7109375" style="6" customWidth="1"/>
    <col min="5" max="6" width="12.7109375" style="6" bestFit="1" customWidth="1"/>
    <col min="7" max="7" width="11.7109375" bestFit="1" customWidth="1"/>
    <col min="8" max="8" width="10.7109375" bestFit="1" customWidth="1"/>
  </cols>
  <sheetData>
    <row r="1" spans="1:5" ht="29.25" customHeight="1" thickBot="1" x14ac:dyDescent="0.25">
      <c r="B1" s="201" t="s">
        <v>139</v>
      </c>
      <c r="C1" s="202"/>
      <c r="D1" s="202"/>
      <c r="E1" s="203"/>
    </row>
    <row r="2" spans="1:5" ht="42" customHeight="1" x14ac:dyDescent="0.2">
      <c r="B2" s="8" t="str">
        <f>'Rate Class Customer Model'!D2</f>
        <v>General Service 50 to 4999 kW</v>
      </c>
      <c r="C2" s="8" t="str">
        <f>'Rate Class Customer Model'!E2</f>
        <v>Street Lighting</v>
      </c>
      <c r="D2" s="8" t="str">
        <f>'Rate Class Customer Model'!F2</f>
        <v>Sentinel Lighting</v>
      </c>
      <c r="E2" s="6" t="s">
        <v>9</v>
      </c>
    </row>
    <row r="3" spans="1:5" x14ac:dyDescent="0.2">
      <c r="A3" s="29">
        <v>2003</v>
      </c>
      <c r="B3" s="144">
        <f>157813.86+171981-1628+1838</f>
        <v>330004.86</v>
      </c>
      <c r="C3" s="144">
        <v>6047</v>
      </c>
      <c r="D3" s="144">
        <v>1718</v>
      </c>
      <c r="E3" s="6">
        <f t="shared" ref="E3:E14" si="0">SUM(B3:D3)</f>
        <v>337769.86</v>
      </c>
    </row>
    <row r="4" spans="1:5" x14ac:dyDescent="0.2">
      <c r="A4" s="29">
        <v>2004</v>
      </c>
      <c r="B4" s="144">
        <f>169896.07+192883-831+2682</f>
        <v>364630.07</v>
      </c>
      <c r="C4" s="144">
        <v>6089</v>
      </c>
      <c r="D4" s="144">
        <v>1578</v>
      </c>
      <c r="E4" s="6">
        <f t="shared" si="0"/>
        <v>372297.07</v>
      </c>
    </row>
    <row r="5" spans="1:5" x14ac:dyDescent="0.2">
      <c r="A5" s="29">
        <v>2005</v>
      </c>
      <c r="B5" s="144">
        <f>165075+198805-742+2869</f>
        <v>366007</v>
      </c>
      <c r="C5" s="144">
        <v>5667.65</v>
      </c>
      <c r="D5" s="144">
        <v>1482.21</v>
      </c>
      <c r="E5" s="6">
        <f t="shared" si="0"/>
        <v>373156.86000000004</v>
      </c>
    </row>
    <row r="6" spans="1:5" x14ac:dyDescent="0.2">
      <c r="A6" s="29">
        <v>2006</v>
      </c>
      <c r="B6" s="144">
        <f>165575+200336-1426+3327</f>
        <v>367812</v>
      </c>
      <c r="C6" s="144">
        <v>6222</v>
      </c>
      <c r="D6" s="144">
        <v>1423</v>
      </c>
      <c r="E6" s="6">
        <f t="shared" si="0"/>
        <v>375457</v>
      </c>
    </row>
    <row r="7" spans="1:5" x14ac:dyDescent="0.2">
      <c r="A7" s="29">
        <v>2007</v>
      </c>
      <c r="B7" s="144">
        <f>143204+201563-1538+3852</f>
        <v>347081</v>
      </c>
      <c r="C7" s="144">
        <v>6403</v>
      </c>
      <c r="D7" s="144">
        <v>1361</v>
      </c>
      <c r="E7" s="6">
        <f t="shared" si="0"/>
        <v>354845</v>
      </c>
    </row>
    <row r="8" spans="1:5" x14ac:dyDescent="0.2">
      <c r="A8" s="29">
        <v>2008</v>
      </c>
      <c r="B8" s="144">
        <f>99340+225497-1628+4776</f>
        <v>327985</v>
      </c>
      <c r="C8" s="144">
        <v>6475</v>
      </c>
      <c r="D8" s="144">
        <v>1313</v>
      </c>
      <c r="E8" s="6">
        <f t="shared" si="0"/>
        <v>335773</v>
      </c>
    </row>
    <row r="9" spans="1:5" x14ac:dyDescent="0.2">
      <c r="A9" s="29">
        <v>2009</v>
      </c>
      <c r="B9" s="144">
        <f>96852+220380-1364+5566</f>
        <v>321434</v>
      </c>
      <c r="C9" s="144">
        <f>6501-(3.72*9)</f>
        <v>6467.52</v>
      </c>
      <c r="D9" s="144">
        <v>1293</v>
      </c>
      <c r="E9" s="6">
        <f t="shared" si="0"/>
        <v>329194.52</v>
      </c>
    </row>
    <row r="10" spans="1:5" x14ac:dyDescent="0.2">
      <c r="A10" s="29">
        <v>2010</v>
      </c>
      <c r="B10" s="144">
        <f>94165+230337-1162+6021</f>
        <v>329361</v>
      </c>
      <c r="C10" s="144">
        <f>6587-(3.72*12)</f>
        <v>6542.36</v>
      </c>
      <c r="D10" s="144">
        <v>1110</v>
      </c>
      <c r="E10" s="6">
        <f t="shared" si="0"/>
        <v>337013.36</v>
      </c>
    </row>
    <row r="11" spans="1:5" x14ac:dyDescent="0.2">
      <c r="A11" s="29">
        <v>2011</v>
      </c>
      <c r="B11" s="144">
        <f>95668+237050-2079+6212</f>
        <v>336851</v>
      </c>
      <c r="C11" s="144">
        <f>6646-(3.72*12)</f>
        <v>6601.36</v>
      </c>
      <c r="D11" s="144">
        <v>1069</v>
      </c>
      <c r="E11" s="6">
        <f t="shared" si="0"/>
        <v>344521.36</v>
      </c>
    </row>
    <row r="12" spans="1:5" x14ac:dyDescent="0.2">
      <c r="A12" s="29">
        <v>2012</v>
      </c>
      <c r="B12" s="144">
        <f>91666+240823-2403+6263</f>
        <v>336349</v>
      </c>
      <c r="C12" s="144">
        <f>6665-(3.72*12)</f>
        <v>6620.36</v>
      </c>
      <c r="D12" s="144">
        <v>1003</v>
      </c>
      <c r="E12" s="6">
        <f t="shared" si="0"/>
        <v>343972.36</v>
      </c>
    </row>
    <row r="13" spans="1:5" x14ac:dyDescent="0.2">
      <c r="A13" s="29">
        <v>2013</v>
      </c>
      <c r="B13" s="144">
        <v>336835</v>
      </c>
      <c r="C13" s="144">
        <v>6617</v>
      </c>
      <c r="D13" s="144">
        <v>954</v>
      </c>
      <c r="E13" s="6">
        <f t="shared" si="0"/>
        <v>344406</v>
      </c>
    </row>
    <row r="14" spans="1:5" x14ac:dyDescent="0.2">
      <c r="A14" s="29">
        <v>2014</v>
      </c>
      <c r="B14" s="143">
        <f>'Rate Class Energy Model'!J61*B29</f>
        <v>334273.88675756834</v>
      </c>
      <c r="C14" s="143">
        <f>'Rate Class Energy Model'!K61*C29</f>
        <v>6563.7491830909084</v>
      </c>
      <c r="D14" s="143">
        <f>'Rate Class Energy Model'!L61*D29</f>
        <v>891.85970903865257</v>
      </c>
      <c r="E14" s="6">
        <f t="shared" si="0"/>
        <v>341729.4956496979</v>
      </c>
    </row>
    <row r="15" spans="1:5" x14ac:dyDescent="0.2">
      <c r="A15" s="20"/>
    </row>
    <row r="16" spans="1:5" x14ac:dyDescent="0.2">
      <c r="A16" s="19" t="s">
        <v>62</v>
      </c>
      <c r="B16" s="5"/>
      <c r="C16" s="5"/>
      <c r="D16" s="5"/>
    </row>
    <row r="17" spans="1:4" x14ac:dyDescent="0.2">
      <c r="A17" s="4">
        <v>2003</v>
      </c>
      <c r="B17" s="27">
        <f>ROUND(B3/'Rate Class Energy Model'!J7,6)</f>
        <v>2.7139999999999998E-3</v>
      </c>
      <c r="C17" s="27">
        <f>ROUND(C3/'Rate Class Energy Model'!K7,6)</f>
        <v>2.7230000000000002E-3</v>
      </c>
      <c r="D17" s="27">
        <f>ROUND(D3/'Rate Class Energy Model'!L7,6)</f>
        <v>2.9220000000000001E-3</v>
      </c>
    </row>
    <row r="18" spans="1:4" x14ac:dyDescent="0.2">
      <c r="A18" s="4">
        <v>2004</v>
      </c>
      <c r="B18" s="27">
        <f>ROUND(B4/'Rate Class Energy Model'!J8,6)</f>
        <v>2.7950000000000002E-3</v>
      </c>
      <c r="C18" s="27">
        <f>ROUND(C4/'Rate Class Energy Model'!K8,6)</f>
        <v>2.7780000000000001E-3</v>
      </c>
      <c r="D18" s="27">
        <f>ROUND(D4/'Rate Class Energy Model'!L8,6)</f>
        <v>2.7569999999999999E-3</v>
      </c>
    </row>
    <row r="19" spans="1:4" x14ac:dyDescent="0.2">
      <c r="A19" s="4">
        <v>2005</v>
      </c>
      <c r="B19" s="27">
        <f>ROUND(B5/'Rate Class Energy Model'!J9,6)</f>
        <v>2.8110000000000001E-3</v>
      </c>
      <c r="C19" s="27">
        <f>ROUND(C5/'Rate Class Energy Model'!K9,6)</f>
        <v>2.6029999999999998E-3</v>
      </c>
      <c r="D19" s="27">
        <f>ROUND(D5/'Rate Class Energy Model'!L9,6)</f>
        <v>2.7460000000000002E-3</v>
      </c>
    </row>
    <row r="20" spans="1:4" x14ac:dyDescent="0.2">
      <c r="A20" s="4">
        <v>2006</v>
      </c>
      <c r="B20" s="27">
        <f>ROUND(B6/'Rate Class Energy Model'!J10,6)</f>
        <v>2.8779999999999999E-3</v>
      </c>
      <c r="C20" s="27">
        <f>ROUND(C6/'Rate Class Energy Model'!K10,6)</f>
        <v>2.787E-3</v>
      </c>
      <c r="D20" s="27">
        <f>ROUND(D6/'Rate Class Energy Model'!L10,6)</f>
        <v>2.7539999999999999E-3</v>
      </c>
    </row>
    <row r="21" spans="1:4" x14ac:dyDescent="0.2">
      <c r="A21" s="4">
        <v>2007</v>
      </c>
      <c r="B21" s="27">
        <f>ROUND(B7/'Rate Class Energy Model'!J11,6)</f>
        <v>2.7680000000000001E-3</v>
      </c>
      <c r="C21" s="27">
        <f>ROUND(C7/'Rate Class Energy Model'!K11,6)</f>
        <v>2.787E-3</v>
      </c>
      <c r="D21" s="27">
        <f>ROUND(D7/'Rate Class Energy Model'!L11,6)</f>
        <v>2.7780000000000001E-3</v>
      </c>
    </row>
    <row r="22" spans="1:4" x14ac:dyDescent="0.2">
      <c r="A22" s="4">
        <v>2008</v>
      </c>
      <c r="B22" s="27">
        <f>ROUND(B8/'Rate Class Energy Model'!J12,6)</f>
        <v>2.7520000000000001E-3</v>
      </c>
      <c r="C22" s="27">
        <f>ROUND(C8/'Rate Class Energy Model'!K12,6)</f>
        <v>2.7799999999999999E-3</v>
      </c>
      <c r="D22" s="27">
        <f>ROUND(D8/'Rate Class Energy Model'!L12,6)</f>
        <v>2.761E-3</v>
      </c>
    </row>
    <row r="23" spans="1:4" x14ac:dyDescent="0.2">
      <c r="A23" s="4">
        <v>2009</v>
      </c>
      <c r="B23" s="27">
        <f>ROUND(B9/'Rate Class Energy Model'!J13,6)</f>
        <v>2.8969999999999998E-3</v>
      </c>
      <c r="C23" s="27">
        <f>ROUND(C9/'Rate Class Energy Model'!K13,6)</f>
        <v>2.8050000000000002E-3</v>
      </c>
      <c r="D23" s="27">
        <f>ROUND(D9/'Rate Class Energy Model'!L13,6)</f>
        <v>2.764E-3</v>
      </c>
    </row>
    <row r="24" spans="1:4" x14ac:dyDescent="0.2">
      <c r="A24" s="4">
        <v>2010</v>
      </c>
      <c r="B24" s="27">
        <f>ROUND(B10/'Rate Class Energy Model'!J14,6)</f>
        <v>2.8159999999999999E-3</v>
      </c>
      <c r="C24" s="27">
        <f>ROUND(C10/'Rate Class Energy Model'!K14,6)</f>
        <v>2.908E-3</v>
      </c>
      <c r="D24" s="27">
        <f>ROUND(D10/'Rate Class Energy Model'!L14,6)</f>
        <v>2.7669999999999999E-3</v>
      </c>
    </row>
    <row r="25" spans="1:4" x14ac:dyDescent="0.2">
      <c r="A25" s="4">
        <v>2011</v>
      </c>
      <c r="B25" s="27">
        <f>ROUND(B11/'Rate Class Energy Model'!J15,6)</f>
        <v>2.813E-3</v>
      </c>
      <c r="C25" s="27">
        <f>ROUND(C11/'Rate Class Energy Model'!K15,6)</f>
        <v>2.9030000000000002E-3</v>
      </c>
      <c r="D25" s="27">
        <f>ROUND(D11/'Rate Class Energy Model'!L15,6)</f>
        <v>2.7699999999999999E-3</v>
      </c>
    </row>
    <row r="26" spans="1:4" x14ac:dyDescent="0.2">
      <c r="A26" s="4">
        <v>2012</v>
      </c>
      <c r="B26" s="27">
        <f>ROUND(B12/'Rate Class Energy Model'!J16,6)</f>
        <v>2.843E-3</v>
      </c>
      <c r="C26" s="27">
        <f>ROUND(C12/'Rate Class Energy Model'!K16,6)</f>
        <v>2.7699999999999999E-3</v>
      </c>
      <c r="D26" s="27">
        <f>ROUND(D12/'Rate Class Energy Model'!L16,6)</f>
        <v>2.7720000000000002E-3</v>
      </c>
    </row>
    <row r="27" spans="1:4" x14ac:dyDescent="0.2">
      <c r="A27" s="4">
        <v>2013</v>
      </c>
      <c r="B27" s="27">
        <f>ROUND(B13/'Rate Class Energy Model'!J17,6)</f>
        <v>2.8029999999999999E-3</v>
      </c>
      <c r="C27" s="27">
        <f>ROUND(C13/'Rate Class Energy Model'!K17,6)</f>
        <v>2.8089999999999999E-3</v>
      </c>
      <c r="D27" s="27">
        <f>ROUND(D13/'Rate Class Energy Model'!L17,6)</f>
        <v>2.774E-3</v>
      </c>
    </row>
    <row r="29" spans="1:4" x14ac:dyDescent="0.2">
      <c r="A29" t="s">
        <v>13</v>
      </c>
      <c r="B29" s="27">
        <f>AVERAGE(B17:B27)</f>
        <v>2.8081818181818182E-3</v>
      </c>
      <c r="C29" s="27">
        <f>AVERAGE(C17:C27)</f>
        <v>2.7866363636363635E-3</v>
      </c>
      <c r="D29" s="27">
        <f>AVERAGE(D17:D27)</f>
        <v>2.7786363636363633E-3</v>
      </c>
    </row>
    <row r="36" spans="2:4" x14ac:dyDescent="0.2">
      <c r="B36" s="25"/>
      <c r="C36" s="25"/>
      <c r="D36" s="25"/>
    </row>
    <row r="37" spans="2:4" x14ac:dyDescent="0.2">
      <c r="B37" s="25"/>
      <c r="C37" s="25"/>
      <c r="D37" s="25"/>
    </row>
    <row r="56" spans="2:4" x14ac:dyDescent="0.2">
      <c r="B56" s="16"/>
      <c r="C56" s="16"/>
      <c r="D56" s="16"/>
    </row>
    <row r="57" spans="2:4" x14ac:dyDescent="0.2">
      <c r="B57" s="16"/>
      <c r="C57" s="16"/>
      <c r="D57" s="16"/>
    </row>
  </sheetData>
  <mergeCells count="1">
    <mergeCell ref="B1:E1"/>
  </mergeCells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orientation="landscape" r:id="rId1"/>
  <headerFooter scaleWithDoc="0" alignWithMargins="0">
    <oddFooter>&amp;L&amp;F
&amp;A&amp;RPage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25"/>
  <sheetViews>
    <sheetView zoomScaleNormal="100" workbookViewId="0">
      <selection activeCell="F9" sqref="F9"/>
    </sheetView>
  </sheetViews>
  <sheetFormatPr defaultRowHeight="12.75" x14ac:dyDescent="0.2"/>
  <cols>
    <col min="2" max="5" width="13.7109375" customWidth="1"/>
    <col min="6" max="6" width="12.85546875" bestFit="1" customWidth="1"/>
    <col min="7" max="7" width="13" bestFit="1" customWidth="1"/>
    <col min="8" max="8" width="12.85546875" bestFit="1" customWidth="1"/>
    <col min="10" max="10" width="12.7109375" customWidth="1"/>
    <col min="16" max="16" width="11.28515625" customWidth="1"/>
    <col min="17" max="17" width="10.140625" bestFit="1" customWidth="1"/>
    <col min="18" max="18" width="11.42578125" customWidth="1"/>
    <col min="19" max="19" width="11" customWidth="1"/>
    <col min="20" max="20" width="11.140625" bestFit="1" customWidth="1"/>
    <col min="25" max="25" width="13.140625" customWidth="1"/>
  </cols>
  <sheetData>
    <row r="1" spans="1:26" ht="51" x14ac:dyDescent="0.2">
      <c r="B1" s="52" t="s">
        <v>91</v>
      </c>
      <c r="C1" s="52" t="s">
        <v>92</v>
      </c>
      <c r="D1" s="52" t="s">
        <v>93</v>
      </c>
      <c r="E1" s="52" t="s">
        <v>94</v>
      </c>
      <c r="F1" s="52" t="s">
        <v>73</v>
      </c>
      <c r="G1" s="52" t="s">
        <v>74</v>
      </c>
      <c r="P1" s="205" t="s">
        <v>75</v>
      </c>
      <c r="Q1" s="205"/>
      <c r="R1" s="205"/>
    </row>
    <row r="2" spans="1:26" x14ac:dyDescent="0.2">
      <c r="A2">
        <v>2005</v>
      </c>
      <c r="F2" s="54"/>
      <c r="G2" s="55">
        <f>F2</f>
        <v>0</v>
      </c>
      <c r="H2" s="55">
        <f t="shared" ref="H2:H11" si="0">G2/$N$14</f>
        <v>0</v>
      </c>
      <c r="J2" s="204" t="s">
        <v>76</v>
      </c>
      <c r="K2" s="204"/>
      <c r="M2" s="53" t="s">
        <v>77</v>
      </c>
      <c r="N2" s="53">
        <v>1</v>
      </c>
      <c r="P2" s="206">
        <f>13.3*1000*1000</f>
        <v>13300000</v>
      </c>
      <c r="Q2" s="207"/>
      <c r="R2" s="207"/>
    </row>
    <row r="3" spans="1:26" ht="13.5" thickBot="1" x14ac:dyDescent="0.25">
      <c r="A3">
        <v>2006</v>
      </c>
      <c r="B3" s="130">
        <v>1804000</v>
      </c>
      <c r="C3" s="130">
        <v>1615000</v>
      </c>
      <c r="D3" s="59">
        <f>B3-C3</f>
        <v>189000</v>
      </c>
      <c r="E3" s="60">
        <f>D3/C3</f>
        <v>0.11702786377708978</v>
      </c>
      <c r="F3" s="55">
        <f>C3</f>
        <v>1615000</v>
      </c>
      <c r="G3" s="55">
        <f>F3</f>
        <v>1615000</v>
      </c>
      <c r="H3" s="55">
        <f t="shared" si="0"/>
        <v>20705.128205128207</v>
      </c>
      <c r="J3" s="56">
        <f>G27</f>
        <v>1615000</v>
      </c>
      <c r="K3" s="56">
        <f t="shared" ref="K3:K11" si="1">F3-J3</f>
        <v>0</v>
      </c>
      <c r="M3" s="53" t="s">
        <v>78</v>
      </c>
      <c r="N3" s="53">
        <v>2</v>
      </c>
    </row>
    <row r="4" spans="1:26" x14ac:dyDescent="0.2">
      <c r="A4">
        <v>2007</v>
      </c>
      <c r="B4" s="130">
        <v>9975000</v>
      </c>
      <c r="C4" s="130">
        <v>4219000</v>
      </c>
      <c r="D4" s="59">
        <f t="shared" ref="D4:D11" si="2">B4-C4</f>
        <v>5756000</v>
      </c>
      <c r="E4" s="60">
        <f t="shared" ref="E4:E12" si="3">D4/C4</f>
        <v>1.3643043375207395</v>
      </c>
      <c r="F4" s="55">
        <f>C4</f>
        <v>4219000</v>
      </c>
      <c r="G4" s="55">
        <f>F4-H27</f>
        <v>1237461.5384615376</v>
      </c>
      <c r="H4" s="55">
        <f t="shared" si="0"/>
        <v>15864.891518737661</v>
      </c>
      <c r="J4" s="56">
        <f>G39</f>
        <v>4219000</v>
      </c>
      <c r="K4" s="56">
        <f t="shared" si="1"/>
        <v>0</v>
      </c>
      <c r="M4" s="53" t="s">
        <v>79</v>
      </c>
      <c r="N4" s="53">
        <v>3</v>
      </c>
      <c r="P4" s="208" t="s">
        <v>119</v>
      </c>
      <c r="Q4" s="209"/>
      <c r="R4" s="209"/>
      <c r="S4" s="209"/>
      <c r="T4" s="210"/>
    </row>
    <row r="5" spans="1:26" x14ac:dyDescent="0.2">
      <c r="A5">
        <v>2008</v>
      </c>
      <c r="B5" s="130">
        <v>7964000</v>
      </c>
      <c r="C5" s="130">
        <v>5231000</v>
      </c>
      <c r="D5" s="59">
        <f t="shared" si="2"/>
        <v>2733000</v>
      </c>
      <c r="E5" s="60">
        <f t="shared" si="3"/>
        <v>0.5224622443127509</v>
      </c>
      <c r="F5" s="55">
        <f>C5</f>
        <v>5231000</v>
      </c>
      <c r="G5" s="55">
        <f>F5-H39</f>
        <v>-35082.840236685239</v>
      </c>
      <c r="H5" s="55">
        <f t="shared" si="0"/>
        <v>-449.78000303442616</v>
      </c>
      <c r="J5" s="56">
        <f>G51</f>
        <v>5230999.9999999972</v>
      </c>
      <c r="K5" s="56">
        <f t="shared" si="1"/>
        <v>0</v>
      </c>
      <c r="M5" s="53" t="s">
        <v>80</v>
      </c>
      <c r="N5" s="53">
        <v>4</v>
      </c>
      <c r="P5" s="62">
        <v>2011</v>
      </c>
      <c r="Q5" s="53">
        <v>2012</v>
      </c>
      <c r="R5" s="53">
        <v>2013</v>
      </c>
      <c r="S5" s="53">
        <v>2014</v>
      </c>
      <c r="T5" s="63" t="s">
        <v>9</v>
      </c>
    </row>
    <row r="6" spans="1:26" x14ac:dyDescent="0.2">
      <c r="A6">
        <v>2009</v>
      </c>
      <c r="B6" s="130">
        <v>11381000</v>
      </c>
      <c r="C6" s="130">
        <v>7867000</v>
      </c>
      <c r="D6" s="59">
        <f t="shared" si="2"/>
        <v>3514000</v>
      </c>
      <c r="E6" s="60">
        <f t="shared" si="3"/>
        <v>0.44667598830558025</v>
      </c>
      <c r="F6" s="55">
        <f>C6</f>
        <v>7867000</v>
      </c>
      <c r="G6" s="55">
        <f>F6-H51</f>
        <v>2665685.4802002758</v>
      </c>
      <c r="H6" s="55">
        <f t="shared" si="0"/>
        <v>34175.454874362513</v>
      </c>
      <c r="J6" s="56">
        <f>G63</f>
        <v>7867000.0000000019</v>
      </c>
      <c r="K6" s="56">
        <f t="shared" si="1"/>
        <v>0</v>
      </c>
      <c r="M6" s="53" t="s">
        <v>81</v>
      </c>
      <c r="N6" s="53">
        <v>5</v>
      </c>
      <c r="P6" s="126">
        <f>P12/$P$2</f>
        <v>0.11719556390977444</v>
      </c>
      <c r="Q6" s="77">
        <f>Q12/$P$2</f>
        <v>0.11710255639097744</v>
      </c>
      <c r="R6" s="77">
        <f>R12/$P$2</f>
        <v>0.11710255639097744</v>
      </c>
      <c r="S6" s="77">
        <f>S12/$P$2</f>
        <v>0.11396150375939849</v>
      </c>
      <c r="T6" s="65">
        <f>SUM(P6:S6)</f>
        <v>0.46536218045112782</v>
      </c>
    </row>
    <row r="7" spans="1:26" x14ac:dyDescent="0.2">
      <c r="A7">
        <v>2010</v>
      </c>
      <c r="B7" s="130">
        <v>12532000</v>
      </c>
      <c r="C7" s="130">
        <v>8048000</v>
      </c>
      <c r="D7" s="59">
        <f t="shared" si="2"/>
        <v>4484000</v>
      </c>
      <c r="E7" s="60">
        <f t="shared" si="3"/>
        <v>0.55715705765407553</v>
      </c>
      <c r="F7" s="55">
        <f>C7</f>
        <v>8048000</v>
      </c>
      <c r="G7" s="55">
        <f>F7-H63</f>
        <v>-2074580.0217079315</v>
      </c>
      <c r="H7" s="55">
        <f t="shared" si="0"/>
        <v>-26597.1797654863</v>
      </c>
      <c r="J7" s="56">
        <f>G75</f>
        <v>8048000.0000000019</v>
      </c>
      <c r="K7" s="56">
        <f t="shared" si="1"/>
        <v>0</v>
      </c>
      <c r="M7" s="53" t="s">
        <v>82</v>
      </c>
      <c r="N7" s="53">
        <v>6</v>
      </c>
      <c r="P7" s="66"/>
      <c r="Q7" s="64">
        <f>Q13/$P$2</f>
        <v>7.6111578947368419E-2</v>
      </c>
      <c r="R7" s="64">
        <f t="shared" ref="R7:S7" si="4">R13/$P$2</f>
        <v>7.587330827067669E-2</v>
      </c>
      <c r="S7" s="64">
        <f t="shared" si="4"/>
        <v>7.587323308270677E-2</v>
      </c>
      <c r="T7" s="65">
        <f>SUM(P7:S7)</f>
        <v>0.22785812030075187</v>
      </c>
    </row>
    <row r="8" spans="1:26" x14ac:dyDescent="0.2">
      <c r="A8">
        <v>2011</v>
      </c>
      <c r="B8" s="130">
        <v>11103000</v>
      </c>
      <c r="C8" s="130">
        <v>6611000</v>
      </c>
      <c r="D8" s="59">
        <f t="shared" si="2"/>
        <v>4492000</v>
      </c>
      <c r="E8" s="60">
        <f t="shared" si="3"/>
        <v>0.67947360459839656</v>
      </c>
      <c r="F8" s="55">
        <f>C8+P12</f>
        <v>8169701</v>
      </c>
      <c r="G8" s="55">
        <f>F8-H75</f>
        <v>1877114.864522092</v>
      </c>
      <c r="H8" s="55">
        <f t="shared" si="0"/>
        <v>24065.575186180668</v>
      </c>
      <c r="J8" s="56">
        <f>G87</f>
        <v>8169700.9999999981</v>
      </c>
      <c r="K8" s="56">
        <f t="shared" si="1"/>
        <v>0</v>
      </c>
      <c r="M8" s="53" t="s">
        <v>83</v>
      </c>
      <c r="N8" s="53">
        <v>7</v>
      </c>
      <c r="P8" s="67"/>
      <c r="Q8" s="64"/>
      <c r="R8" s="64">
        <f>(100%-T6-T7)/3</f>
        <v>0.10225989974937343</v>
      </c>
      <c r="S8" s="64">
        <f>R8</f>
        <v>0.10225989974937343</v>
      </c>
      <c r="T8" s="65">
        <f>SUM(P8:S8)</f>
        <v>0.20451979949874685</v>
      </c>
    </row>
    <row r="9" spans="1:26" x14ac:dyDescent="0.2">
      <c r="A9">
        <v>2012</v>
      </c>
      <c r="B9" s="130">
        <v>10804000</v>
      </c>
      <c r="C9" s="130">
        <v>6483000</v>
      </c>
      <c r="D9" s="59">
        <f t="shared" si="2"/>
        <v>4321000</v>
      </c>
      <c r="E9" s="60">
        <f t="shared" si="3"/>
        <v>0.66651241709085296</v>
      </c>
      <c r="F9" s="55">
        <f>C9+Q12+Q13</f>
        <v>9052748</v>
      </c>
      <c r="G9" s="55">
        <f>F9-H87</f>
        <v>-705280.96228792146</v>
      </c>
      <c r="H9" s="55">
        <f t="shared" si="0"/>
        <v>-9042.063619075916</v>
      </c>
      <c r="J9" s="56">
        <f>G99</f>
        <v>9052747.9999999981</v>
      </c>
      <c r="K9" s="56">
        <f t="shared" si="1"/>
        <v>0</v>
      </c>
      <c r="M9" s="53" t="s">
        <v>84</v>
      </c>
      <c r="N9" s="53">
        <v>8</v>
      </c>
      <c r="P9" s="67"/>
      <c r="Q9" s="68"/>
      <c r="R9" s="64"/>
      <c r="S9" s="64">
        <f>S8</f>
        <v>0.10225989974937343</v>
      </c>
      <c r="T9" s="65">
        <f>SUM(P9:S9)</f>
        <v>0.10225989974937343</v>
      </c>
    </row>
    <row r="10" spans="1:26" x14ac:dyDescent="0.2">
      <c r="A10">
        <v>2013</v>
      </c>
      <c r="B10" s="130">
        <v>10693000</v>
      </c>
      <c r="C10" s="130">
        <v>6427000</v>
      </c>
      <c r="D10" s="59">
        <f t="shared" si="2"/>
        <v>4266000</v>
      </c>
      <c r="E10" s="60">
        <f t="shared" si="3"/>
        <v>0.66376225299517655</v>
      </c>
      <c r="F10" s="55">
        <f>C10+R12+R13</f>
        <v>8993579</v>
      </c>
      <c r="G10" s="55">
        <f>F10-H99</f>
        <v>537607.19885901175</v>
      </c>
      <c r="H10" s="55">
        <f t="shared" si="0"/>
        <v>6892.3999853719451</v>
      </c>
      <c r="J10" s="56">
        <f>G111</f>
        <v>8993579.0000000019</v>
      </c>
      <c r="K10" s="56">
        <f t="shared" si="1"/>
        <v>0</v>
      </c>
      <c r="M10" s="53" t="s">
        <v>85</v>
      </c>
      <c r="N10" s="53">
        <v>9</v>
      </c>
      <c r="P10" s="66">
        <f>SUM(P6:P9)</f>
        <v>0.11719556390977444</v>
      </c>
      <c r="Q10" s="64">
        <f>SUM(Q6:Q9)</f>
        <v>0.19321413533834586</v>
      </c>
      <c r="R10" s="64">
        <f>SUM(R6:R9)</f>
        <v>0.29523576441102756</v>
      </c>
      <c r="S10" s="64">
        <f>SUM(S6:S9)</f>
        <v>0.39435453634085216</v>
      </c>
      <c r="T10" s="65">
        <f>SUM(P10:S10)</f>
        <v>1</v>
      </c>
    </row>
    <row r="11" spans="1:26" x14ac:dyDescent="0.2">
      <c r="A11">
        <v>2014</v>
      </c>
      <c r="B11" s="130">
        <v>10125000</v>
      </c>
      <c r="C11" s="130">
        <v>6135000</v>
      </c>
      <c r="D11" s="59">
        <f t="shared" si="2"/>
        <v>3990000</v>
      </c>
      <c r="E11" s="60">
        <f t="shared" si="3"/>
        <v>0.65036674816625917</v>
      </c>
      <c r="F11" s="55">
        <f>C11+S12+S13</f>
        <v>8659802</v>
      </c>
      <c r="G11" s="55">
        <f>F11-H111</f>
        <v>-788675.39903455228</v>
      </c>
      <c r="H11" s="55">
        <f t="shared" si="0"/>
        <v>-10111.223064545542</v>
      </c>
      <c r="J11" s="56">
        <f>G123</f>
        <v>8659802.0000000019</v>
      </c>
      <c r="K11" s="56">
        <f t="shared" si="1"/>
        <v>0</v>
      </c>
      <c r="M11" s="53" t="s">
        <v>86</v>
      </c>
      <c r="N11" s="53">
        <v>10</v>
      </c>
      <c r="P11" s="211"/>
      <c r="Q11" s="205"/>
      <c r="R11" s="205"/>
      <c r="S11" s="205"/>
      <c r="T11" s="212"/>
    </row>
    <row r="12" spans="1:26" ht="26.25" customHeight="1" x14ac:dyDescent="0.2">
      <c r="A12" t="s">
        <v>9</v>
      </c>
      <c r="B12" s="55">
        <f>SUM(B3:B11)</f>
        <v>86381000</v>
      </c>
      <c r="C12" s="55">
        <f>SUM(C3:C11)</f>
        <v>52636000</v>
      </c>
      <c r="D12" s="55">
        <f>SUM(D3:D11)</f>
        <v>33745000</v>
      </c>
      <c r="E12" s="60">
        <f t="shared" si="3"/>
        <v>0.64110114750360969</v>
      </c>
      <c r="F12" s="55">
        <f>SUM(F3:F11)</f>
        <v>61855830</v>
      </c>
      <c r="G12" s="55"/>
      <c r="H12" s="55"/>
      <c r="J12" s="55">
        <f>SUM(J3:J11)</f>
        <v>61855830</v>
      </c>
      <c r="K12" s="56">
        <f>SUM(K3:K11)</f>
        <v>0</v>
      </c>
      <c r="M12" s="53" t="s">
        <v>87</v>
      </c>
      <c r="N12" s="53">
        <v>11</v>
      </c>
      <c r="P12" s="131">
        <f>1563743-5042</f>
        <v>1558701</v>
      </c>
      <c r="Q12" s="132">
        <f>1562506-5042</f>
        <v>1557464</v>
      </c>
      <c r="R12" s="132">
        <f>1562506-5042</f>
        <v>1557464</v>
      </c>
      <c r="S12" s="132">
        <f>1520730-5042</f>
        <v>1515688</v>
      </c>
      <c r="T12" s="70">
        <f>SUM(P12:S12)</f>
        <v>6189317</v>
      </c>
      <c r="U12" s="222" t="s">
        <v>174</v>
      </c>
      <c r="V12" s="223"/>
      <c r="W12" s="223"/>
      <c r="X12" s="223"/>
      <c r="Y12" s="223"/>
      <c r="Z12" s="223"/>
    </row>
    <row r="13" spans="1:26" x14ac:dyDescent="0.2">
      <c r="F13" s="55"/>
      <c r="H13" s="55"/>
      <c r="M13" s="53" t="s">
        <v>89</v>
      </c>
      <c r="N13" s="53">
        <v>12</v>
      </c>
      <c r="P13" s="69"/>
      <c r="Q13" s="132">
        <v>1012284</v>
      </c>
      <c r="R13" s="132">
        <v>1009115</v>
      </c>
      <c r="S13" s="132">
        <f>1009117-3</f>
        <v>1009114</v>
      </c>
      <c r="T13" s="70">
        <f>SUM(P13:S13)</f>
        <v>3030513</v>
      </c>
      <c r="U13" s="83" t="s">
        <v>145</v>
      </c>
    </row>
    <row r="14" spans="1:26" x14ac:dyDescent="0.2">
      <c r="F14" s="55" t="s">
        <v>88</v>
      </c>
      <c r="M14" s="53" t="s">
        <v>9</v>
      </c>
      <c r="N14" s="53">
        <f>SUM(N2:N13)</f>
        <v>78</v>
      </c>
      <c r="P14" s="69"/>
      <c r="Q14" s="58"/>
      <c r="R14" s="58">
        <f>P2*R8</f>
        <v>1360056.6666666665</v>
      </c>
      <c r="S14" s="58">
        <f>R14</f>
        <v>1360056.6666666665</v>
      </c>
      <c r="T14" s="70">
        <f>SUM(P14:S14)</f>
        <v>2720113.333333333</v>
      </c>
    </row>
    <row r="15" spans="1:26" x14ac:dyDescent="0.2">
      <c r="F15" s="55"/>
      <c r="P15" s="69"/>
      <c r="Q15" s="58"/>
      <c r="R15" s="58"/>
      <c r="S15" s="58">
        <f>S14</f>
        <v>1360056.6666666665</v>
      </c>
      <c r="T15" s="70">
        <f>SUM(P15:S15)</f>
        <v>1360056.6666666665</v>
      </c>
    </row>
    <row r="16" spans="1:26" ht="13.5" thickBot="1" x14ac:dyDescent="0.25">
      <c r="A16" s="3">
        <v>38718</v>
      </c>
      <c r="B16" s="3"/>
      <c r="C16" s="3"/>
      <c r="D16" s="61"/>
      <c r="E16" s="61"/>
      <c r="F16" s="55">
        <f>$H$3</f>
        <v>20705.128205128207</v>
      </c>
      <c r="J16" s="56"/>
      <c r="P16" s="71">
        <f>SUM(P12:P15)</f>
        <v>1558701</v>
      </c>
      <c r="Q16" s="72">
        <f>SUM(Q12:Q15)</f>
        <v>2569748</v>
      </c>
      <c r="R16" s="72">
        <f>SUM(R12:R15)</f>
        <v>3926635.6666666665</v>
      </c>
      <c r="S16" s="72">
        <f>SUM(S12:S15)</f>
        <v>5244915.333333333</v>
      </c>
      <c r="T16" s="73">
        <f>SUM(P16:S16)</f>
        <v>13300000</v>
      </c>
    </row>
    <row r="17" spans="1:58" x14ac:dyDescent="0.2">
      <c r="A17" s="3">
        <v>38749</v>
      </c>
      <c r="B17" s="3"/>
      <c r="C17" s="3"/>
      <c r="D17" s="61"/>
      <c r="E17" s="61"/>
      <c r="F17" s="55">
        <f t="shared" ref="F17:F27" si="5">F16+$H$3</f>
        <v>41410.256410256414</v>
      </c>
    </row>
    <row r="18" spans="1:58" ht="12.75" customHeight="1" x14ac:dyDescent="0.2">
      <c r="A18" s="3">
        <v>38777</v>
      </c>
      <c r="B18" s="3"/>
      <c r="C18" s="3"/>
      <c r="D18" s="61"/>
      <c r="E18" s="61"/>
      <c r="F18" s="55">
        <f t="shared" si="5"/>
        <v>62115.384615384624</v>
      </c>
    </row>
    <row r="19" spans="1:58" x14ac:dyDescent="0.2">
      <c r="A19" s="3">
        <v>38808</v>
      </c>
      <c r="B19" s="3"/>
      <c r="C19" s="3"/>
      <c r="D19" s="61"/>
      <c r="E19" s="61"/>
      <c r="F19" s="55">
        <f t="shared" si="5"/>
        <v>82820.512820512828</v>
      </c>
      <c r="S19" s="61"/>
    </row>
    <row r="20" spans="1:58" x14ac:dyDescent="0.2">
      <c r="A20" s="3">
        <v>38838</v>
      </c>
      <c r="B20" s="3"/>
      <c r="C20" s="3"/>
      <c r="D20" s="61"/>
      <c r="E20" s="61"/>
      <c r="F20" s="55">
        <f t="shared" si="5"/>
        <v>103525.64102564103</v>
      </c>
    </row>
    <row r="21" spans="1:58" x14ac:dyDescent="0.2">
      <c r="A21" s="3">
        <v>38869</v>
      </c>
      <c r="B21" s="3"/>
      <c r="C21" s="3"/>
      <c r="D21" s="61"/>
      <c r="E21" s="61"/>
      <c r="F21" s="55">
        <f t="shared" si="5"/>
        <v>124230.76923076923</v>
      </c>
    </row>
    <row r="22" spans="1:58" x14ac:dyDescent="0.2">
      <c r="A22" s="3">
        <v>38899</v>
      </c>
      <c r="B22" s="3"/>
      <c r="C22" s="3"/>
      <c r="D22" s="61"/>
      <c r="E22" s="61"/>
      <c r="F22" s="55">
        <f t="shared" si="5"/>
        <v>144935.89743589744</v>
      </c>
    </row>
    <row r="23" spans="1:58" x14ac:dyDescent="0.2">
      <c r="A23" s="3">
        <v>38930</v>
      </c>
      <c r="B23" s="3"/>
      <c r="C23" s="3"/>
      <c r="D23" s="61"/>
      <c r="E23" s="61"/>
      <c r="F23" s="55">
        <f t="shared" si="5"/>
        <v>165641.02564102566</v>
      </c>
    </row>
    <row r="24" spans="1:58" x14ac:dyDescent="0.2">
      <c r="A24" s="3">
        <v>38961</v>
      </c>
      <c r="B24" s="3"/>
      <c r="C24" s="3"/>
      <c r="D24" s="61"/>
      <c r="E24" s="61"/>
      <c r="F24" s="55">
        <f t="shared" si="5"/>
        <v>186346.15384615387</v>
      </c>
    </row>
    <row r="25" spans="1:58" x14ac:dyDescent="0.2">
      <c r="A25" s="3">
        <v>38991</v>
      </c>
      <c r="B25" s="3"/>
      <c r="C25" s="3"/>
      <c r="D25" s="61"/>
      <c r="E25" s="61"/>
      <c r="F25" s="55">
        <f t="shared" si="5"/>
        <v>207051.28205128209</v>
      </c>
    </row>
    <row r="26" spans="1:58" x14ac:dyDescent="0.2">
      <c r="A26" s="3">
        <v>39022</v>
      </c>
      <c r="B26" s="3"/>
      <c r="C26" s="3"/>
      <c r="D26" s="61"/>
      <c r="E26" s="61"/>
      <c r="F26" s="55">
        <f t="shared" si="5"/>
        <v>227756.41025641031</v>
      </c>
      <c r="G26" s="4" t="s">
        <v>76</v>
      </c>
      <c r="BF26" t="s">
        <v>96</v>
      </c>
    </row>
    <row r="27" spans="1:58" x14ac:dyDescent="0.2">
      <c r="A27" s="3">
        <v>39052</v>
      </c>
      <c r="B27" s="3"/>
      <c r="C27" s="3"/>
      <c r="D27" s="61"/>
      <c r="E27" s="61"/>
      <c r="F27" s="55">
        <f t="shared" si="5"/>
        <v>248461.53846153853</v>
      </c>
      <c r="G27" s="55">
        <f>SUM(F16:F27)</f>
        <v>1615000</v>
      </c>
      <c r="H27" s="55">
        <f>F27*12</f>
        <v>2981538.4615384624</v>
      </c>
      <c r="AB27" s="61"/>
    </row>
    <row r="28" spans="1:58" x14ac:dyDescent="0.2">
      <c r="A28" s="3">
        <v>39083</v>
      </c>
      <c r="B28" s="3"/>
      <c r="C28" s="3"/>
      <c r="D28" s="61"/>
      <c r="E28" s="61"/>
      <c r="F28" s="55">
        <f t="shared" ref="F28:F39" si="6">F27+$H$4</f>
        <v>264326.42998027621</v>
      </c>
    </row>
    <row r="29" spans="1:58" x14ac:dyDescent="0.2">
      <c r="A29" s="3">
        <v>39114</v>
      </c>
      <c r="B29" s="3"/>
      <c r="C29" s="3"/>
      <c r="D29" s="61"/>
      <c r="E29" s="61"/>
      <c r="F29" s="55">
        <f t="shared" si="6"/>
        <v>280191.32149901387</v>
      </c>
    </row>
    <row r="30" spans="1:58" x14ac:dyDescent="0.2">
      <c r="A30" s="3">
        <v>39142</v>
      </c>
      <c r="B30" s="3"/>
      <c r="C30" s="3"/>
      <c r="D30" s="61"/>
      <c r="E30" s="61"/>
      <c r="F30" s="55">
        <f t="shared" si="6"/>
        <v>296056.21301775152</v>
      </c>
    </row>
    <row r="31" spans="1:58" x14ac:dyDescent="0.2">
      <c r="A31" s="3">
        <v>39173</v>
      </c>
      <c r="B31" s="3"/>
      <c r="C31" s="3"/>
      <c r="D31" s="61"/>
      <c r="E31" s="61"/>
      <c r="F31" s="55">
        <f t="shared" si="6"/>
        <v>311921.10453648918</v>
      </c>
    </row>
    <row r="32" spans="1:58" x14ac:dyDescent="0.2">
      <c r="A32" s="3">
        <v>39203</v>
      </c>
      <c r="B32" s="3"/>
      <c r="C32" s="3"/>
      <c r="D32" s="61"/>
      <c r="E32" s="61"/>
      <c r="F32" s="55">
        <f t="shared" si="6"/>
        <v>327785.99605522683</v>
      </c>
    </row>
    <row r="33" spans="1:8" x14ac:dyDescent="0.2">
      <c r="A33" s="3">
        <v>39234</v>
      </c>
      <c r="B33" s="3"/>
      <c r="C33" s="3"/>
      <c r="D33" s="61"/>
      <c r="E33" s="61"/>
      <c r="F33" s="55">
        <f t="shared" si="6"/>
        <v>343650.88757396449</v>
      </c>
    </row>
    <row r="34" spans="1:8" x14ac:dyDescent="0.2">
      <c r="A34" s="3">
        <v>39264</v>
      </c>
      <c r="B34" s="3"/>
      <c r="C34" s="3"/>
      <c r="D34" s="61"/>
      <c r="E34" s="61"/>
      <c r="F34" s="55">
        <f t="shared" si="6"/>
        <v>359515.77909270214</v>
      </c>
    </row>
    <row r="35" spans="1:8" x14ac:dyDescent="0.2">
      <c r="A35" s="3">
        <v>39295</v>
      </c>
      <c r="B35" s="3"/>
      <c r="C35" s="3"/>
      <c r="D35" s="61"/>
      <c r="E35" s="61"/>
      <c r="F35" s="55">
        <f t="shared" si="6"/>
        <v>375380.6706114398</v>
      </c>
    </row>
    <row r="36" spans="1:8" x14ac:dyDescent="0.2">
      <c r="A36" s="3">
        <v>39326</v>
      </c>
      <c r="B36" s="3"/>
      <c r="C36" s="3"/>
      <c r="D36" s="61"/>
      <c r="E36" s="61"/>
      <c r="F36" s="55">
        <f t="shared" si="6"/>
        <v>391245.56213017745</v>
      </c>
    </row>
    <row r="37" spans="1:8" x14ac:dyDescent="0.2">
      <c r="A37" s="3">
        <v>39356</v>
      </c>
      <c r="B37" s="3"/>
      <c r="C37" s="3"/>
      <c r="D37" s="61"/>
      <c r="E37" s="61"/>
      <c r="F37" s="55">
        <f t="shared" si="6"/>
        <v>407110.45364891511</v>
      </c>
    </row>
    <row r="38" spans="1:8" x14ac:dyDescent="0.2">
      <c r="A38" s="3">
        <v>39387</v>
      </c>
      <c r="B38" s="3"/>
      <c r="C38" s="3"/>
      <c r="D38" s="61"/>
      <c r="E38" s="61"/>
      <c r="F38" s="55">
        <f t="shared" si="6"/>
        <v>422975.34516765276</v>
      </c>
      <c r="G38" s="4" t="s">
        <v>76</v>
      </c>
    </row>
    <row r="39" spans="1:8" x14ac:dyDescent="0.2">
      <c r="A39" s="3">
        <v>39417</v>
      </c>
      <c r="B39" s="3"/>
      <c r="C39" s="3"/>
      <c r="D39" s="61"/>
      <c r="E39" s="61"/>
      <c r="F39" s="55">
        <f t="shared" si="6"/>
        <v>438840.23668639042</v>
      </c>
      <c r="G39" s="55">
        <f>SUM(F28:F39)</f>
        <v>4219000</v>
      </c>
      <c r="H39" s="55">
        <f>F39*12</f>
        <v>5266082.8402366852</v>
      </c>
    </row>
    <row r="40" spans="1:8" x14ac:dyDescent="0.2">
      <c r="A40" s="3">
        <v>39448</v>
      </c>
      <c r="B40" s="3"/>
      <c r="C40" s="3"/>
      <c r="D40" s="61"/>
      <c r="E40" s="61"/>
      <c r="F40" s="55">
        <f t="shared" ref="F40:F51" si="7">F39+$H$5</f>
        <v>438390.45668335597</v>
      </c>
    </row>
    <row r="41" spans="1:8" x14ac:dyDescent="0.2">
      <c r="A41" s="3">
        <v>39479</v>
      </c>
      <c r="B41" s="3"/>
      <c r="C41" s="3"/>
      <c r="D41" s="61"/>
      <c r="E41" s="61"/>
      <c r="F41" s="55">
        <f t="shared" si="7"/>
        <v>437940.67668032151</v>
      </c>
    </row>
    <row r="42" spans="1:8" x14ac:dyDescent="0.2">
      <c r="A42" s="3">
        <v>39508</v>
      </c>
      <c r="B42" s="3"/>
      <c r="C42" s="3"/>
      <c r="D42" s="61"/>
      <c r="E42" s="61"/>
      <c r="F42" s="55">
        <f t="shared" si="7"/>
        <v>437490.89667728706</v>
      </c>
    </row>
    <row r="43" spans="1:8" x14ac:dyDescent="0.2">
      <c r="A43" s="3">
        <v>39539</v>
      </c>
      <c r="B43" s="3"/>
      <c r="C43" s="3"/>
      <c r="D43" s="61"/>
      <c r="E43" s="61"/>
      <c r="F43" s="55">
        <f t="shared" si="7"/>
        <v>437041.11667425261</v>
      </c>
    </row>
    <row r="44" spans="1:8" x14ac:dyDescent="0.2">
      <c r="A44" s="3">
        <v>39569</v>
      </c>
      <c r="B44" s="3"/>
      <c r="C44" s="3"/>
      <c r="D44" s="61"/>
      <c r="E44" s="61"/>
      <c r="F44" s="55">
        <f t="shared" si="7"/>
        <v>436591.33667121816</v>
      </c>
    </row>
    <row r="45" spans="1:8" x14ac:dyDescent="0.2">
      <c r="A45" s="3">
        <v>39600</v>
      </c>
      <c r="B45" s="3"/>
      <c r="C45" s="3"/>
      <c r="D45" s="61"/>
      <c r="E45" s="61"/>
      <c r="F45" s="55">
        <f t="shared" si="7"/>
        <v>436141.55666818371</v>
      </c>
    </row>
    <row r="46" spans="1:8" x14ac:dyDescent="0.2">
      <c r="A46" s="3">
        <v>39630</v>
      </c>
      <c r="B46" s="3"/>
      <c r="C46" s="3"/>
      <c r="D46" s="61"/>
      <c r="E46" s="61"/>
      <c r="F46" s="55">
        <f t="shared" si="7"/>
        <v>435691.77666514926</v>
      </c>
    </row>
    <row r="47" spans="1:8" x14ac:dyDescent="0.2">
      <c r="A47" s="3">
        <v>39661</v>
      </c>
      <c r="B47" s="3"/>
      <c r="C47" s="3"/>
      <c r="D47" s="61"/>
      <c r="E47" s="61"/>
      <c r="F47" s="55">
        <f t="shared" si="7"/>
        <v>435241.99666211481</v>
      </c>
    </row>
    <row r="48" spans="1:8" x14ac:dyDescent="0.2">
      <c r="A48" s="3">
        <v>39692</v>
      </c>
      <c r="B48" s="3"/>
      <c r="C48" s="3"/>
      <c r="D48" s="61"/>
      <c r="E48" s="61"/>
      <c r="F48" s="55">
        <f t="shared" si="7"/>
        <v>434792.21665908035</v>
      </c>
    </row>
    <row r="49" spans="1:8" x14ac:dyDescent="0.2">
      <c r="A49" s="3">
        <v>39722</v>
      </c>
      <c r="B49" s="3"/>
      <c r="C49" s="3"/>
      <c r="D49" s="61"/>
      <c r="E49" s="61"/>
      <c r="F49" s="55">
        <f t="shared" si="7"/>
        <v>434342.4366560459</v>
      </c>
    </row>
    <row r="50" spans="1:8" x14ac:dyDescent="0.2">
      <c r="A50" s="3">
        <v>39753</v>
      </c>
      <c r="B50" s="3"/>
      <c r="C50" s="3"/>
      <c r="D50" s="61"/>
      <c r="E50" s="61"/>
      <c r="F50" s="55">
        <f t="shared" si="7"/>
        <v>433892.65665301145</v>
      </c>
    </row>
    <row r="51" spans="1:8" x14ac:dyDescent="0.2">
      <c r="A51" s="3">
        <v>39783</v>
      </c>
      <c r="B51" s="3"/>
      <c r="C51" s="3"/>
      <c r="D51" s="61"/>
      <c r="E51" s="61"/>
      <c r="F51" s="55">
        <f t="shared" si="7"/>
        <v>433442.876649977</v>
      </c>
      <c r="G51" s="55">
        <f>SUM(F40:F51)</f>
        <v>5230999.9999999972</v>
      </c>
      <c r="H51" s="55">
        <f>F51*12</f>
        <v>5201314.5197997242</v>
      </c>
    </row>
    <row r="52" spans="1:8" x14ac:dyDescent="0.2">
      <c r="A52" s="3">
        <v>39814</v>
      </c>
      <c r="B52" s="3"/>
      <c r="C52" s="3"/>
      <c r="D52" s="61"/>
      <c r="E52" s="61"/>
      <c r="F52" s="55">
        <f t="shared" ref="F52:F63" si="8">F51+$H$6</f>
        <v>467618.3315243395</v>
      </c>
    </row>
    <row r="53" spans="1:8" x14ac:dyDescent="0.2">
      <c r="A53" s="3">
        <v>39845</v>
      </c>
      <c r="B53" s="3"/>
      <c r="C53" s="3"/>
      <c r="D53" s="61"/>
      <c r="E53" s="61"/>
      <c r="F53" s="55">
        <f t="shared" si="8"/>
        <v>501793.78639870201</v>
      </c>
    </row>
    <row r="54" spans="1:8" x14ac:dyDescent="0.2">
      <c r="A54" s="3">
        <v>39873</v>
      </c>
      <c r="B54" s="3"/>
      <c r="C54" s="3"/>
      <c r="D54" s="61"/>
      <c r="E54" s="61"/>
      <c r="F54" s="55">
        <f t="shared" si="8"/>
        <v>535969.24127306452</v>
      </c>
    </row>
    <row r="55" spans="1:8" x14ac:dyDescent="0.2">
      <c r="A55" s="3">
        <v>39904</v>
      </c>
      <c r="B55" s="3"/>
      <c r="C55" s="3"/>
      <c r="D55" s="61"/>
      <c r="E55" s="61"/>
      <c r="F55" s="55">
        <f t="shared" si="8"/>
        <v>570144.69614742708</v>
      </c>
    </row>
    <row r="56" spans="1:8" x14ac:dyDescent="0.2">
      <c r="A56" s="3">
        <v>39934</v>
      </c>
      <c r="B56" s="3"/>
      <c r="C56" s="3"/>
      <c r="D56" s="61"/>
      <c r="E56" s="61"/>
      <c r="F56" s="55">
        <f t="shared" si="8"/>
        <v>604320.15102178964</v>
      </c>
    </row>
    <row r="57" spans="1:8" x14ac:dyDescent="0.2">
      <c r="A57" s="3">
        <v>39965</v>
      </c>
      <c r="B57" s="3"/>
      <c r="C57" s="3"/>
      <c r="D57" s="61"/>
      <c r="E57" s="61"/>
      <c r="F57" s="55">
        <f t="shared" si="8"/>
        <v>638495.60589615221</v>
      </c>
    </row>
    <row r="58" spans="1:8" x14ac:dyDescent="0.2">
      <c r="A58" s="3">
        <v>39995</v>
      </c>
      <c r="B58" s="3"/>
      <c r="C58" s="3"/>
      <c r="D58" s="61"/>
      <c r="E58" s="61"/>
      <c r="F58" s="55">
        <f t="shared" si="8"/>
        <v>672671.06077051477</v>
      </c>
    </row>
    <row r="59" spans="1:8" x14ac:dyDescent="0.2">
      <c r="A59" s="3">
        <v>40026</v>
      </c>
      <c r="B59" s="3"/>
      <c r="C59" s="3"/>
      <c r="D59" s="61"/>
      <c r="E59" s="61"/>
      <c r="F59" s="55">
        <f t="shared" si="8"/>
        <v>706846.51564487733</v>
      </c>
    </row>
    <row r="60" spans="1:8" x14ac:dyDescent="0.2">
      <c r="A60" s="3">
        <v>40057</v>
      </c>
      <c r="B60" s="3"/>
      <c r="C60" s="3"/>
      <c r="D60" s="61"/>
      <c r="E60" s="61"/>
      <c r="F60" s="55">
        <f t="shared" si="8"/>
        <v>741021.9705192399</v>
      </c>
    </row>
    <row r="61" spans="1:8" x14ac:dyDescent="0.2">
      <c r="A61" s="3">
        <v>40087</v>
      </c>
      <c r="B61" s="3"/>
      <c r="C61" s="3"/>
      <c r="D61" s="61"/>
      <c r="E61" s="61"/>
      <c r="F61" s="55">
        <f t="shared" si="8"/>
        <v>775197.42539360246</v>
      </c>
    </row>
    <row r="62" spans="1:8" x14ac:dyDescent="0.2">
      <c r="A62" s="3">
        <v>40118</v>
      </c>
      <c r="B62" s="3"/>
      <c r="C62" s="3"/>
      <c r="D62" s="61"/>
      <c r="E62" s="61"/>
      <c r="F62" s="55">
        <f t="shared" si="8"/>
        <v>809372.88026796503</v>
      </c>
    </row>
    <row r="63" spans="1:8" x14ac:dyDescent="0.2">
      <c r="A63" s="3">
        <v>40148</v>
      </c>
      <c r="B63" s="3"/>
      <c r="C63" s="3"/>
      <c r="D63" s="61"/>
      <c r="E63" s="61"/>
      <c r="F63" s="55">
        <f t="shared" si="8"/>
        <v>843548.33514232759</v>
      </c>
      <c r="G63" s="55">
        <f>SUM(F52:F63)</f>
        <v>7867000.0000000019</v>
      </c>
      <c r="H63" s="55">
        <f>F63*12</f>
        <v>10122580.021707932</v>
      </c>
    </row>
    <row r="64" spans="1:8" x14ac:dyDescent="0.2">
      <c r="A64" s="3">
        <v>40179</v>
      </c>
      <c r="B64" s="3"/>
      <c r="C64" s="3"/>
      <c r="D64" s="61"/>
      <c r="E64" s="61"/>
      <c r="F64" s="55">
        <f t="shared" ref="F64:F75" si="9">F63+$H$7</f>
        <v>816951.15537684131</v>
      </c>
    </row>
    <row r="65" spans="1:8" x14ac:dyDescent="0.2">
      <c r="A65" s="3">
        <v>40210</v>
      </c>
      <c r="B65" s="3"/>
      <c r="C65" s="3"/>
      <c r="D65" s="61"/>
      <c r="E65" s="61"/>
      <c r="F65" s="55">
        <f t="shared" si="9"/>
        <v>790353.97561135504</v>
      </c>
    </row>
    <row r="66" spans="1:8" x14ac:dyDescent="0.2">
      <c r="A66" s="3">
        <v>40238</v>
      </c>
      <c r="B66" s="3"/>
      <c r="C66" s="3"/>
      <c r="D66" s="61"/>
      <c r="E66" s="61"/>
      <c r="F66" s="55">
        <f t="shared" si="9"/>
        <v>763756.79584586876</v>
      </c>
    </row>
    <row r="67" spans="1:8" x14ac:dyDescent="0.2">
      <c r="A67" s="3">
        <v>40269</v>
      </c>
      <c r="B67" s="3"/>
      <c r="C67" s="3"/>
      <c r="D67" s="61"/>
      <c r="E67" s="61"/>
      <c r="F67" s="55">
        <f t="shared" si="9"/>
        <v>737159.61608038249</v>
      </c>
    </row>
    <row r="68" spans="1:8" x14ac:dyDescent="0.2">
      <c r="A68" s="3">
        <v>40299</v>
      </c>
      <c r="B68" s="3"/>
      <c r="C68" s="3"/>
      <c r="D68" s="61"/>
      <c r="E68" s="61"/>
      <c r="F68" s="55">
        <f t="shared" si="9"/>
        <v>710562.43631489621</v>
      </c>
    </row>
    <row r="69" spans="1:8" x14ac:dyDescent="0.2">
      <c r="A69" s="3">
        <v>40330</v>
      </c>
      <c r="B69" s="3"/>
      <c r="C69" s="3"/>
      <c r="D69" s="61"/>
      <c r="E69" s="61"/>
      <c r="F69" s="55">
        <f t="shared" si="9"/>
        <v>683965.25654940994</v>
      </c>
    </row>
    <row r="70" spans="1:8" x14ac:dyDescent="0.2">
      <c r="A70" s="3">
        <v>40360</v>
      </c>
      <c r="B70" s="3"/>
      <c r="C70" s="3"/>
      <c r="D70" s="61"/>
      <c r="E70" s="61"/>
      <c r="F70" s="55">
        <f t="shared" si="9"/>
        <v>657368.07678392367</v>
      </c>
    </row>
    <row r="71" spans="1:8" x14ac:dyDescent="0.2">
      <c r="A71" s="3">
        <v>40391</v>
      </c>
      <c r="B71" s="3"/>
      <c r="C71" s="3"/>
      <c r="D71" s="61"/>
      <c r="E71" s="61"/>
      <c r="F71" s="55">
        <f t="shared" si="9"/>
        <v>630770.89701843739</v>
      </c>
    </row>
    <row r="72" spans="1:8" x14ac:dyDescent="0.2">
      <c r="A72" s="3">
        <v>40422</v>
      </c>
      <c r="B72" s="3"/>
      <c r="C72" s="3"/>
      <c r="D72" s="61"/>
      <c r="E72" s="61"/>
      <c r="F72" s="55">
        <f t="shared" si="9"/>
        <v>604173.71725295112</v>
      </c>
    </row>
    <row r="73" spans="1:8" x14ac:dyDescent="0.2">
      <c r="A73" s="3">
        <v>40452</v>
      </c>
      <c r="B73" s="3"/>
      <c r="C73" s="3"/>
      <c r="D73" s="61"/>
      <c r="E73" s="61"/>
      <c r="F73" s="55">
        <f t="shared" si="9"/>
        <v>577576.53748746484</v>
      </c>
    </row>
    <row r="74" spans="1:8" x14ac:dyDescent="0.2">
      <c r="A74" s="3">
        <v>40483</v>
      </c>
      <c r="B74" s="3"/>
      <c r="C74" s="3"/>
      <c r="D74" s="61"/>
      <c r="E74" s="61"/>
      <c r="F74" s="55">
        <f t="shared" si="9"/>
        <v>550979.35772197857</v>
      </c>
    </row>
    <row r="75" spans="1:8" x14ac:dyDescent="0.2">
      <c r="A75" s="3">
        <v>40513</v>
      </c>
      <c r="B75" s="3"/>
      <c r="C75" s="3"/>
      <c r="D75" s="61"/>
      <c r="E75" s="61"/>
      <c r="F75" s="55">
        <f t="shared" si="9"/>
        <v>524382.17795649229</v>
      </c>
      <c r="G75" s="55">
        <f>SUM(F64:F75)</f>
        <v>8048000.0000000019</v>
      </c>
      <c r="H75" s="55">
        <f>F75*12</f>
        <v>6292586.135477908</v>
      </c>
    </row>
    <row r="76" spans="1:8" x14ac:dyDescent="0.2">
      <c r="A76" s="3">
        <v>40544</v>
      </c>
      <c r="B76" s="3"/>
      <c r="C76" s="3"/>
      <c r="D76" s="61"/>
      <c r="E76" s="61"/>
      <c r="F76" s="55">
        <f t="shared" ref="F76:F87" si="10">F75+$H$8</f>
        <v>548447.75314267294</v>
      </c>
    </row>
    <row r="77" spans="1:8" x14ac:dyDescent="0.2">
      <c r="A77" s="3">
        <v>40575</v>
      </c>
      <c r="B77" s="3"/>
      <c r="C77" s="3"/>
      <c r="D77" s="61"/>
      <c r="E77" s="61"/>
      <c r="F77" s="55">
        <f t="shared" si="10"/>
        <v>572513.32832885359</v>
      </c>
    </row>
    <row r="78" spans="1:8" x14ac:dyDescent="0.2">
      <c r="A78" s="3">
        <v>40603</v>
      </c>
      <c r="B78" s="3"/>
      <c r="C78" s="3"/>
      <c r="D78" s="61"/>
      <c r="E78" s="61"/>
      <c r="F78" s="55">
        <f t="shared" si="10"/>
        <v>596578.90351503424</v>
      </c>
    </row>
    <row r="79" spans="1:8" x14ac:dyDescent="0.2">
      <c r="A79" s="3">
        <v>40634</v>
      </c>
      <c r="B79" s="3"/>
      <c r="C79" s="3"/>
      <c r="D79" s="61"/>
      <c r="E79" s="61"/>
      <c r="F79" s="55">
        <f t="shared" si="10"/>
        <v>620644.47870121489</v>
      </c>
    </row>
    <row r="80" spans="1:8" x14ac:dyDescent="0.2">
      <c r="A80" s="3">
        <v>40664</v>
      </c>
      <c r="B80" s="3"/>
      <c r="C80" s="3"/>
      <c r="D80" s="61"/>
      <c r="E80" s="61"/>
      <c r="F80" s="55">
        <f t="shared" si="10"/>
        <v>644710.05388739554</v>
      </c>
    </row>
    <row r="81" spans="1:8" x14ac:dyDescent="0.2">
      <c r="A81" s="3">
        <v>40695</v>
      </c>
      <c r="B81" s="3"/>
      <c r="C81" s="3"/>
      <c r="D81" s="61"/>
      <c r="E81" s="61"/>
      <c r="F81" s="55">
        <f t="shared" si="10"/>
        <v>668775.62907357619</v>
      </c>
    </row>
    <row r="82" spans="1:8" x14ac:dyDescent="0.2">
      <c r="A82" s="3">
        <v>40725</v>
      </c>
      <c r="B82" s="3"/>
      <c r="C82" s="3"/>
      <c r="D82" s="61"/>
      <c r="E82" s="61"/>
      <c r="F82" s="55">
        <f t="shared" si="10"/>
        <v>692841.20425975684</v>
      </c>
    </row>
    <row r="83" spans="1:8" x14ac:dyDescent="0.2">
      <c r="A83" s="3">
        <v>40756</v>
      </c>
      <c r="B83" s="3"/>
      <c r="C83" s="3"/>
      <c r="D83" s="61"/>
      <c r="E83" s="61"/>
      <c r="F83" s="55">
        <f t="shared" si="10"/>
        <v>716906.77944593749</v>
      </c>
    </row>
    <row r="84" spans="1:8" x14ac:dyDescent="0.2">
      <c r="A84" s="3">
        <v>40787</v>
      </c>
      <c r="B84" s="3"/>
      <c r="C84" s="3"/>
      <c r="D84" s="61"/>
      <c r="E84" s="61"/>
      <c r="F84" s="55">
        <f t="shared" si="10"/>
        <v>740972.35463211813</v>
      </c>
    </row>
    <row r="85" spans="1:8" x14ac:dyDescent="0.2">
      <c r="A85" s="3">
        <v>40817</v>
      </c>
      <c r="B85" s="3"/>
      <c r="C85" s="3"/>
      <c r="D85" s="61"/>
      <c r="E85" s="61"/>
      <c r="F85" s="55">
        <f t="shared" si="10"/>
        <v>765037.92981829878</v>
      </c>
    </row>
    <row r="86" spans="1:8" x14ac:dyDescent="0.2">
      <c r="A86" s="3">
        <v>40848</v>
      </c>
      <c r="B86" s="3"/>
      <c r="C86" s="3"/>
      <c r="D86" s="61"/>
      <c r="E86" s="61"/>
      <c r="F86" s="55">
        <f t="shared" si="10"/>
        <v>789103.50500447943</v>
      </c>
    </row>
    <row r="87" spans="1:8" x14ac:dyDescent="0.2">
      <c r="A87" s="3">
        <v>40878</v>
      </c>
      <c r="B87" s="3"/>
      <c r="C87" s="3"/>
      <c r="D87" s="61"/>
      <c r="E87" s="61"/>
      <c r="F87" s="55">
        <f t="shared" si="10"/>
        <v>813169.08019066008</v>
      </c>
      <c r="G87" s="55">
        <f>SUM(F76:F87)</f>
        <v>8169700.9999999981</v>
      </c>
      <c r="H87" s="55">
        <f>F87*12</f>
        <v>9758028.9622879215</v>
      </c>
    </row>
    <row r="88" spans="1:8" x14ac:dyDescent="0.2">
      <c r="A88" s="3">
        <v>40909</v>
      </c>
      <c r="B88" s="3"/>
      <c r="C88" s="3"/>
      <c r="D88" s="61"/>
      <c r="E88" s="61"/>
      <c r="F88" s="55">
        <f t="shared" ref="F88:F99" si="11">F87+$H$9</f>
        <v>804127.01657158416</v>
      </c>
    </row>
    <row r="89" spans="1:8" x14ac:dyDescent="0.2">
      <c r="A89" s="3">
        <v>40940</v>
      </c>
      <c r="B89" s="3"/>
      <c r="C89" s="3"/>
      <c r="D89" s="61"/>
      <c r="E89" s="61"/>
      <c r="F89" s="55">
        <f t="shared" si="11"/>
        <v>795084.95295250823</v>
      </c>
    </row>
    <row r="90" spans="1:8" x14ac:dyDescent="0.2">
      <c r="A90" s="3">
        <v>40969</v>
      </c>
      <c r="B90" s="3"/>
      <c r="C90" s="3"/>
      <c r="D90" s="61"/>
      <c r="E90" s="61"/>
      <c r="F90" s="55">
        <f t="shared" si="11"/>
        <v>786042.88933343231</v>
      </c>
    </row>
    <row r="91" spans="1:8" x14ac:dyDescent="0.2">
      <c r="A91" s="3">
        <v>41000</v>
      </c>
      <c r="B91" s="3"/>
      <c r="C91" s="3"/>
      <c r="D91" s="61"/>
      <c r="E91" s="61"/>
      <c r="F91" s="55">
        <f t="shared" si="11"/>
        <v>777000.82571435638</v>
      </c>
    </row>
    <row r="92" spans="1:8" x14ac:dyDescent="0.2">
      <c r="A92" s="3">
        <v>41030</v>
      </c>
      <c r="B92" s="3"/>
      <c r="C92" s="3"/>
      <c r="D92" s="61"/>
      <c r="E92" s="61"/>
      <c r="F92" s="55">
        <f t="shared" si="11"/>
        <v>767958.76209528046</v>
      </c>
    </row>
    <row r="93" spans="1:8" x14ac:dyDescent="0.2">
      <c r="A93" s="3">
        <v>41061</v>
      </c>
      <c r="B93" s="3"/>
      <c r="C93" s="3"/>
      <c r="D93" s="61"/>
      <c r="E93" s="61"/>
      <c r="F93" s="55">
        <f t="shared" si="11"/>
        <v>758916.69847620453</v>
      </c>
    </row>
    <row r="94" spans="1:8" x14ac:dyDescent="0.2">
      <c r="A94" s="3">
        <v>41091</v>
      </c>
      <c r="B94" s="3"/>
      <c r="C94" s="3"/>
      <c r="D94" s="61"/>
      <c r="E94" s="61"/>
      <c r="F94" s="55">
        <f t="shared" si="11"/>
        <v>749874.63485712861</v>
      </c>
    </row>
    <row r="95" spans="1:8" x14ac:dyDescent="0.2">
      <c r="A95" s="3">
        <v>41122</v>
      </c>
      <c r="B95" s="3"/>
      <c r="C95" s="3"/>
      <c r="D95" s="61"/>
      <c r="E95" s="61"/>
      <c r="F95" s="55">
        <f t="shared" si="11"/>
        <v>740832.57123805268</v>
      </c>
    </row>
    <row r="96" spans="1:8" x14ac:dyDescent="0.2">
      <c r="A96" s="3">
        <v>41153</v>
      </c>
      <c r="B96" s="3"/>
      <c r="C96" s="3"/>
      <c r="D96" s="61"/>
      <c r="E96" s="61"/>
      <c r="F96" s="55">
        <f t="shared" si="11"/>
        <v>731790.50761897676</v>
      </c>
    </row>
    <row r="97" spans="1:8" x14ac:dyDescent="0.2">
      <c r="A97" s="3">
        <v>41183</v>
      </c>
      <c r="B97" s="3"/>
      <c r="C97" s="3"/>
      <c r="D97" s="61"/>
      <c r="E97" s="61"/>
      <c r="F97" s="55">
        <f t="shared" si="11"/>
        <v>722748.44399990083</v>
      </c>
    </row>
    <row r="98" spans="1:8" x14ac:dyDescent="0.2">
      <c r="A98" s="3">
        <v>41214</v>
      </c>
      <c r="B98" s="3"/>
      <c r="C98" s="3"/>
      <c r="D98" s="61"/>
      <c r="E98" s="61"/>
      <c r="F98" s="55">
        <f t="shared" si="11"/>
        <v>713706.38038082491</v>
      </c>
    </row>
    <row r="99" spans="1:8" x14ac:dyDescent="0.2">
      <c r="A99" s="3">
        <v>41244</v>
      </c>
      <c r="B99" s="3"/>
      <c r="C99" s="3"/>
      <c r="D99" s="61"/>
      <c r="E99" s="61"/>
      <c r="F99" s="55">
        <f t="shared" si="11"/>
        <v>704664.31676174898</v>
      </c>
      <c r="G99" s="55">
        <f>SUM(F88:F99)</f>
        <v>9052747.9999999981</v>
      </c>
      <c r="H99" s="55">
        <f>F99*12</f>
        <v>8455971.8011409882</v>
      </c>
    </row>
    <row r="100" spans="1:8" x14ac:dyDescent="0.2">
      <c r="A100" s="3">
        <v>41275</v>
      </c>
      <c r="B100" s="3"/>
      <c r="C100" s="3"/>
      <c r="D100" s="61"/>
      <c r="E100" s="61"/>
      <c r="F100" s="55">
        <f t="shared" ref="F100:F111" si="12">F99+$H$10</f>
        <v>711556.71674712095</v>
      </c>
    </row>
    <row r="101" spans="1:8" x14ac:dyDescent="0.2">
      <c r="A101" s="3">
        <v>41306</v>
      </c>
      <c r="B101" s="3"/>
      <c r="C101" s="3"/>
      <c r="D101" s="61"/>
      <c r="E101" s="61"/>
      <c r="F101" s="55">
        <f t="shared" si="12"/>
        <v>718449.11673249293</v>
      </c>
    </row>
    <row r="102" spans="1:8" x14ac:dyDescent="0.2">
      <c r="A102" s="3">
        <v>41334</v>
      </c>
      <c r="B102" s="3"/>
      <c r="C102" s="3"/>
      <c r="D102" s="61"/>
      <c r="E102" s="61"/>
      <c r="F102" s="55">
        <f t="shared" si="12"/>
        <v>725341.5167178649</v>
      </c>
    </row>
    <row r="103" spans="1:8" x14ac:dyDescent="0.2">
      <c r="A103" s="3">
        <v>41365</v>
      </c>
      <c r="B103" s="3"/>
      <c r="C103" s="3"/>
      <c r="D103" s="61"/>
      <c r="E103" s="61"/>
      <c r="F103" s="55">
        <f t="shared" si="12"/>
        <v>732233.91670323687</v>
      </c>
    </row>
    <row r="104" spans="1:8" x14ac:dyDescent="0.2">
      <c r="A104" s="3">
        <v>41395</v>
      </c>
      <c r="B104" s="3"/>
      <c r="C104" s="3"/>
      <c r="D104" s="61"/>
      <c r="E104" s="61"/>
      <c r="F104" s="55">
        <f t="shared" si="12"/>
        <v>739126.31668860884</v>
      </c>
    </row>
    <row r="105" spans="1:8" x14ac:dyDescent="0.2">
      <c r="A105" s="3">
        <v>41426</v>
      </c>
      <c r="B105" s="3"/>
      <c r="C105" s="3"/>
      <c r="D105" s="61"/>
      <c r="E105" s="61"/>
      <c r="F105" s="55">
        <f t="shared" si="12"/>
        <v>746018.71667398082</v>
      </c>
    </row>
    <row r="106" spans="1:8" x14ac:dyDescent="0.2">
      <c r="A106" s="3">
        <v>41456</v>
      </c>
      <c r="B106" s="3"/>
      <c r="C106" s="3"/>
      <c r="D106" s="61"/>
      <c r="E106" s="61"/>
      <c r="F106" s="55">
        <f t="shared" si="12"/>
        <v>752911.11665935279</v>
      </c>
    </row>
    <row r="107" spans="1:8" x14ac:dyDescent="0.2">
      <c r="A107" s="3">
        <v>41487</v>
      </c>
      <c r="B107" s="3"/>
      <c r="C107" s="3"/>
      <c r="D107" s="61"/>
      <c r="E107" s="61"/>
      <c r="F107" s="55">
        <f t="shared" si="12"/>
        <v>759803.51664472476</v>
      </c>
    </row>
    <row r="108" spans="1:8" x14ac:dyDescent="0.2">
      <c r="A108" s="3">
        <v>41518</v>
      </c>
      <c r="B108" s="3"/>
      <c r="C108" s="3"/>
      <c r="D108" s="61"/>
      <c r="E108" s="61"/>
      <c r="F108" s="55">
        <f t="shared" si="12"/>
        <v>766695.91663009673</v>
      </c>
    </row>
    <row r="109" spans="1:8" x14ac:dyDescent="0.2">
      <c r="A109" s="3">
        <v>41548</v>
      </c>
      <c r="B109" s="3"/>
      <c r="C109" s="3"/>
      <c r="D109" s="61"/>
      <c r="E109" s="61"/>
      <c r="F109" s="55">
        <f t="shared" si="12"/>
        <v>773588.31661546871</v>
      </c>
    </row>
    <row r="110" spans="1:8" x14ac:dyDescent="0.2">
      <c r="A110" s="3">
        <v>41579</v>
      </c>
      <c r="B110" s="3"/>
      <c r="C110" s="3"/>
      <c r="D110" s="61"/>
      <c r="E110" s="61"/>
      <c r="F110" s="55">
        <f t="shared" si="12"/>
        <v>780480.71660084068</v>
      </c>
    </row>
    <row r="111" spans="1:8" x14ac:dyDescent="0.2">
      <c r="A111" s="3">
        <v>41609</v>
      </c>
      <c r="B111" s="3"/>
      <c r="C111" s="3"/>
      <c r="D111" s="61"/>
      <c r="E111" s="61"/>
      <c r="F111" s="55">
        <f t="shared" si="12"/>
        <v>787373.11658621265</v>
      </c>
      <c r="G111" s="55">
        <f>SUM(F100:F111)</f>
        <v>8993579.0000000019</v>
      </c>
      <c r="H111" s="55">
        <f>F111*12</f>
        <v>9448477.3990345523</v>
      </c>
    </row>
    <row r="112" spans="1:8" x14ac:dyDescent="0.2">
      <c r="A112" s="3">
        <v>41640</v>
      </c>
      <c r="E112" s="61"/>
      <c r="F112" s="56">
        <f>F111+$H$11</f>
        <v>777261.89352166711</v>
      </c>
    </row>
    <row r="113" spans="1:8" x14ac:dyDescent="0.2">
      <c r="A113" s="3">
        <v>41671</v>
      </c>
      <c r="E113" s="61"/>
      <c r="F113" s="56">
        <f t="shared" ref="F113:F123" si="13">F112+$H$11</f>
        <v>767150.67045712157</v>
      </c>
    </row>
    <row r="114" spans="1:8" x14ac:dyDescent="0.2">
      <c r="A114" s="3">
        <v>41699</v>
      </c>
      <c r="E114" s="61"/>
      <c r="F114" s="56">
        <f t="shared" si="13"/>
        <v>757039.44739257602</v>
      </c>
    </row>
    <row r="115" spans="1:8" x14ac:dyDescent="0.2">
      <c r="A115" s="3">
        <v>41730</v>
      </c>
      <c r="E115" s="61"/>
      <c r="F115" s="56">
        <f t="shared" si="13"/>
        <v>746928.22432803048</v>
      </c>
    </row>
    <row r="116" spans="1:8" x14ac:dyDescent="0.2">
      <c r="A116" s="3">
        <v>41760</v>
      </c>
      <c r="E116" s="61"/>
      <c r="F116" s="56">
        <f t="shared" si="13"/>
        <v>736817.00126348494</v>
      </c>
    </row>
    <row r="117" spans="1:8" x14ac:dyDescent="0.2">
      <c r="A117" s="3">
        <v>41791</v>
      </c>
      <c r="E117" s="61"/>
      <c r="F117" s="56">
        <f t="shared" si="13"/>
        <v>726705.7781989394</v>
      </c>
    </row>
    <row r="118" spans="1:8" x14ac:dyDescent="0.2">
      <c r="A118" s="3">
        <v>41821</v>
      </c>
      <c r="E118" s="61"/>
      <c r="F118" s="56">
        <f t="shared" si="13"/>
        <v>716594.55513439386</v>
      </c>
    </row>
    <row r="119" spans="1:8" x14ac:dyDescent="0.2">
      <c r="A119" s="3">
        <v>41852</v>
      </c>
      <c r="E119" s="61"/>
      <c r="F119" s="56">
        <f t="shared" si="13"/>
        <v>706483.33206984831</v>
      </c>
    </row>
    <row r="120" spans="1:8" x14ac:dyDescent="0.2">
      <c r="A120" s="3">
        <v>41883</v>
      </c>
      <c r="E120" s="61"/>
      <c r="F120" s="56">
        <f t="shared" si="13"/>
        <v>696372.10900530277</v>
      </c>
    </row>
    <row r="121" spans="1:8" x14ac:dyDescent="0.2">
      <c r="A121" s="3">
        <v>41913</v>
      </c>
      <c r="E121" s="61"/>
      <c r="F121" s="56">
        <f t="shared" si="13"/>
        <v>686260.88594075723</v>
      </c>
    </row>
    <row r="122" spans="1:8" x14ac:dyDescent="0.2">
      <c r="A122" s="3">
        <v>41944</v>
      </c>
      <c r="E122" s="61"/>
      <c r="F122" s="56">
        <f t="shared" si="13"/>
        <v>676149.66287621169</v>
      </c>
    </row>
    <row r="123" spans="1:8" x14ac:dyDescent="0.2">
      <c r="A123" s="3">
        <v>41974</v>
      </c>
      <c r="E123" s="61"/>
      <c r="F123" s="56">
        <f t="shared" si="13"/>
        <v>666038.43981166615</v>
      </c>
      <c r="G123" s="55">
        <f>SUM(F112:F123)</f>
        <v>8659802.0000000019</v>
      </c>
      <c r="H123" s="55">
        <f>F123*12</f>
        <v>7992461.2777399942</v>
      </c>
    </row>
    <row r="124" spans="1:8" x14ac:dyDescent="0.2">
      <c r="A124" s="3"/>
    </row>
    <row r="125" spans="1:8" x14ac:dyDescent="0.2">
      <c r="F125" s="56"/>
    </row>
  </sheetData>
  <mergeCells count="6">
    <mergeCell ref="U12:Z12"/>
    <mergeCell ref="J2:K2"/>
    <mergeCell ref="P1:R1"/>
    <mergeCell ref="P2:R2"/>
    <mergeCell ref="P4:T4"/>
    <mergeCell ref="P11:T11"/>
  </mergeCells>
  <phoneticPr fontId="9" type="noConversion"/>
  <printOptions horizontalCentered="1" gridLines="1"/>
  <pageMargins left="0.39370078740157483" right="0.39370078740157483" top="0.59055118110236227" bottom="0.59055118110236227" header="0.31496062992125984" footer="0.31496062992125984"/>
  <pageSetup paperSize="17" scale="77" orientation="landscape" r:id="rId1"/>
  <headerFooter scaleWithDoc="0" alignWithMargins="0">
    <oddFooter>&amp;L&amp;F
&amp;A&amp;RPage &amp;P of &amp;N</oddFooter>
  </headerFooter>
  <rowBreaks count="1" manualBreakCount="1">
    <brk id="63" max="2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68"/>
  <sheetViews>
    <sheetView topLeftCell="E1" zoomScaleNormal="100" workbookViewId="0">
      <selection activeCell="U40" sqref="U40"/>
    </sheetView>
  </sheetViews>
  <sheetFormatPr defaultRowHeight="12.75" x14ac:dyDescent="0.2"/>
  <cols>
    <col min="1" max="1" width="11.28515625" style="82" customWidth="1"/>
    <col min="2" max="4" width="7.28515625" style="82" customWidth="1"/>
    <col min="5" max="5" width="7.28515625" style="84" customWidth="1"/>
    <col min="6" max="6" width="7.28515625" style="86" customWidth="1"/>
    <col min="7" max="22" width="7.28515625" customWidth="1"/>
    <col min="23" max="23" width="11.5703125" customWidth="1"/>
    <col min="24" max="24" width="10.42578125" customWidth="1"/>
    <col min="25" max="26" width="18" customWidth="1"/>
    <col min="27" max="27" width="17.140625" customWidth="1"/>
    <col min="28" max="29" width="15.7109375" customWidth="1"/>
    <col min="30" max="30" width="15" customWidth="1"/>
    <col min="31" max="32" width="14.140625" bestFit="1" customWidth="1"/>
    <col min="33" max="33" width="11.7109375" bestFit="1" customWidth="1"/>
    <col min="34" max="34" width="11.85546875" bestFit="1" customWidth="1"/>
    <col min="35" max="35" width="12.5703125" customWidth="1"/>
    <col min="36" max="36" width="11.28515625" customWidth="1"/>
    <col min="37" max="37" width="11.5703125" customWidth="1"/>
    <col min="38" max="38" width="9.28515625" customWidth="1"/>
    <col min="40" max="40" width="11.7109375" bestFit="1" customWidth="1"/>
    <col min="41" max="41" width="10.7109375" bestFit="1" customWidth="1"/>
    <col min="256" max="256" width="12.28515625" bestFit="1" customWidth="1"/>
    <col min="257" max="260" width="12.28515625" customWidth="1"/>
    <col min="261" max="261" width="11.7109375" customWidth="1"/>
    <col min="262" max="276" width="9.7109375" customWidth="1"/>
    <col min="277" max="277" width="11.5703125" bestFit="1" customWidth="1"/>
    <col min="278" max="278" width="8.140625" bestFit="1" customWidth="1"/>
    <col min="279" max="280" width="11.5703125" bestFit="1" customWidth="1"/>
    <col min="281" max="282" width="18" customWidth="1"/>
    <col min="283" max="283" width="17.140625" customWidth="1"/>
    <col min="284" max="285" width="15.7109375" customWidth="1"/>
    <col min="286" max="286" width="15" customWidth="1"/>
    <col min="287" max="288" width="14.140625" bestFit="1" customWidth="1"/>
    <col min="289" max="289" width="11.7109375" bestFit="1" customWidth="1"/>
    <col min="290" max="290" width="11.85546875" bestFit="1" customWidth="1"/>
    <col min="291" max="291" width="12.5703125" customWidth="1"/>
    <col min="292" max="292" width="11.28515625" customWidth="1"/>
    <col min="293" max="293" width="11.5703125" customWidth="1"/>
    <col min="294" max="294" width="9.28515625" customWidth="1"/>
    <col min="296" max="296" width="11.7109375" bestFit="1" customWidth="1"/>
    <col min="297" max="297" width="10.7109375" bestFit="1" customWidth="1"/>
    <col min="512" max="512" width="12.28515625" bestFit="1" customWidth="1"/>
    <col min="513" max="516" width="12.28515625" customWidth="1"/>
    <col min="517" max="517" width="11.7109375" customWidth="1"/>
    <col min="518" max="532" width="9.7109375" customWidth="1"/>
    <col min="533" max="533" width="11.5703125" bestFit="1" customWidth="1"/>
    <col min="534" max="534" width="8.140625" bestFit="1" customWidth="1"/>
    <col min="535" max="536" width="11.5703125" bestFit="1" customWidth="1"/>
    <col min="537" max="538" width="18" customWidth="1"/>
    <col min="539" max="539" width="17.140625" customWidth="1"/>
    <col min="540" max="541" width="15.7109375" customWidth="1"/>
    <col min="542" max="542" width="15" customWidth="1"/>
    <col min="543" max="544" width="14.140625" bestFit="1" customWidth="1"/>
    <col min="545" max="545" width="11.7109375" bestFit="1" customWidth="1"/>
    <col min="546" max="546" width="11.85546875" bestFit="1" customWidth="1"/>
    <col min="547" max="547" width="12.5703125" customWidth="1"/>
    <col min="548" max="548" width="11.28515625" customWidth="1"/>
    <col min="549" max="549" width="11.5703125" customWidth="1"/>
    <col min="550" max="550" width="9.28515625" customWidth="1"/>
    <col min="552" max="552" width="11.7109375" bestFit="1" customWidth="1"/>
    <col min="553" max="553" width="10.7109375" bestFit="1" customWidth="1"/>
    <col min="768" max="768" width="12.28515625" bestFit="1" customWidth="1"/>
    <col min="769" max="772" width="12.28515625" customWidth="1"/>
    <col min="773" max="773" width="11.7109375" customWidth="1"/>
    <col min="774" max="788" width="9.7109375" customWidth="1"/>
    <col min="789" max="789" width="11.5703125" bestFit="1" customWidth="1"/>
    <col min="790" max="790" width="8.140625" bestFit="1" customWidth="1"/>
    <col min="791" max="792" width="11.5703125" bestFit="1" customWidth="1"/>
    <col min="793" max="794" width="18" customWidth="1"/>
    <col min="795" max="795" width="17.140625" customWidth="1"/>
    <col min="796" max="797" width="15.7109375" customWidth="1"/>
    <col min="798" max="798" width="15" customWidth="1"/>
    <col min="799" max="800" width="14.140625" bestFit="1" customWidth="1"/>
    <col min="801" max="801" width="11.7109375" bestFit="1" customWidth="1"/>
    <col min="802" max="802" width="11.85546875" bestFit="1" customWidth="1"/>
    <col min="803" max="803" width="12.5703125" customWidth="1"/>
    <col min="804" max="804" width="11.28515625" customWidth="1"/>
    <col min="805" max="805" width="11.5703125" customWidth="1"/>
    <col min="806" max="806" width="9.28515625" customWidth="1"/>
    <col min="808" max="808" width="11.7109375" bestFit="1" customWidth="1"/>
    <col min="809" max="809" width="10.7109375" bestFit="1" customWidth="1"/>
    <col min="1024" max="1024" width="12.28515625" bestFit="1" customWidth="1"/>
    <col min="1025" max="1028" width="12.28515625" customWidth="1"/>
    <col min="1029" max="1029" width="11.7109375" customWidth="1"/>
    <col min="1030" max="1044" width="9.7109375" customWidth="1"/>
    <col min="1045" max="1045" width="11.5703125" bestFit="1" customWidth="1"/>
    <col min="1046" max="1046" width="8.140625" bestFit="1" customWidth="1"/>
    <col min="1047" max="1048" width="11.5703125" bestFit="1" customWidth="1"/>
    <col min="1049" max="1050" width="18" customWidth="1"/>
    <col min="1051" max="1051" width="17.140625" customWidth="1"/>
    <col min="1052" max="1053" width="15.7109375" customWidth="1"/>
    <col min="1054" max="1054" width="15" customWidth="1"/>
    <col min="1055" max="1056" width="14.140625" bestFit="1" customWidth="1"/>
    <col min="1057" max="1057" width="11.7109375" bestFit="1" customWidth="1"/>
    <col min="1058" max="1058" width="11.85546875" bestFit="1" customWidth="1"/>
    <col min="1059" max="1059" width="12.5703125" customWidth="1"/>
    <col min="1060" max="1060" width="11.28515625" customWidth="1"/>
    <col min="1061" max="1061" width="11.5703125" customWidth="1"/>
    <col min="1062" max="1062" width="9.28515625" customWidth="1"/>
    <col min="1064" max="1064" width="11.7109375" bestFit="1" customWidth="1"/>
    <col min="1065" max="1065" width="10.7109375" bestFit="1" customWidth="1"/>
    <col min="1280" max="1280" width="12.28515625" bestFit="1" customWidth="1"/>
    <col min="1281" max="1284" width="12.28515625" customWidth="1"/>
    <col min="1285" max="1285" width="11.7109375" customWidth="1"/>
    <col min="1286" max="1300" width="9.7109375" customWidth="1"/>
    <col min="1301" max="1301" width="11.5703125" bestFit="1" customWidth="1"/>
    <col min="1302" max="1302" width="8.140625" bestFit="1" customWidth="1"/>
    <col min="1303" max="1304" width="11.5703125" bestFit="1" customWidth="1"/>
    <col min="1305" max="1306" width="18" customWidth="1"/>
    <col min="1307" max="1307" width="17.140625" customWidth="1"/>
    <col min="1308" max="1309" width="15.7109375" customWidth="1"/>
    <col min="1310" max="1310" width="15" customWidth="1"/>
    <col min="1311" max="1312" width="14.140625" bestFit="1" customWidth="1"/>
    <col min="1313" max="1313" width="11.7109375" bestFit="1" customWidth="1"/>
    <col min="1314" max="1314" width="11.85546875" bestFit="1" customWidth="1"/>
    <col min="1315" max="1315" width="12.5703125" customWidth="1"/>
    <col min="1316" max="1316" width="11.28515625" customWidth="1"/>
    <col min="1317" max="1317" width="11.5703125" customWidth="1"/>
    <col min="1318" max="1318" width="9.28515625" customWidth="1"/>
    <col min="1320" max="1320" width="11.7109375" bestFit="1" customWidth="1"/>
    <col min="1321" max="1321" width="10.7109375" bestFit="1" customWidth="1"/>
    <col min="1536" max="1536" width="12.28515625" bestFit="1" customWidth="1"/>
    <col min="1537" max="1540" width="12.28515625" customWidth="1"/>
    <col min="1541" max="1541" width="11.7109375" customWidth="1"/>
    <col min="1542" max="1556" width="9.7109375" customWidth="1"/>
    <col min="1557" max="1557" width="11.5703125" bestFit="1" customWidth="1"/>
    <col min="1558" max="1558" width="8.140625" bestFit="1" customWidth="1"/>
    <col min="1559" max="1560" width="11.5703125" bestFit="1" customWidth="1"/>
    <col min="1561" max="1562" width="18" customWidth="1"/>
    <col min="1563" max="1563" width="17.140625" customWidth="1"/>
    <col min="1564" max="1565" width="15.7109375" customWidth="1"/>
    <col min="1566" max="1566" width="15" customWidth="1"/>
    <col min="1567" max="1568" width="14.140625" bestFit="1" customWidth="1"/>
    <col min="1569" max="1569" width="11.7109375" bestFit="1" customWidth="1"/>
    <col min="1570" max="1570" width="11.85546875" bestFit="1" customWidth="1"/>
    <col min="1571" max="1571" width="12.5703125" customWidth="1"/>
    <col min="1572" max="1572" width="11.28515625" customWidth="1"/>
    <col min="1573" max="1573" width="11.5703125" customWidth="1"/>
    <col min="1574" max="1574" width="9.28515625" customWidth="1"/>
    <col min="1576" max="1576" width="11.7109375" bestFit="1" customWidth="1"/>
    <col min="1577" max="1577" width="10.7109375" bestFit="1" customWidth="1"/>
    <col min="1792" max="1792" width="12.28515625" bestFit="1" customWidth="1"/>
    <col min="1793" max="1796" width="12.28515625" customWidth="1"/>
    <col min="1797" max="1797" width="11.7109375" customWidth="1"/>
    <col min="1798" max="1812" width="9.7109375" customWidth="1"/>
    <col min="1813" max="1813" width="11.5703125" bestFit="1" customWidth="1"/>
    <col min="1814" max="1814" width="8.140625" bestFit="1" customWidth="1"/>
    <col min="1815" max="1816" width="11.5703125" bestFit="1" customWidth="1"/>
    <col min="1817" max="1818" width="18" customWidth="1"/>
    <col min="1819" max="1819" width="17.140625" customWidth="1"/>
    <col min="1820" max="1821" width="15.7109375" customWidth="1"/>
    <col min="1822" max="1822" width="15" customWidth="1"/>
    <col min="1823" max="1824" width="14.140625" bestFit="1" customWidth="1"/>
    <col min="1825" max="1825" width="11.7109375" bestFit="1" customWidth="1"/>
    <col min="1826" max="1826" width="11.85546875" bestFit="1" customWidth="1"/>
    <col min="1827" max="1827" width="12.5703125" customWidth="1"/>
    <col min="1828" max="1828" width="11.28515625" customWidth="1"/>
    <col min="1829" max="1829" width="11.5703125" customWidth="1"/>
    <col min="1830" max="1830" width="9.28515625" customWidth="1"/>
    <col min="1832" max="1832" width="11.7109375" bestFit="1" customWidth="1"/>
    <col min="1833" max="1833" width="10.7109375" bestFit="1" customWidth="1"/>
    <col min="2048" max="2048" width="12.28515625" bestFit="1" customWidth="1"/>
    <col min="2049" max="2052" width="12.28515625" customWidth="1"/>
    <col min="2053" max="2053" width="11.7109375" customWidth="1"/>
    <col min="2054" max="2068" width="9.7109375" customWidth="1"/>
    <col min="2069" max="2069" width="11.5703125" bestFit="1" customWidth="1"/>
    <col min="2070" max="2070" width="8.140625" bestFit="1" customWidth="1"/>
    <col min="2071" max="2072" width="11.5703125" bestFit="1" customWidth="1"/>
    <col min="2073" max="2074" width="18" customWidth="1"/>
    <col min="2075" max="2075" width="17.140625" customWidth="1"/>
    <col min="2076" max="2077" width="15.7109375" customWidth="1"/>
    <col min="2078" max="2078" width="15" customWidth="1"/>
    <col min="2079" max="2080" width="14.140625" bestFit="1" customWidth="1"/>
    <col min="2081" max="2081" width="11.7109375" bestFit="1" customWidth="1"/>
    <col min="2082" max="2082" width="11.85546875" bestFit="1" customWidth="1"/>
    <col min="2083" max="2083" width="12.5703125" customWidth="1"/>
    <col min="2084" max="2084" width="11.28515625" customWidth="1"/>
    <col min="2085" max="2085" width="11.5703125" customWidth="1"/>
    <col min="2086" max="2086" width="9.28515625" customWidth="1"/>
    <col min="2088" max="2088" width="11.7109375" bestFit="1" customWidth="1"/>
    <col min="2089" max="2089" width="10.7109375" bestFit="1" customWidth="1"/>
    <col min="2304" max="2304" width="12.28515625" bestFit="1" customWidth="1"/>
    <col min="2305" max="2308" width="12.28515625" customWidth="1"/>
    <col min="2309" max="2309" width="11.7109375" customWidth="1"/>
    <col min="2310" max="2324" width="9.7109375" customWidth="1"/>
    <col min="2325" max="2325" width="11.5703125" bestFit="1" customWidth="1"/>
    <col min="2326" max="2326" width="8.140625" bestFit="1" customWidth="1"/>
    <col min="2327" max="2328" width="11.5703125" bestFit="1" customWidth="1"/>
    <col min="2329" max="2330" width="18" customWidth="1"/>
    <col min="2331" max="2331" width="17.140625" customWidth="1"/>
    <col min="2332" max="2333" width="15.7109375" customWidth="1"/>
    <col min="2334" max="2334" width="15" customWidth="1"/>
    <col min="2335" max="2336" width="14.140625" bestFit="1" customWidth="1"/>
    <col min="2337" max="2337" width="11.7109375" bestFit="1" customWidth="1"/>
    <col min="2338" max="2338" width="11.85546875" bestFit="1" customWidth="1"/>
    <col min="2339" max="2339" width="12.5703125" customWidth="1"/>
    <col min="2340" max="2340" width="11.28515625" customWidth="1"/>
    <col min="2341" max="2341" width="11.5703125" customWidth="1"/>
    <col min="2342" max="2342" width="9.28515625" customWidth="1"/>
    <col min="2344" max="2344" width="11.7109375" bestFit="1" customWidth="1"/>
    <col min="2345" max="2345" width="10.7109375" bestFit="1" customWidth="1"/>
    <col min="2560" max="2560" width="12.28515625" bestFit="1" customWidth="1"/>
    <col min="2561" max="2564" width="12.28515625" customWidth="1"/>
    <col min="2565" max="2565" width="11.7109375" customWidth="1"/>
    <col min="2566" max="2580" width="9.7109375" customWidth="1"/>
    <col min="2581" max="2581" width="11.5703125" bestFit="1" customWidth="1"/>
    <col min="2582" max="2582" width="8.140625" bestFit="1" customWidth="1"/>
    <col min="2583" max="2584" width="11.5703125" bestFit="1" customWidth="1"/>
    <col min="2585" max="2586" width="18" customWidth="1"/>
    <col min="2587" max="2587" width="17.140625" customWidth="1"/>
    <col min="2588" max="2589" width="15.7109375" customWidth="1"/>
    <col min="2590" max="2590" width="15" customWidth="1"/>
    <col min="2591" max="2592" width="14.140625" bestFit="1" customWidth="1"/>
    <col min="2593" max="2593" width="11.7109375" bestFit="1" customWidth="1"/>
    <col min="2594" max="2594" width="11.85546875" bestFit="1" customWidth="1"/>
    <col min="2595" max="2595" width="12.5703125" customWidth="1"/>
    <col min="2596" max="2596" width="11.28515625" customWidth="1"/>
    <col min="2597" max="2597" width="11.5703125" customWidth="1"/>
    <col min="2598" max="2598" width="9.28515625" customWidth="1"/>
    <col min="2600" max="2600" width="11.7109375" bestFit="1" customWidth="1"/>
    <col min="2601" max="2601" width="10.7109375" bestFit="1" customWidth="1"/>
    <col min="2816" max="2816" width="12.28515625" bestFit="1" customWidth="1"/>
    <col min="2817" max="2820" width="12.28515625" customWidth="1"/>
    <col min="2821" max="2821" width="11.7109375" customWidth="1"/>
    <col min="2822" max="2836" width="9.7109375" customWidth="1"/>
    <col min="2837" max="2837" width="11.5703125" bestFit="1" customWidth="1"/>
    <col min="2838" max="2838" width="8.140625" bestFit="1" customWidth="1"/>
    <col min="2839" max="2840" width="11.5703125" bestFit="1" customWidth="1"/>
    <col min="2841" max="2842" width="18" customWidth="1"/>
    <col min="2843" max="2843" width="17.140625" customWidth="1"/>
    <col min="2844" max="2845" width="15.7109375" customWidth="1"/>
    <col min="2846" max="2846" width="15" customWidth="1"/>
    <col min="2847" max="2848" width="14.140625" bestFit="1" customWidth="1"/>
    <col min="2849" max="2849" width="11.7109375" bestFit="1" customWidth="1"/>
    <col min="2850" max="2850" width="11.85546875" bestFit="1" customWidth="1"/>
    <col min="2851" max="2851" width="12.5703125" customWidth="1"/>
    <col min="2852" max="2852" width="11.28515625" customWidth="1"/>
    <col min="2853" max="2853" width="11.5703125" customWidth="1"/>
    <col min="2854" max="2854" width="9.28515625" customWidth="1"/>
    <col min="2856" max="2856" width="11.7109375" bestFit="1" customWidth="1"/>
    <col min="2857" max="2857" width="10.7109375" bestFit="1" customWidth="1"/>
    <col min="3072" max="3072" width="12.28515625" bestFit="1" customWidth="1"/>
    <col min="3073" max="3076" width="12.28515625" customWidth="1"/>
    <col min="3077" max="3077" width="11.7109375" customWidth="1"/>
    <col min="3078" max="3092" width="9.7109375" customWidth="1"/>
    <col min="3093" max="3093" width="11.5703125" bestFit="1" customWidth="1"/>
    <col min="3094" max="3094" width="8.140625" bestFit="1" customWidth="1"/>
    <col min="3095" max="3096" width="11.5703125" bestFit="1" customWidth="1"/>
    <col min="3097" max="3098" width="18" customWidth="1"/>
    <col min="3099" max="3099" width="17.140625" customWidth="1"/>
    <col min="3100" max="3101" width="15.7109375" customWidth="1"/>
    <col min="3102" max="3102" width="15" customWidth="1"/>
    <col min="3103" max="3104" width="14.140625" bestFit="1" customWidth="1"/>
    <col min="3105" max="3105" width="11.7109375" bestFit="1" customWidth="1"/>
    <col min="3106" max="3106" width="11.85546875" bestFit="1" customWidth="1"/>
    <col min="3107" max="3107" width="12.5703125" customWidth="1"/>
    <col min="3108" max="3108" width="11.28515625" customWidth="1"/>
    <col min="3109" max="3109" width="11.5703125" customWidth="1"/>
    <col min="3110" max="3110" width="9.28515625" customWidth="1"/>
    <col min="3112" max="3112" width="11.7109375" bestFit="1" customWidth="1"/>
    <col min="3113" max="3113" width="10.7109375" bestFit="1" customWidth="1"/>
    <col min="3328" max="3328" width="12.28515625" bestFit="1" customWidth="1"/>
    <col min="3329" max="3332" width="12.28515625" customWidth="1"/>
    <col min="3333" max="3333" width="11.7109375" customWidth="1"/>
    <col min="3334" max="3348" width="9.7109375" customWidth="1"/>
    <col min="3349" max="3349" width="11.5703125" bestFit="1" customWidth="1"/>
    <col min="3350" max="3350" width="8.140625" bestFit="1" customWidth="1"/>
    <col min="3351" max="3352" width="11.5703125" bestFit="1" customWidth="1"/>
    <col min="3353" max="3354" width="18" customWidth="1"/>
    <col min="3355" max="3355" width="17.140625" customWidth="1"/>
    <col min="3356" max="3357" width="15.7109375" customWidth="1"/>
    <col min="3358" max="3358" width="15" customWidth="1"/>
    <col min="3359" max="3360" width="14.140625" bestFit="1" customWidth="1"/>
    <col min="3361" max="3361" width="11.7109375" bestFit="1" customWidth="1"/>
    <col min="3362" max="3362" width="11.85546875" bestFit="1" customWidth="1"/>
    <col min="3363" max="3363" width="12.5703125" customWidth="1"/>
    <col min="3364" max="3364" width="11.28515625" customWidth="1"/>
    <col min="3365" max="3365" width="11.5703125" customWidth="1"/>
    <col min="3366" max="3366" width="9.28515625" customWidth="1"/>
    <col min="3368" max="3368" width="11.7109375" bestFit="1" customWidth="1"/>
    <col min="3369" max="3369" width="10.7109375" bestFit="1" customWidth="1"/>
    <col min="3584" max="3584" width="12.28515625" bestFit="1" customWidth="1"/>
    <col min="3585" max="3588" width="12.28515625" customWidth="1"/>
    <col min="3589" max="3589" width="11.7109375" customWidth="1"/>
    <col min="3590" max="3604" width="9.7109375" customWidth="1"/>
    <col min="3605" max="3605" width="11.5703125" bestFit="1" customWidth="1"/>
    <col min="3606" max="3606" width="8.140625" bestFit="1" customWidth="1"/>
    <col min="3607" max="3608" width="11.5703125" bestFit="1" customWidth="1"/>
    <col min="3609" max="3610" width="18" customWidth="1"/>
    <col min="3611" max="3611" width="17.140625" customWidth="1"/>
    <col min="3612" max="3613" width="15.7109375" customWidth="1"/>
    <col min="3614" max="3614" width="15" customWidth="1"/>
    <col min="3615" max="3616" width="14.140625" bestFit="1" customWidth="1"/>
    <col min="3617" max="3617" width="11.7109375" bestFit="1" customWidth="1"/>
    <col min="3618" max="3618" width="11.85546875" bestFit="1" customWidth="1"/>
    <col min="3619" max="3619" width="12.5703125" customWidth="1"/>
    <col min="3620" max="3620" width="11.28515625" customWidth="1"/>
    <col min="3621" max="3621" width="11.5703125" customWidth="1"/>
    <col min="3622" max="3622" width="9.28515625" customWidth="1"/>
    <col min="3624" max="3624" width="11.7109375" bestFit="1" customWidth="1"/>
    <col min="3625" max="3625" width="10.7109375" bestFit="1" customWidth="1"/>
    <col min="3840" max="3840" width="12.28515625" bestFit="1" customWidth="1"/>
    <col min="3841" max="3844" width="12.28515625" customWidth="1"/>
    <col min="3845" max="3845" width="11.7109375" customWidth="1"/>
    <col min="3846" max="3860" width="9.7109375" customWidth="1"/>
    <col min="3861" max="3861" width="11.5703125" bestFit="1" customWidth="1"/>
    <col min="3862" max="3862" width="8.140625" bestFit="1" customWidth="1"/>
    <col min="3863" max="3864" width="11.5703125" bestFit="1" customWidth="1"/>
    <col min="3865" max="3866" width="18" customWidth="1"/>
    <col min="3867" max="3867" width="17.140625" customWidth="1"/>
    <col min="3868" max="3869" width="15.7109375" customWidth="1"/>
    <col min="3870" max="3870" width="15" customWidth="1"/>
    <col min="3871" max="3872" width="14.140625" bestFit="1" customWidth="1"/>
    <col min="3873" max="3873" width="11.7109375" bestFit="1" customWidth="1"/>
    <col min="3874" max="3874" width="11.85546875" bestFit="1" customWidth="1"/>
    <col min="3875" max="3875" width="12.5703125" customWidth="1"/>
    <col min="3876" max="3876" width="11.28515625" customWidth="1"/>
    <col min="3877" max="3877" width="11.5703125" customWidth="1"/>
    <col min="3878" max="3878" width="9.28515625" customWidth="1"/>
    <col min="3880" max="3880" width="11.7109375" bestFit="1" customWidth="1"/>
    <col min="3881" max="3881" width="10.7109375" bestFit="1" customWidth="1"/>
    <col min="4096" max="4096" width="12.28515625" bestFit="1" customWidth="1"/>
    <col min="4097" max="4100" width="12.28515625" customWidth="1"/>
    <col min="4101" max="4101" width="11.7109375" customWidth="1"/>
    <col min="4102" max="4116" width="9.7109375" customWidth="1"/>
    <col min="4117" max="4117" width="11.5703125" bestFit="1" customWidth="1"/>
    <col min="4118" max="4118" width="8.140625" bestFit="1" customWidth="1"/>
    <col min="4119" max="4120" width="11.5703125" bestFit="1" customWidth="1"/>
    <col min="4121" max="4122" width="18" customWidth="1"/>
    <col min="4123" max="4123" width="17.140625" customWidth="1"/>
    <col min="4124" max="4125" width="15.7109375" customWidth="1"/>
    <col min="4126" max="4126" width="15" customWidth="1"/>
    <col min="4127" max="4128" width="14.140625" bestFit="1" customWidth="1"/>
    <col min="4129" max="4129" width="11.7109375" bestFit="1" customWidth="1"/>
    <col min="4130" max="4130" width="11.85546875" bestFit="1" customWidth="1"/>
    <col min="4131" max="4131" width="12.5703125" customWidth="1"/>
    <col min="4132" max="4132" width="11.28515625" customWidth="1"/>
    <col min="4133" max="4133" width="11.5703125" customWidth="1"/>
    <col min="4134" max="4134" width="9.28515625" customWidth="1"/>
    <col min="4136" max="4136" width="11.7109375" bestFit="1" customWidth="1"/>
    <col min="4137" max="4137" width="10.7109375" bestFit="1" customWidth="1"/>
    <col min="4352" max="4352" width="12.28515625" bestFit="1" customWidth="1"/>
    <col min="4353" max="4356" width="12.28515625" customWidth="1"/>
    <col min="4357" max="4357" width="11.7109375" customWidth="1"/>
    <col min="4358" max="4372" width="9.7109375" customWidth="1"/>
    <col min="4373" max="4373" width="11.5703125" bestFit="1" customWidth="1"/>
    <col min="4374" max="4374" width="8.140625" bestFit="1" customWidth="1"/>
    <col min="4375" max="4376" width="11.5703125" bestFit="1" customWidth="1"/>
    <col min="4377" max="4378" width="18" customWidth="1"/>
    <col min="4379" max="4379" width="17.140625" customWidth="1"/>
    <col min="4380" max="4381" width="15.7109375" customWidth="1"/>
    <col min="4382" max="4382" width="15" customWidth="1"/>
    <col min="4383" max="4384" width="14.140625" bestFit="1" customWidth="1"/>
    <col min="4385" max="4385" width="11.7109375" bestFit="1" customWidth="1"/>
    <col min="4386" max="4386" width="11.85546875" bestFit="1" customWidth="1"/>
    <col min="4387" max="4387" width="12.5703125" customWidth="1"/>
    <col min="4388" max="4388" width="11.28515625" customWidth="1"/>
    <col min="4389" max="4389" width="11.5703125" customWidth="1"/>
    <col min="4390" max="4390" width="9.28515625" customWidth="1"/>
    <col min="4392" max="4392" width="11.7109375" bestFit="1" customWidth="1"/>
    <col min="4393" max="4393" width="10.7109375" bestFit="1" customWidth="1"/>
    <col min="4608" max="4608" width="12.28515625" bestFit="1" customWidth="1"/>
    <col min="4609" max="4612" width="12.28515625" customWidth="1"/>
    <col min="4613" max="4613" width="11.7109375" customWidth="1"/>
    <col min="4614" max="4628" width="9.7109375" customWidth="1"/>
    <col min="4629" max="4629" width="11.5703125" bestFit="1" customWidth="1"/>
    <col min="4630" max="4630" width="8.140625" bestFit="1" customWidth="1"/>
    <col min="4631" max="4632" width="11.5703125" bestFit="1" customWidth="1"/>
    <col min="4633" max="4634" width="18" customWidth="1"/>
    <col min="4635" max="4635" width="17.140625" customWidth="1"/>
    <col min="4636" max="4637" width="15.7109375" customWidth="1"/>
    <col min="4638" max="4638" width="15" customWidth="1"/>
    <col min="4639" max="4640" width="14.140625" bestFit="1" customWidth="1"/>
    <col min="4641" max="4641" width="11.7109375" bestFit="1" customWidth="1"/>
    <col min="4642" max="4642" width="11.85546875" bestFit="1" customWidth="1"/>
    <col min="4643" max="4643" width="12.5703125" customWidth="1"/>
    <col min="4644" max="4644" width="11.28515625" customWidth="1"/>
    <col min="4645" max="4645" width="11.5703125" customWidth="1"/>
    <col min="4646" max="4646" width="9.28515625" customWidth="1"/>
    <col min="4648" max="4648" width="11.7109375" bestFit="1" customWidth="1"/>
    <col min="4649" max="4649" width="10.7109375" bestFit="1" customWidth="1"/>
    <col min="4864" max="4864" width="12.28515625" bestFit="1" customWidth="1"/>
    <col min="4865" max="4868" width="12.28515625" customWidth="1"/>
    <col min="4869" max="4869" width="11.7109375" customWidth="1"/>
    <col min="4870" max="4884" width="9.7109375" customWidth="1"/>
    <col min="4885" max="4885" width="11.5703125" bestFit="1" customWidth="1"/>
    <col min="4886" max="4886" width="8.140625" bestFit="1" customWidth="1"/>
    <col min="4887" max="4888" width="11.5703125" bestFit="1" customWidth="1"/>
    <col min="4889" max="4890" width="18" customWidth="1"/>
    <col min="4891" max="4891" width="17.140625" customWidth="1"/>
    <col min="4892" max="4893" width="15.7109375" customWidth="1"/>
    <col min="4894" max="4894" width="15" customWidth="1"/>
    <col min="4895" max="4896" width="14.140625" bestFit="1" customWidth="1"/>
    <col min="4897" max="4897" width="11.7109375" bestFit="1" customWidth="1"/>
    <col min="4898" max="4898" width="11.85546875" bestFit="1" customWidth="1"/>
    <col min="4899" max="4899" width="12.5703125" customWidth="1"/>
    <col min="4900" max="4900" width="11.28515625" customWidth="1"/>
    <col min="4901" max="4901" width="11.5703125" customWidth="1"/>
    <col min="4902" max="4902" width="9.28515625" customWidth="1"/>
    <col min="4904" max="4904" width="11.7109375" bestFit="1" customWidth="1"/>
    <col min="4905" max="4905" width="10.7109375" bestFit="1" customWidth="1"/>
    <col min="5120" max="5120" width="12.28515625" bestFit="1" customWidth="1"/>
    <col min="5121" max="5124" width="12.28515625" customWidth="1"/>
    <col min="5125" max="5125" width="11.7109375" customWidth="1"/>
    <col min="5126" max="5140" width="9.7109375" customWidth="1"/>
    <col min="5141" max="5141" width="11.5703125" bestFit="1" customWidth="1"/>
    <col min="5142" max="5142" width="8.140625" bestFit="1" customWidth="1"/>
    <col min="5143" max="5144" width="11.5703125" bestFit="1" customWidth="1"/>
    <col min="5145" max="5146" width="18" customWidth="1"/>
    <col min="5147" max="5147" width="17.140625" customWidth="1"/>
    <col min="5148" max="5149" width="15.7109375" customWidth="1"/>
    <col min="5150" max="5150" width="15" customWidth="1"/>
    <col min="5151" max="5152" width="14.140625" bestFit="1" customWidth="1"/>
    <col min="5153" max="5153" width="11.7109375" bestFit="1" customWidth="1"/>
    <col min="5154" max="5154" width="11.85546875" bestFit="1" customWidth="1"/>
    <col min="5155" max="5155" width="12.5703125" customWidth="1"/>
    <col min="5156" max="5156" width="11.28515625" customWidth="1"/>
    <col min="5157" max="5157" width="11.5703125" customWidth="1"/>
    <col min="5158" max="5158" width="9.28515625" customWidth="1"/>
    <col min="5160" max="5160" width="11.7109375" bestFit="1" customWidth="1"/>
    <col min="5161" max="5161" width="10.7109375" bestFit="1" customWidth="1"/>
    <col min="5376" max="5376" width="12.28515625" bestFit="1" customWidth="1"/>
    <col min="5377" max="5380" width="12.28515625" customWidth="1"/>
    <col min="5381" max="5381" width="11.7109375" customWidth="1"/>
    <col min="5382" max="5396" width="9.7109375" customWidth="1"/>
    <col min="5397" max="5397" width="11.5703125" bestFit="1" customWidth="1"/>
    <col min="5398" max="5398" width="8.140625" bestFit="1" customWidth="1"/>
    <col min="5399" max="5400" width="11.5703125" bestFit="1" customWidth="1"/>
    <col min="5401" max="5402" width="18" customWidth="1"/>
    <col min="5403" max="5403" width="17.140625" customWidth="1"/>
    <col min="5404" max="5405" width="15.7109375" customWidth="1"/>
    <col min="5406" max="5406" width="15" customWidth="1"/>
    <col min="5407" max="5408" width="14.140625" bestFit="1" customWidth="1"/>
    <col min="5409" max="5409" width="11.7109375" bestFit="1" customWidth="1"/>
    <col min="5410" max="5410" width="11.85546875" bestFit="1" customWidth="1"/>
    <col min="5411" max="5411" width="12.5703125" customWidth="1"/>
    <col min="5412" max="5412" width="11.28515625" customWidth="1"/>
    <col min="5413" max="5413" width="11.5703125" customWidth="1"/>
    <col min="5414" max="5414" width="9.28515625" customWidth="1"/>
    <col min="5416" max="5416" width="11.7109375" bestFit="1" customWidth="1"/>
    <col min="5417" max="5417" width="10.7109375" bestFit="1" customWidth="1"/>
    <col min="5632" max="5632" width="12.28515625" bestFit="1" customWidth="1"/>
    <col min="5633" max="5636" width="12.28515625" customWidth="1"/>
    <col min="5637" max="5637" width="11.7109375" customWidth="1"/>
    <col min="5638" max="5652" width="9.7109375" customWidth="1"/>
    <col min="5653" max="5653" width="11.5703125" bestFit="1" customWidth="1"/>
    <col min="5654" max="5654" width="8.140625" bestFit="1" customWidth="1"/>
    <col min="5655" max="5656" width="11.5703125" bestFit="1" customWidth="1"/>
    <col min="5657" max="5658" width="18" customWidth="1"/>
    <col min="5659" max="5659" width="17.140625" customWidth="1"/>
    <col min="5660" max="5661" width="15.7109375" customWidth="1"/>
    <col min="5662" max="5662" width="15" customWidth="1"/>
    <col min="5663" max="5664" width="14.140625" bestFit="1" customWidth="1"/>
    <col min="5665" max="5665" width="11.7109375" bestFit="1" customWidth="1"/>
    <col min="5666" max="5666" width="11.85546875" bestFit="1" customWidth="1"/>
    <col min="5667" max="5667" width="12.5703125" customWidth="1"/>
    <col min="5668" max="5668" width="11.28515625" customWidth="1"/>
    <col min="5669" max="5669" width="11.5703125" customWidth="1"/>
    <col min="5670" max="5670" width="9.28515625" customWidth="1"/>
    <col min="5672" max="5672" width="11.7109375" bestFit="1" customWidth="1"/>
    <col min="5673" max="5673" width="10.7109375" bestFit="1" customWidth="1"/>
    <col min="5888" max="5888" width="12.28515625" bestFit="1" customWidth="1"/>
    <col min="5889" max="5892" width="12.28515625" customWidth="1"/>
    <col min="5893" max="5893" width="11.7109375" customWidth="1"/>
    <col min="5894" max="5908" width="9.7109375" customWidth="1"/>
    <col min="5909" max="5909" width="11.5703125" bestFit="1" customWidth="1"/>
    <col min="5910" max="5910" width="8.140625" bestFit="1" customWidth="1"/>
    <col min="5911" max="5912" width="11.5703125" bestFit="1" customWidth="1"/>
    <col min="5913" max="5914" width="18" customWidth="1"/>
    <col min="5915" max="5915" width="17.140625" customWidth="1"/>
    <col min="5916" max="5917" width="15.7109375" customWidth="1"/>
    <col min="5918" max="5918" width="15" customWidth="1"/>
    <col min="5919" max="5920" width="14.140625" bestFit="1" customWidth="1"/>
    <col min="5921" max="5921" width="11.7109375" bestFit="1" customWidth="1"/>
    <col min="5922" max="5922" width="11.85546875" bestFit="1" customWidth="1"/>
    <col min="5923" max="5923" width="12.5703125" customWidth="1"/>
    <col min="5924" max="5924" width="11.28515625" customWidth="1"/>
    <col min="5925" max="5925" width="11.5703125" customWidth="1"/>
    <col min="5926" max="5926" width="9.28515625" customWidth="1"/>
    <col min="5928" max="5928" width="11.7109375" bestFit="1" customWidth="1"/>
    <col min="5929" max="5929" width="10.7109375" bestFit="1" customWidth="1"/>
    <col min="6144" max="6144" width="12.28515625" bestFit="1" customWidth="1"/>
    <col min="6145" max="6148" width="12.28515625" customWidth="1"/>
    <col min="6149" max="6149" width="11.7109375" customWidth="1"/>
    <col min="6150" max="6164" width="9.7109375" customWidth="1"/>
    <col min="6165" max="6165" width="11.5703125" bestFit="1" customWidth="1"/>
    <col min="6166" max="6166" width="8.140625" bestFit="1" customWidth="1"/>
    <col min="6167" max="6168" width="11.5703125" bestFit="1" customWidth="1"/>
    <col min="6169" max="6170" width="18" customWidth="1"/>
    <col min="6171" max="6171" width="17.140625" customWidth="1"/>
    <col min="6172" max="6173" width="15.7109375" customWidth="1"/>
    <col min="6174" max="6174" width="15" customWidth="1"/>
    <col min="6175" max="6176" width="14.140625" bestFit="1" customWidth="1"/>
    <col min="6177" max="6177" width="11.7109375" bestFit="1" customWidth="1"/>
    <col min="6178" max="6178" width="11.85546875" bestFit="1" customWidth="1"/>
    <col min="6179" max="6179" width="12.5703125" customWidth="1"/>
    <col min="6180" max="6180" width="11.28515625" customWidth="1"/>
    <col min="6181" max="6181" width="11.5703125" customWidth="1"/>
    <col min="6182" max="6182" width="9.28515625" customWidth="1"/>
    <col min="6184" max="6184" width="11.7109375" bestFit="1" customWidth="1"/>
    <col min="6185" max="6185" width="10.7109375" bestFit="1" customWidth="1"/>
    <col min="6400" max="6400" width="12.28515625" bestFit="1" customWidth="1"/>
    <col min="6401" max="6404" width="12.28515625" customWidth="1"/>
    <col min="6405" max="6405" width="11.7109375" customWidth="1"/>
    <col min="6406" max="6420" width="9.7109375" customWidth="1"/>
    <col min="6421" max="6421" width="11.5703125" bestFit="1" customWidth="1"/>
    <col min="6422" max="6422" width="8.140625" bestFit="1" customWidth="1"/>
    <col min="6423" max="6424" width="11.5703125" bestFit="1" customWidth="1"/>
    <col min="6425" max="6426" width="18" customWidth="1"/>
    <col min="6427" max="6427" width="17.140625" customWidth="1"/>
    <col min="6428" max="6429" width="15.7109375" customWidth="1"/>
    <col min="6430" max="6430" width="15" customWidth="1"/>
    <col min="6431" max="6432" width="14.140625" bestFit="1" customWidth="1"/>
    <col min="6433" max="6433" width="11.7109375" bestFit="1" customWidth="1"/>
    <col min="6434" max="6434" width="11.85546875" bestFit="1" customWidth="1"/>
    <col min="6435" max="6435" width="12.5703125" customWidth="1"/>
    <col min="6436" max="6436" width="11.28515625" customWidth="1"/>
    <col min="6437" max="6437" width="11.5703125" customWidth="1"/>
    <col min="6438" max="6438" width="9.28515625" customWidth="1"/>
    <col min="6440" max="6440" width="11.7109375" bestFit="1" customWidth="1"/>
    <col min="6441" max="6441" width="10.7109375" bestFit="1" customWidth="1"/>
    <col min="6656" max="6656" width="12.28515625" bestFit="1" customWidth="1"/>
    <col min="6657" max="6660" width="12.28515625" customWidth="1"/>
    <col min="6661" max="6661" width="11.7109375" customWidth="1"/>
    <col min="6662" max="6676" width="9.7109375" customWidth="1"/>
    <col min="6677" max="6677" width="11.5703125" bestFit="1" customWidth="1"/>
    <col min="6678" max="6678" width="8.140625" bestFit="1" customWidth="1"/>
    <col min="6679" max="6680" width="11.5703125" bestFit="1" customWidth="1"/>
    <col min="6681" max="6682" width="18" customWidth="1"/>
    <col min="6683" max="6683" width="17.140625" customWidth="1"/>
    <col min="6684" max="6685" width="15.7109375" customWidth="1"/>
    <col min="6686" max="6686" width="15" customWidth="1"/>
    <col min="6687" max="6688" width="14.140625" bestFit="1" customWidth="1"/>
    <col min="6689" max="6689" width="11.7109375" bestFit="1" customWidth="1"/>
    <col min="6690" max="6690" width="11.85546875" bestFit="1" customWidth="1"/>
    <col min="6691" max="6691" width="12.5703125" customWidth="1"/>
    <col min="6692" max="6692" width="11.28515625" customWidth="1"/>
    <col min="6693" max="6693" width="11.5703125" customWidth="1"/>
    <col min="6694" max="6694" width="9.28515625" customWidth="1"/>
    <col min="6696" max="6696" width="11.7109375" bestFit="1" customWidth="1"/>
    <col min="6697" max="6697" width="10.7109375" bestFit="1" customWidth="1"/>
    <col min="6912" max="6912" width="12.28515625" bestFit="1" customWidth="1"/>
    <col min="6913" max="6916" width="12.28515625" customWidth="1"/>
    <col min="6917" max="6917" width="11.7109375" customWidth="1"/>
    <col min="6918" max="6932" width="9.7109375" customWidth="1"/>
    <col min="6933" max="6933" width="11.5703125" bestFit="1" customWidth="1"/>
    <col min="6934" max="6934" width="8.140625" bestFit="1" customWidth="1"/>
    <col min="6935" max="6936" width="11.5703125" bestFit="1" customWidth="1"/>
    <col min="6937" max="6938" width="18" customWidth="1"/>
    <col min="6939" max="6939" width="17.140625" customWidth="1"/>
    <col min="6940" max="6941" width="15.7109375" customWidth="1"/>
    <col min="6942" max="6942" width="15" customWidth="1"/>
    <col min="6943" max="6944" width="14.140625" bestFit="1" customWidth="1"/>
    <col min="6945" max="6945" width="11.7109375" bestFit="1" customWidth="1"/>
    <col min="6946" max="6946" width="11.85546875" bestFit="1" customWidth="1"/>
    <col min="6947" max="6947" width="12.5703125" customWidth="1"/>
    <col min="6948" max="6948" width="11.28515625" customWidth="1"/>
    <col min="6949" max="6949" width="11.5703125" customWidth="1"/>
    <col min="6950" max="6950" width="9.28515625" customWidth="1"/>
    <col min="6952" max="6952" width="11.7109375" bestFit="1" customWidth="1"/>
    <col min="6953" max="6953" width="10.7109375" bestFit="1" customWidth="1"/>
    <col min="7168" max="7168" width="12.28515625" bestFit="1" customWidth="1"/>
    <col min="7169" max="7172" width="12.28515625" customWidth="1"/>
    <col min="7173" max="7173" width="11.7109375" customWidth="1"/>
    <col min="7174" max="7188" width="9.7109375" customWidth="1"/>
    <col min="7189" max="7189" width="11.5703125" bestFit="1" customWidth="1"/>
    <col min="7190" max="7190" width="8.140625" bestFit="1" customWidth="1"/>
    <col min="7191" max="7192" width="11.5703125" bestFit="1" customWidth="1"/>
    <col min="7193" max="7194" width="18" customWidth="1"/>
    <col min="7195" max="7195" width="17.140625" customWidth="1"/>
    <col min="7196" max="7197" width="15.7109375" customWidth="1"/>
    <col min="7198" max="7198" width="15" customWidth="1"/>
    <col min="7199" max="7200" width="14.140625" bestFit="1" customWidth="1"/>
    <col min="7201" max="7201" width="11.7109375" bestFit="1" customWidth="1"/>
    <col min="7202" max="7202" width="11.85546875" bestFit="1" customWidth="1"/>
    <col min="7203" max="7203" width="12.5703125" customWidth="1"/>
    <col min="7204" max="7204" width="11.28515625" customWidth="1"/>
    <col min="7205" max="7205" width="11.5703125" customWidth="1"/>
    <col min="7206" max="7206" width="9.28515625" customWidth="1"/>
    <col min="7208" max="7208" width="11.7109375" bestFit="1" customWidth="1"/>
    <col min="7209" max="7209" width="10.7109375" bestFit="1" customWidth="1"/>
    <col min="7424" max="7424" width="12.28515625" bestFit="1" customWidth="1"/>
    <col min="7425" max="7428" width="12.28515625" customWidth="1"/>
    <col min="7429" max="7429" width="11.7109375" customWidth="1"/>
    <col min="7430" max="7444" width="9.7109375" customWidth="1"/>
    <col min="7445" max="7445" width="11.5703125" bestFit="1" customWidth="1"/>
    <col min="7446" max="7446" width="8.140625" bestFit="1" customWidth="1"/>
    <col min="7447" max="7448" width="11.5703125" bestFit="1" customWidth="1"/>
    <col min="7449" max="7450" width="18" customWidth="1"/>
    <col min="7451" max="7451" width="17.140625" customWidth="1"/>
    <col min="7452" max="7453" width="15.7109375" customWidth="1"/>
    <col min="7454" max="7454" width="15" customWidth="1"/>
    <col min="7455" max="7456" width="14.140625" bestFit="1" customWidth="1"/>
    <col min="7457" max="7457" width="11.7109375" bestFit="1" customWidth="1"/>
    <col min="7458" max="7458" width="11.85546875" bestFit="1" customWidth="1"/>
    <col min="7459" max="7459" width="12.5703125" customWidth="1"/>
    <col min="7460" max="7460" width="11.28515625" customWidth="1"/>
    <col min="7461" max="7461" width="11.5703125" customWidth="1"/>
    <col min="7462" max="7462" width="9.28515625" customWidth="1"/>
    <col min="7464" max="7464" width="11.7109375" bestFit="1" customWidth="1"/>
    <col min="7465" max="7465" width="10.7109375" bestFit="1" customWidth="1"/>
    <col min="7680" max="7680" width="12.28515625" bestFit="1" customWidth="1"/>
    <col min="7681" max="7684" width="12.28515625" customWidth="1"/>
    <col min="7685" max="7685" width="11.7109375" customWidth="1"/>
    <col min="7686" max="7700" width="9.7109375" customWidth="1"/>
    <col min="7701" max="7701" width="11.5703125" bestFit="1" customWidth="1"/>
    <col min="7702" max="7702" width="8.140625" bestFit="1" customWidth="1"/>
    <col min="7703" max="7704" width="11.5703125" bestFit="1" customWidth="1"/>
    <col min="7705" max="7706" width="18" customWidth="1"/>
    <col min="7707" max="7707" width="17.140625" customWidth="1"/>
    <col min="7708" max="7709" width="15.7109375" customWidth="1"/>
    <col min="7710" max="7710" width="15" customWidth="1"/>
    <col min="7711" max="7712" width="14.140625" bestFit="1" customWidth="1"/>
    <col min="7713" max="7713" width="11.7109375" bestFit="1" customWidth="1"/>
    <col min="7714" max="7714" width="11.85546875" bestFit="1" customWidth="1"/>
    <col min="7715" max="7715" width="12.5703125" customWidth="1"/>
    <col min="7716" max="7716" width="11.28515625" customWidth="1"/>
    <col min="7717" max="7717" width="11.5703125" customWidth="1"/>
    <col min="7718" max="7718" width="9.28515625" customWidth="1"/>
    <col min="7720" max="7720" width="11.7109375" bestFit="1" customWidth="1"/>
    <col min="7721" max="7721" width="10.7109375" bestFit="1" customWidth="1"/>
    <col min="7936" max="7936" width="12.28515625" bestFit="1" customWidth="1"/>
    <col min="7937" max="7940" width="12.28515625" customWidth="1"/>
    <col min="7941" max="7941" width="11.7109375" customWidth="1"/>
    <col min="7942" max="7956" width="9.7109375" customWidth="1"/>
    <col min="7957" max="7957" width="11.5703125" bestFit="1" customWidth="1"/>
    <col min="7958" max="7958" width="8.140625" bestFit="1" customWidth="1"/>
    <col min="7959" max="7960" width="11.5703125" bestFit="1" customWidth="1"/>
    <col min="7961" max="7962" width="18" customWidth="1"/>
    <col min="7963" max="7963" width="17.140625" customWidth="1"/>
    <col min="7964" max="7965" width="15.7109375" customWidth="1"/>
    <col min="7966" max="7966" width="15" customWidth="1"/>
    <col min="7967" max="7968" width="14.140625" bestFit="1" customWidth="1"/>
    <col min="7969" max="7969" width="11.7109375" bestFit="1" customWidth="1"/>
    <col min="7970" max="7970" width="11.85546875" bestFit="1" customWidth="1"/>
    <col min="7971" max="7971" width="12.5703125" customWidth="1"/>
    <col min="7972" max="7972" width="11.28515625" customWidth="1"/>
    <col min="7973" max="7973" width="11.5703125" customWidth="1"/>
    <col min="7974" max="7974" width="9.28515625" customWidth="1"/>
    <col min="7976" max="7976" width="11.7109375" bestFit="1" customWidth="1"/>
    <col min="7977" max="7977" width="10.7109375" bestFit="1" customWidth="1"/>
    <col min="8192" max="8192" width="12.28515625" bestFit="1" customWidth="1"/>
    <col min="8193" max="8196" width="12.28515625" customWidth="1"/>
    <col min="8197" max="8197" width="11.7109375" customWidth="1"/>
    <col min="8198" max="8212" width="9.7109375" customWidth="1"/>
    <col min="8213" max="8213" width="11.5703125" bestFit="1" customWidth="1"/>
    <col min="8214" max="8214" width="8.140625" bestFit="1" customWidth="1"/>
    <col min="8215" max="8216" width="11.5703125" bestFit="1" customWidth="1"/>
    <col min="8217" max="8218" width="18" customWidth="1"/>
    <col min="8219" max="8219" width="17.140625" customWidth="1"/>
    <col min="8220" max="8221" width="15.7109375" customWidth="1"/>
    <col min="8222" max="8222" width="15" customWidth="1"/>
    <col min="8223" max="8224" width="14.140625" bestFit="1" customWidth="1"/>
    <col min="8225" max="8225" width="11.7109375" bestFit="1" customWidth="1"/>
    <col min="8226" max="8226" width="11.85546875" bestFit="1" customWidth="1"/>
    <col min="8227" max="8227" width="12.5703125" customWidth="1"/>
    <col min="8228" max="8228" width="11.28515625" customWidth="1"/>
    <col min="8229" max="8229" width="11.5703125" customWidth="1"/>
    <col min="8230" max="8230" width="9.28515625" customWidth="1"/>
    <col min="8232" max="8232" width="11.7109375" bestFit="1" customWidth="1"/>
    <col min="8233" max="8233" width="10.7109375" bestFit="1" customWidth="1"/>
    <col min="8448" max="8448" width="12.28515625" bestFit="1" customWidth="1"/>
    <col min="8449" max="8452" width="12.28515625" customWidth="1"/>
    <col min="8453" max="8453" width="11.7109375" customWidth="1"/>
    <col min="8454" max="8468" width="9.7109375" customWidth="1"/>
    <col min="8469" max="8469" width="11.5703125" bestFit="1" customWidth="1"/>
    <col min="8470" max="8470" width="8.140625" bestFit="1" customWidth="1"/>
    <col min="8471" max="8472" width="11.5703125" bestFit="1" customWidth="1"/>
    <col min="8473" max="8474" width="18" customWidth="1"/>
    <col min="8475" max="8475" width="17.140625" customWidth="1"/>
    <col min="8476" max="8477" width="15.7109375" customWidth="1"/>
    <col min="8478" max="8478" width="15" customWidth="1"/>
    <col min="8479" max="8480" width="14.140625" bestFit="1" customWidth="1"/>
    <col min="8481" max="8481" width="11.7109375" bestFit="1" customWidth="1"/>
    <col min="8482" max="8482" width="11.85546875" bestFit="1" customWidth="1"/>
    <col min="8483" max="8483" width="12.5703125" customWidth="1"/>
    <col min="8484" max="8484" width="11.28515625" customWidth="1"/>
    <col min="8485" max="8485" width="11.5703125" customWidth="1"/>
    <col min="8486" max="8486" width="9.28515625" customWidth="1"/>
    <col min="8488" max="8488" width="11.7109375" bestFit="1" customWidth="1"/>
    <col min="8489" max="8489" width="10.7109375" bestFit="1" customWidth="1"/>
    <col min="8704" max="8704" width="12.28515625" bestFit="1" customWidth="1"/>
    <col min="8705" max="8708" width="12.28515625" customWidth="1"/>
    <col min="8709" max="8709" width="11.7109375" customWidth="1"/>
    <col min="8710" max="8724" width="9.7109375" customWidth="1"/>
    <col min="8725" max="8725" width="11.5703125" bestFit="1" customWidth="1"/>
    <col min="8726" max="8726" width="8.140625" bestFit="1" customWidth="1"/>
    <col min="8727" max="8728" width="11.5703125" bestFit="1" customWidth="1"/>
    <col min="8729" max="8730" width="18" customWidth="1"/>
    <col min="8731" max="8731" width="17.140625" customWidth="1"/>
    <col min="8732" max="8733" width="15.7109375" customWidth="1"/>
    <col min="8734" max="8734" width="15" customWidth="1"/>
    <col min="8735" max="8736" width="14.140625" bestFit="1" customWidth="1"/>
    <col min="8737" max="8737" width="11.7109375" bestFit="1" customWidth="1"/>
    <col min="8738" max="8738" width="11.85546875" bestFit="1" customWidth="1"/>
    <col min="8739" max="8739" width="12.5703125" customWidth="1"/>
    <col min="8740" max="8740" width="11.28515625" customWidth="1"/>
    <col min="8741" max="8741" width="11.5703125" customWidth="1"/>
    <col min="8742" max="8742" width="9.28515625" customWidth="1"/>
    <col min="8744" max="8744" width="11.7109375" bestFit="1" customWidth="1"/>
    <col min="8745" max="8745" width="10.7109375" bestFit="1" customWidth="1"/>
    <col min="8960" max="8960" width="12.28515625" bestFit="1" customWidth="1"/>
    <col min="8961" max="8964" width="12.28515625" customWidth="1"/>
    <col min="8965" max="8965" width="11.7109375" customWidth="1"/>
    <col min="8966" max="8980" width="9.7109375" customWidth="1"/>
    <col min="8981" max="8981" width="11.5703125" bestFit="1" customWidth="1"/>
    <col min="8982" max="8982" width="8.140625" bestFit="1" customWidth="1"/>
    <col min="8983" max="8984" width="11.5703125" bestFit="1" customWidth="1"/>
    <col min="8985" max="8986" width="18" customWidth="1"/>
    <col min="8987" max="8987" width="17.140625" customWidth="1"/>
    <col min="8988" max="8989" width="15.7109375" customWidth="1"/>
    <col min="8990" max="8990" width="15" customWidth="1"/>
    <col min="8991" max="8992" width="14.140625" bestFit="1" customWidth="1"/>
    <col min="8993" max="8993" width="11.7109375" bestFit="1" customWidth="1"/>
    <col min="8994" max="8994" width="11.85546875" bestFit="1" customWidth="1"/>
    <col min="8995" max="8995" width="12.5703125" customWidth="1"/>
    <col min="8996" max="8996" width="11.28515625" customWidth="1"/>
    <col min="8997" max="8997" width="11.5703125" customWidth="1"/>
    <col min="8998" max="8998" width="9.28515625" customWidth="1"/>
    <col min="9000" max="9000" width="11.7109375" bestFit="1" customWidth="1"/>
    <col min="9001" max="9001" width="10.7109375" bestFit="1" customWidth="1"/>
    <col min="9216" max="9216" width="12.28515625" bestFit="1" customWidth="1"/>
    <col min="9217" max="9220" width="12.28515625" customWidth="1"/>
    <col min="9221" max="9221" width="11.7109375" customWidth="1"/>
    <col min="9222" max="9236" width="9.7109375" customWidth="1"/>
    <col min="9237" max="9237" width="11.5703125" bestFit="1" customWidth="1"/>
    <col min="9238" max="9238" width="8.140625" bestFit="1" customWidth="1"/>
    <col min="9239" max="9240" width="11.5703125" bestFit="1" customWidth="1"/>
    <col min="9241" max="9242" width="18" customWidth="1"/>
    <col min="9243" max="9243" width="17.140625" customWidth="1"/>
    <col min="9244" max="9245" width="15.7109375" customWidth="1"/>
    <col min="9246" max="9246" width="15" customWidth="1"/>
    <col min="9247" max="9248" width="14.140625" bestFit="1" customWidth="1"/>
    <col min="9249" max="9249" width="11.7109375" bestFit="1" customWidth="1"/>
    <col min="9250" max="9250" width="11.85546875" bestFit="1" customWidth="1"/>
    <col min="9251" max="9251" width="12.5703125" customWidth="1"/>
    <col min="9252" max="9252" width="11.28515625" customWidth="1"/>
    <col min="9253" max="9253" width="11.5703125" customWidth="1"/>
    <col min="9254" max="9254" width="9.28515625" customWidth="1"/>
    <col min="9256" max="9256" width="11.7109375" bestFit="1" customWidth="1"/>
    <col min="9257" max="9257" width="10.7109375" bestFit="1" customWidth="1"/>
    <col min="9472" max="9472" width="12.28515625" bestFit="1" customWidth="1"/>
    <col min="9473" max="9476" width="12.28515625" customWidth="1"/>
    <col min="9477" max="9477" width="11.7109375" customWidth="1"/>
    <col min="9478" max="9492" width="9.7109375" customWidth="1"/>
    <col min="9493" max="9493" width="11.5703125" bestFit="1" customWidth="1"/>
    <col min="9494" max="9494" width="8.140625" bestFit="1" customWidth="1"/>
    <col min="9495" max="9496" width="11.5703125" bestFit="1" customWidth="1"/>
    <col min="9497" max="9498" width="18" customWidth="1"/>
    <col min="9499" max="9499" width="17.140625" customWidth="1"/>
    <col min="9500" max="9501" width="15.7109375" customWidth="1"/>
    <col min="9502" max="9502" width="15" customWidth="1"/>
    <col min="9503" max="9504" width="14.140625" bestFit="1" customWidth="1"/>
    <col min="9505" max="9505" width="11.7109375" bestFit="1" customWidth="1"/>
    <col min="9506" max="9506" width="11.85546875" bestFit="1" customWidth="1"/>
    <col min="9507" max="9507" width="12.5703125" customWidth="1"/>
    <col min="9508" max="9508" width="11.28515625" customWidth="1"/>
    <col min="9509" max="9509" width="11.5703125" customWidth="1"/>
    <col min="9510" max="9510" width="9.28515625" customWidth="1"/>
    <col min="9512" max="9512" width="11.7109375" bestFit="1" customWidth="1"/>
    <col min="9513" max="9513" width="10.7109375" bestFit="1" customWidth="1"/>
    <col min="9728" max="9728" width="12.28515625" bestFit="1" customWidth="1"/>
    <col min="9729" max="9732" width="12.28515625" customWidth="1"/>
    <col min="9733" max="9733" width="11.7109375" customWidth="1"/>
    <col min="9734" max="9748" width="9.7109375" customWidth="1"/>
    <col min="9749" max="9749" width="11.5703125" bestFit="1" customWidth="1"/>
    <col min="9750" max="9750" width="8.140625" bestFit="1" customWidth="1"/>
    <col min="9751" max="9752" width="11.5703125" bestFit="1" customWidth="1"/>
    <col min="9753" max="9754" width="18" customWidth="1"/>
    <col min="9755" max="9755" width="17.140625" customWidth="1"/>
    <col min="9756" max="9757" width="15.7109375" customWidth="1"/>
    <col min="9758" max="9758" width="15" customWidth="1"/>
    <col min="9759" max="9760" width="14.140625" bestFit="1" customWidth="1"/>
    <col min="9761" max="9761" width="11.7109375" bestFit="1" customWidth="1"/>
    <col min="9762" max="9762" width="11.85546875" bestFit="1" customWidth="1"/>
    <col min="9763" max="9763" width="12.5703125" customWidth="1"/>
    <col min="9764" max="9764" width="11.28515625" customWidth="1"/>
    <col min="9765" max="9765" width="11.5703125" customWidth="1"/>
    <col min="9766" max="9766" width="9.28515625" customWidth="1"/>
    <col min="9768" max="9768" width="11.7109375" bestFit="1" customWidth="1"/>
    <col min="9769" max="9769" width="10.7109375" bestFit="1" customWidth="1"/>
    <col min="9984" max="9984" width="12.28515625" bestFit="1" customWidth="1"/>
    <col min="9985" max="9988" width="12.28515625" customWidth="1"/>
    <col min="9989" max="9989" width="11.7109375" customWidth="1"/>
    <col min="9990" max="10004" width="9.7109375" customWidth="1"/>
    <col min="10005" max="10005" width="11.5703125" bestFit="1" customWidth="1"/>
    <col min="10006" max="10006" width="8.140625" bestFit="1" customWidth="1"/>
    <col min="10007" max="10008" width="11.5703125" bestFit="1" customWidth="1"/>
    <col min="10009" max="10010" width="18" customWidth="1"/>
    <col min="10011" max="10011" width="17.140625" customWidth="1"/>
    <col min="10012" max="10013" width="15.7109375" customWidth="1"/>
    <col min="10014" max="10014" width="15" customWidth="1"/>
    <col min="10015" max="10016" width="14.140625" bestFit="1" customWidth="1"/>
    <col min="10017" max="10017" width="11.7109375" bestFit="1" customWidth="1"/>
    <col min="10018" max="10018" width="11.85546875" bestFit="1" customWidth="1"/>
    <col min="10019" max="10019" width="12.5703125" customWidth="1"/>
    <col min="10020" max="10020" width="11.28515625" customWidth="1"/>
    <col min="10021" max="10021" width="11.5703125" customWidth="1"/>
    <col min="10022" max="10022" width="9.28515625" customWidth="1"/>
    <col min="10024" max="10024" width="11.7109375" bestFit="1" customWidth="1"/>
    <col min="10025" max="10025" width="10.7109375" bestFit="1" customWidth="1"/>
    <col min="10240" max="10240" width="12.28515625" bestFit="1" customWidth="1"/>
    <col min="10241" max="10244" width="12.28515625" customWidth="1"/>
    <col min="10245" max="10245" width="11.7109375" customWidth="1"/>
    <col min="10246" max="10260" width="9.7109375" customWidth="1"/>
    <col min="10261" max="10261" width="11.5703125" bestFit="1" customWidth="1"/>
    <col min="10262" max="10262" width="8.140625" bestFit="1" customWidth="1"/>
    <col min="10263" max="10264" width="11.5703125" bestFit="1" customWidth="1"/>
    <col min="10265" max="10266" width="18" customWidth="1"/>
    <col min="10267" max="10267" width="17.140625" customWidth="1"/>
    <col min="10268" max="10269" width="15.7109375" customWidth="1"/>
    <col min="10270" max="10270" width="15" customWidth="1"/>
    <col min="10271" max="10272" width="14.140625" bestFit="1" customWidth="1"/>
    <col min="10273" max="10273" width="11.7109375" bestFit="1" customWidth="1"/>
    <col min="10274" max="10274" width="11.85546875" bestFit="1" customWidth="1"/>
    <col min="10275" max="10275" width="12.5703125" customWidth="1"/>
    <col min="10276" max="10276" width="11.28515625" customWidth="1"/>
    <col min="10277" max="10277" width="11.5703125" customWidth="1"/>
    <col min="10278" max="10278" width="9.28515625" customWidth="1"/>
    <col min="10280" max="10280" width="11.7109375" bestFit="1" customWidth="1"/>
    <col min="10281" max="10281" width="10.7109375" bestFit="1" customWidth="1"/>
    <col min="10496" max="10496" width="12.28515625" bestFit="1" customWidth="1"/>
    <col min="10497" max="10500" width="12.28515625" customWidth="1"/>
    <col min="10501" max="10501" width="11.7109375" customWidth="1"/>
    <col min="10502" max="10516" width="9.7109375" customWidth="1"/>
    <col min="10517" max="10517" width="11.5703125" bestFit="1" customWidth="1"/>
    <col min="10518" max="10518" width="8.140625" bestFit="1" customWidth="1"/>
    <col min="10519" max="10520" width="11.5703125" bestFit="1" customWidth="1"/>
    <col min="10521" max="10522" width="18" customWidth="1"/>
    <col min="10523" max="10523" width="17.140625" customWidth="1"/>
    <col min="10524" max="10525" width="15.7109375" customWidth="1"/>
    <col min="10526" max="10526" width="15" customWidth="1"/>
    <col min="10527" max="10528" width="14.140625" bestFit="1" customWidth="1"/>
    <col min="10529" max="10529" width="11.7109375" bestFit="1" customWidth="1"/>
    <col min="10530" max="10530" width="11.85546875" bestFit="1" customWidth="1"/>
    <col min="10531" max="10531" width="12.5703125" customWidth="1"/>
    <col min="10532" max="10532" width="11.28515625" customWidth="1"/>
    <col min="10533" max="10533" width="11.5703125" customWidth="1"/>
    <col min="10534" max="10534" width="9.28515625" customWidth="1"/>
    <col min="10536" max="10536" width="11.7109375" bestFit="1" customWidth="1"/>
    <col min="10537" max="10537" width="10.7109375" bestFit="1" customWidth="1"/>
    <col min="10752" max="10752" width="12.28515625" bestFit="1" customWidth="1"/>
    <col min="10753" max="10756" width="12.28515625" customWidth="1"/>
    <col min="10757" max="10757" width="11.7109375" customWidth="1"/>
    <col min="10758" max="10772" width="9.7109375" customWidth="1"/>
    <col min="10773" max="10773" width="11.5703125" bestFit="1" customWidth="1"/>
    <col min="10774" max="10774" width="8.140625" bestFit="1" customWidth="1"/>
    <col min="10775" max="10776" width="11.5703125" bestFit="1" customWidth="1"/>
    <col min="10777" max="10778" width="18" customWidth="1"/>
    <col min="10779" max="10779" width="17.140625" customWidth="1"/>
    <col min="10780" max="10781" width="15.7109375" customWidth="1"/>
    <col min="10782" max="10782" width="15" customWidth="1"/>
    <col min="10783" max="10784" width="14.140625" bestFit="1" customWidth="1"/>
    <col min="10785" max="10785" width="11.7109375" bestFit="1" customWidth="1"/>
    <col min="10786" max="10786" width="11.85546875" bestFit="1" customWidth="1"/>
    <col min="10787" max="10787" width="12.5703125" customWidth="1"/>
    <col min="10788" max="10788" width="11.28515625" customWidth="1"/>
    <col min="10789" max="10789" width="11.5703125" customWidth="1"/>
    <col min="10790" max="10790" width="9.28515625" customWidth="1"/>
    <col min="10792" max="10792" width="11.7109375" bestFit="1" customWidth="1"/>
    <col min="10793" max="10793" width="10.7109375" bestFit="1" customWidth="1"/>
    <col min="11008" max="11008" width="12.28515625" bestFit="1" customWidth="1"/>
    <col min="11009" max="11012" width="12.28515625" customWidth="1"/>
    <col min="11013" max="11013" width="11.7109375" customWidth="1"/>
    <col min="11014" max="11028" width="9.7109375" customWidth="1"/>
    <col min="11029" max="11029" width="11.5703125" bestFit="1" customWidth="1"/>
    <col min="11030" max="11030" width="8.140625" bestFit="1" customWidth="1"/>
    <col min="11031" max="11032" width="11.5703125" bestFit="1" customWidth="1"/>
    <col min="11033" max="11034" width="18" customWidth="1"/>
    <col min="11035" max="11035" width="17.140625" customWidth="1"/>
    <col min="11036" max="11037" width="15.7109375" customWidth="1"/>
    <col min="11038" max="11038" width="15" customWidth="1"/>
    <col min="11039" max="11040" width="14.140625" bestFit="1" customWidth="1"/>
    <col min="11041" max="11041" width="11.7109375" bestFit="1" customWidth="1"/>
    <col min="11042" max="11042" width="11.85546875" bestFit="1" customWidth="1"/>
    <col min="11043" max="11043" width="12.5703125" customWidth="1"/>
    <col min="11044" max="11044" width="11.28515625" customWidth="1"/>
    <col min="11045" max="11045" width="11.5703125" customWidth="1"/>
    <col min="11046" max="11046" width="9.28515625" customWidth="1"/>
    <col min="11048" max="11048" width="11.7109375" bestFit="1" customWidth="1"/>
    <col min="11049" max="11049" width="10.7109375" bestFit="1" customWidth="1"/>
    <col min="11264" max="11264" width="12.28515625" bestFit="1" customWidth="1"/>
    <col min="11265" max="11268" width="12.28515625" customWidth="1"/>
    <col min="11269" max="11269" width="11.7109375" customWidth="1"/>
    <col min="11270" max="11284" width="9.7109375" customWidth="1"/>
    <col min="11285" max="11285" width="11.5703125" bestFit="1" customWidth="1"/>
    <col min="11286" max="11286" width="8.140625" bestFit="1" customWidth="1"/>
    <col min="11287" max="11288" width="11.5703125" bestFit="1" customWidth="1"/>
    <col min="11289" max="11290" width="18" customWidth="1"/>
    <col min="11291" max="11291" width="17.140625" customWidth="1"/>
    <col min="11292" max="11293" width="15.7109375" customWidth="1"/>
    <col min="11294" max="11294" width="15" customWidth="1"/>
    <col min="11295" max="11296" width="14.140625" bestFit="1" customWidth="1"/>
    <col min="11297" max="11297" width="11.7109375" bestFit="1" customWidth="1"/>
    <col min="11298" max="11298" width="11.85546875" bestFit="1" customWidth="1"/>
    <col min="11299" max="11299" width="12.5703125" customWidth="1"/>
    <col min="11300" max="11300" width="11.28515625" customWidth="1"/>
    <col min="11301" max="11301" width="11.5703125" customWidth="1"/>
    <col min="11302" max="11302" width="9.28515625" customWidth="1"/>
    <col min="11304" max="11304" width="11.7109375" bestFit="1" customWidth="1"/>
    <col min="11305" max="11305" width="10.7109375" bestFit="1" customWidth="1"/>
    <col min="11520" max="11520" width="12.28515625" bestFit="1" customWidth="1"/>
    <col min="11521" max="11524" width="12.28515625" customWidth="1"/>
    <col min="11525" max="11525" width="11.7109375" customWidth="1"/>
    <col min="11526" max="11540" width="9.7109375" customWidth="1"/>
    <col min="11541" max="11541" width="11.5703125" bestFit="1" customWidth="1"/>
    <col min="11542" max="11542" width="8.140625" bestFit="1" customWidth="1"/>
    <col min="11543" max="11544" width="11.5703125" bestFit="1" customWidth="1"/>
    <col min="11545" max="11546" width="18" customWidth="1"/>
    <col min="11547" max="11547" width="17.140625" customWidth="1"/>
    <col min="11548" max="11549" width="15.7109375" customWidth="1"/>
    <col min="11550" max="11550" width="15" customWidth="1"/>
    <col min="11551" max="11552" width="14.140625" bestFit="1" customWidth="1"/>
    <col min="11553" max="11553" width="11.7109375" bestFit="1" customWidth="1"/>
    <col min="11554" max="11554" width="11.85546875" bestFit="1" customWidth="1"/>
    <col min="11555" max="11555" width="12.5703125" customWidth="1"/>
    <col min="11556" max="11556" width="11.28515625" customWidth="1"/>
    <col min="11557" max="11557" width="11.5703125" customWidth="1"/>
    <col min="11558" max="11558" width="9.28515625" customWidth="1"/>
    <col min="11560" max="11560" width="11.7109375" bestFit="1" customWidth="1"/>
    <col min="11561" max="11561" width="10.7109375" bestFit="1" customWidth="1"/>
    <col min="11776" max="11776" width="12.28515625" bestFit="1" customWidth="1"/>
    <col min="11777" max="11780" width="12.28515625" customWidth="1"/>
    <col min="11781" max="11781" width="11.7109375" customWidth="1"/>
    <col min="11782" max="11796" width="9.7109375" customWidth="1"/>
    <col min="11797" max="11797" width="11.5703125" bestFit="1" customWidth="1"/>
    <col min="11798" max="11798" width="8.140625" bestFit="1" customWidth="1"/>
    <col min="11799" max="11800" width="11.5703125" bestFit="1" customWidth="1"/>
    <col min="11801" max="11802" width="18" customWidth="1"/>
    <col min="11803" max="11803" width="17.140625" customWidth="1"/>
    <col min="11804" max="11805" width="15.7109375" customWidth="1"/>
    <col min="11806" max="11806" width="15" customWidth="1"/>
    <col min="11807" max="11808" width="14.140625" bestFit="1" customWidth="1"/>
    <col min="11809" max="11809" width="11.7109375" bestFit="1" customWidth="1"/>
    <col min="11810" max="11810" width="11.85546875" bestFit="1" customWidth="1"/>
    <col min="11811" max="11811" width="12.5703125" customWidth="1"/>
    <col min="11812" max="11812" width="11.28515625" customWidth="1"/>
    <col min="11813" max="11813" width="11.5703125" customWidth="1"/>
    <col min="11814" max="11814" width="9.28515625" customWidth="1"/>
    <col min="11816" max="11816" width="11.7109375" bestFit="1" customWidth="1"/>
    <col min="11817" max="11817" width="10.7109375" bestFit="1" customWidth="1"/>
    <col min="12032" max="12032" width="12.28515625" bestFit="1" customWidth="1"/>
    <col min="12033" max="12036" width="12.28515625" customWidth="1"/>
    <col min="12037" max="12037" width="11.7109375" customWidth="1"/>
    <col min="12038" max="12052" width="9.7109375" customWidth="1"/>
    <col min="12053" max="12053" width="11.5703125" bestFit="1" customWidth="1"/>
    <col min="12054" max="12054" width="8.140625" bestFit="1" customWidth="1"/>
    <col min="12055" max="12056" width="11.5703125" bestFit="1" customWidth="1"/>
    <col min="12057" max="12058" width="18" customWidth="1"/>
    <col min="12059" max="12059" width="17.140625" customWidth="1"/>
    <col min="12060" max="12061" width="15.7109375" customWidth="1"/>
    <col min="12062" max="12062" width="15" customWidth="1"/>
    <col min="12063" max="12064" width="14.140625" bestFit="1" customWidth="1"/>
    <col min="12065" max="12065" width="11.7109375" bestFit="1" customWidth="1"/>
    <col min="12066" max="12066" width="11.85546875" bestFit="1" customWidth="1"/>
    <col min="12067" max="12067" width="12.5703125" customWidth="1"/>
    <col min="12068" max="12068" width="11.28515625" customWidth="1"/>
    <col min="12069" max="12069" width="11.5703125" customWidth="1"/>
    <col min="12070" max="12070" width="9.28515625" customWidth="1"/>
    <col min="12072" max="12072" width="11.7109375" bestFit="1" customWidth="1"/>
    <col min="12073" max="12073" width="10.7109375" bestFit="1" customWidth="1"/>
    <col min="12288" max="12288" width="12.28515625" bestFit="1" customWidth="1"/>
    <col min="12289" max="12292" width="12.28515625" customWidth="1"/>
    <col min="12293" max="12293" width="11.7109375" customWidth="1"/>
    <col min="12294" max="12308" width="9.7109375" customWidth="1"/>
    <col min="12309" max="12309" width="11.5703125" bestFit="1" customWidth="1"/>
    <col min="12310" max="12310" width="8.140625" bestFit="1" customWidth="1"/>
    <col min="12311" max="12312" width="11.5703125" bestFit="1" customWidth="1"/>
    <col min="12313" max="12314" width="18" customWidth="1"/>
    <col min="12315" max="12315" width="17.140625" customWidth="1"/>
    <col min="12316" max="12317" width="15.7109375" customWidth="1"/>
    <col min="12318" max="12318" width="15" customWidth="1"/>
    <col min="12319" max="12320" width="14.140625" bestFit="1" customWidth="1"/>
    <col min="12321" max="12321" width="11.7109375" bestFit="1" customWidth="1"/>
    <col min="12322" max="12322" width="11.85546875" bestFit="1" customWidth="1"/>
    <col min="12323" max="12323" width="12.5703125" customWidth="1"/>
    <col min="12324" max="12324" width="11.28515625" customWidth="1"/>
    <col min="12325" max="12325" width="11.5703125" customWidth="1"/>
    <col min="12326" max="12326" width="9.28515625" customWidth="1"/>
    <col min="12328" max="12328" width="11.7109375" bestFit="1" customWidth="1"/>
    <col min="12329" max="12329" width="10.7109375" bestFit="1" customWidth="1"/>
    <col min="12544" max="12544" width="12.28515625" bestFit="1" customWidth="1"/>
    <col min="12545" max="12548" width="12.28515625" customWidth="1"/>
    <col min="12549" max="12549" width="11.7109375" customWidth="1"/>
    <col min="12550" max="12564" width="9.7109375" customWidth="1"/>
    <col min="12565" max="12565" width="11.5703125" bestFit="1" customWidth="1"/>
    <col min="12566" max="12566" width="8.140625" bestFit="1" customWidth="1"/>
    <col min="12567" max="12568" width="11.5703125" bestFit="1" customWidth="1"/>
    <col min="12569" max="12570" width="18" customWidth="1"/>
    <col min="12571" max="12571" width="17.140625" customWidth="1"/>
    <col min="12572" max="12573" width="15.7109375" customWidth="1"/>
    <col min="12574" max="12574" width="15" customWidth="1"/>
    <col min="12575" max="12576" width="14.140625" bestFit="1" customWidth="1"/>
    <col min="12577" max="12577" width="11.7109375" bestFit="1" customWidth="1"/>
    <col min="12578" max="12578" width="11.85546875" bestFit="1" customWidth="1"/>
    <col min="12579" max="12579" width="12.5703125" customWidth="1"/>
    <col min="12580" max="12580" width="11.28515625" customWidth="1"/>
    <col min="12581" max="12581" width="11.5703125" customWidth="1"/>
    <col min="12582" max="12582" width="9.28515625" customWidth="1"/>
    <col min="12584" max="12584" width="11.7109375" bestFit="1" customWidth="1"/>
    <col min="12585" max="12585" width="10.7109375" bestFit="1" customWidth="1"/>
    <col min="12800" max="12800" width="12.28515625" bestFit="1" customWidth="1"/>
    <col min="12801" max="12804" width="12.28515625" customWidth="1"/>
    <col min="12805" max="12805" width="11.7109375" customWidth="1"/>
    <col min="12806" max="12820" width="9.7109375" customWidth="1"/>
    <col min="12821" max="12821" width="11.5703125" bestFit="1" customWidth="1"/>
    <col min="12822" max="12822" width="8.140625" bestFit="1" customWidth="1"/>
    <col min="12823" max="12824" width="11.5703125" bestFit="1" customWidth="1"/>
    <col min="12825" max="12826" width="18" customWidth="1"/>
    <col min="12827" max="12827" width="17.140625" customWidth="1"/>
    <col min="12828" max="12829" width="15.7109375" customWidth="1"/>
    <col min="12830" max="12830" width="15" customWidth="1"/>
    <col min="12831" max="12832" width="14.140625" bestFit="1" customWidth="1"/>
    <col min="12833" max="12833" width="11.7109375" bestFit="1" customWidth="1"/>
    <col min="12834" max="12834" width="11.85546875" bestFit="1" customWidth="1"/>
    <col min="12835" max="12835" width="12.5703125" customWidth="1"/>
    <col min="12836" max="12836" width="11.28515625" customWidth="1"/>
    <col min="12837" max="12837" width="11.5703125" customWidth="1"/>
    <col min="12838" max="12838" width="9.28515625" customWidth="1"/>
    <col min="12840" max="12840" width="11.7109375" bestFit="1" customWidth="1"/>
    <col min="12841" max="12841" width="10.7109375" bestFit="1" customWidth="1"/>
    <col min="13056" max="13056" width="12.28515625" bestFit="1" customWidth="1"/>
    <col min="13057" max="13060" width="12.28515625" customWidth="1"/>
    <col min="13061" max="13061" width="11.7109375" customWidth="1"/>
    <col min="13062" max="13076" width="9.7109375" customWidth="1"/>
    <col min="13077" max="13077" width="11.5703125" bestFit="1" customWidth="1"/>
    <col min="13078" max="13078" width="8.140625" bestFit="1" customWidth="1"/>
    <col min="13079" max="13080" width="11.5703125" bestFit="1" customWidth="1"/>
    <col min="13081" max="13082" width="18" customWidth="1"/>
    <col min="13083" max="13083" width="17.140625" customWidth="1"/>
    <col min="13084" max="13085" width="15.7109375" customWidth="1"/>
    <col min="13086" max="13086" width="15" customWidth="1"/>
    <col min="13087" max="13088" width="14.140625" bestFit="1" customWidth="1"/>
    <col min="13089" max="13089" width="11.7109375" bestFit="1" customWidth="1"/>
    <col min="13090" max="13090" width="11.85546875" bestFit="1" customWidth="1"/>
    <col min="13091" max="13091" width="12.5703125" customWidth="1"/>
    <col min="13092" max="13092" width="11.28515625" customWidth="1"/>
    <col min="13093" max="13093" width="11.5703125" customWidth="1"/>
    <col min="13094" max="13094" width="9.28515625" customWidth="1"/>
    <col min="13096" max="13096" width="11.7109375" bestFit="1" customWidth="1"/>
    <col min="13097" max="13097" width="10.7109375" bestFit="1" customWidth="1"/>
    <col min="13312" max="13312" width="12.28515625" bestFit="1" customWidth="1"/>
    <col min="13313" max="13316" width="12.28515625" customWidth="1"/>
    <col min="13317" max="13317" width="11.7109375" customWidth="1"/>
    <col min="13318" max="13332" width="9.7109375" customWidth="1"/>
    <col min="13333" max="13333" width="11.5703125" bestFit="1" customWidth="1"/>
    <col min="13334" max="13334" width="8.140625" bestFit="1" customWidth="1"/>
    <col min="13335" max="13336" width="11.5703125" bestFit="1" customWidth="1"/>
    <col min="13337" max="13338" width="18" customWidth="1"/>
    <col min="13339" max="13339" width="17.140625" customWidth="1"/>
    <col min="13340" max="13341" width="15.7109375" customWidth="1"/>
    <col min="13342" max="13342" width="15" customWidth="1"/>
    <col min="13343" max="13344" width="14.140625" bestFit="1" customWidth="1"/>
    <col min="13345" max="13345" width="11.7109375" bestFit="1" customWidth="1"/>
    <col min="13346" max="13346" width="11.85546875" bestFit="1" customWidth="1"/>
    <col min="13347" max="13347" width="12.5703125" customWidth="1"/>
    <col min="13348" max="13348" width="11.28515625" customWidth="1"/>
    <col min="13349" max="13349" width="11.5703125" customWidth="1"/>
    <col min="13350" max="13350" width="9.28515625" customWidth="1"/>
    <col min="13352" max="13352" width="11.7109375" bestFit="1" customWidth="1"/>
    <col min="13353" max="13353" width="10.7109375" bestFit="1" customWidth="1"/>
    <col min="13568" max="13568" width="12.28515625" bestFit="1" customWidth="1"/>
    <col min="13569" max="13572" width="12.28515625" customWidth="1"/>
    <col min="13573" max="13573" width="11.7109375" customWidth="1"/>
    <col min="13574" max="13588" width="9.7109375" customWidth="1"/>
    <col min="13589" max="13589" width="11.5703125" bestFit="1" customWidth="1"/>
    <col min="13590" max="13590" width="8.140625" bestFit="1" customWidth="1"/>
    <col min="13591" max="13592" width="11.5703125" bestFit="1" customWidth="1"/>
    <col min="13593" max="13594" width="18" customWidth="1"/>
    <col min="13595" max="13595" width="17.140625" customWidth="1"/>
    <col min="13596" max="13597" width="15.7109375" customWidth="1"/>
    <col min="13598" max="13598" width="15" customWidth="1"/>
    <col min="13599" max="13600" width="14.140625" bestFit="1" customWidth="1"/>
    <col min="13601" max="13601" width="11.7109375" bestFit="1" customWidth="1"/>
    <col min="13602" max="13602" width="11.85546875" bestFit="1" customWidth="1"/>
    <col min="13603" max="13603" width="12.5703125" customWidth="1"/>
    <col min="13604" max="13604" width="11.28515625" customWidth="1"/>
    <col min="13605" max="13605" width="11.5703125" customWidth="1"/>
    <col min="13606" max="13606" width="9.28515625" customWidth="1"/>
    <col min="13608" max="13608" width="11.7109375" bestFit="1" customWidth="1"/>
    <col min="13609" max="13609" width="10.7109375" bestFit="1" customWidth="1"/>
    <col min="13824" max="13824" width="12.28515625" bestFit="1" customWidth="1"/>
    <col min="13825" max="13828" width="12.28515625" customWidth="1"/>
    <col min="13829" max="13829" width="11.7109375" customWidth="1"/>
    <col min="13830" max="13844" width="9.7109375" customWidth="1"/>
    <col min="13845" max="13845" width="11.5703125" bestFit="1" customWidth="1"/>
    <col min="13846" max="13846" width="8.140625" bestFit="1" customWidth="1"/>
    <col min="13847" max="13848" width="11.5703125" bestFit="1" customWidth="1"/>
    <col min="13849" max="13850" width="18" customWidth="1"/>
    <col min="13851" max="13851" width="17.140625" customWidth="1"/>
    <col min="13852" max="13853" width="15.7109375" customWidth="1"/>
    <col min="13854" max="13854" width="15" customWidth="1"/>
    <col min="13855" max="13856" width="14.140625" bestFit="1" customWidth="1"/>
    <col min="13857" max="13857" width="11.7109375" bestFit="1" customWidth="1"/>
    <col min="13858" max="13858" width="11.85546875" bestFit="1" customWidth="1"/>
    <col min="13859" max="13859" width="12.5703125" customWidth="1"/>
    <col min="13860" max="13860" width="11.28515625" customWidth="1"/>
    <col min="13861" max="13861" width="11.5703125" customWidth="1"/>
    <col min="13862" max="13862" width="9.28515625" customWidth="1"/>
    <col min="13864" max="13864" width="11.7109375" bestFit="1" customWidth="1"/>
    <col min="13865" max="13865" width="10.7109375" bestFit="1" customWidth="1"/>
    <col min="14080" max="14080" width="12.28515625" bestFit="1" customWidth="1"/>
    <col min="14081" max="14084" width="12.28515625" customWidth="1"/>
    <col min="14085" max="14085" width="11.7109375" customWidth="1"/>
    <col min="14086" max="14100" width="9.7109375" customWidth="1"/>
    <col min="14101" max="14101" width="11.5703125" bestFit="1" customWidth="1"/>
    <col min="14102" max="14102" width="8.140625" bestFit="1" customWidth="1"/>
    <col min="14103" max="14104" width="11.5703125" bestFit="1" customWidth="1"/>
    <col min="14105" max="14106" width="18" customWidth="1"/>
    <col min="14107" max="14107" width="17.140625" customWidth="1"/>
    <col min="14108" max="14109" width="15.7109375" customWidth="1"/>
    <col min="14110" max="14110" width="15" customWidth="1"/>
    <col min="14111" max="14112" width="14.140625" bestFit="1" customWidth="1"/>
    <col min="14113" max="14113" width="11.7109375" bestFit="1" customWidth="1"/>
    <col min="14114" max="14114" width="11.85546875" bestFit="1" customWidth="1"/>
    <col min="14115" max="14115" width="12.5703125" customWidth="1"/>
    <col min="14116" max="14116" width="11.28515625" customWidth="1"/>
    <col min="14117" max="14117" width="11.5703125" customWidth="1"/>
    <col min="14118" max="14118" width="9.28515625" customWidth="1"/>
    <col min="14120" max="14120" width="11.7109375" bestFit="1" customWidth="1"/>
    <col min="14121" max="14121" width="10.7109375" bestFit="1" customWidth="1"/>
    <col min="14336" max="14336" width="12.28515625" bestFit="1" customWidth="1"/>
    <col min="14337" max="14340" width="12.28515625" customWidth="1"/>
    <col min="14341" max="14341" width="11.7109375" customWidth="1"/>
    <col min="14342" max="14356" width="9.7109375" customWidth="1"/>
    <col min="14357" max="14357" width="11.5703125" bestFit="1" customWidth="1"/>
    <col min="14358" max="14358" width="8.140625" bestFit="1" customWidth="1"/>
    <col min="14359" max="14360" width="11.5703125" bestFit="1" customWidth="1"/>
    <col min="14361" max="14362" width="18" customWidth="1"/>
    <col min="14363" max="14363" width="17.140625" customWidth="1"/>
    <col min="14364" max="14365" width="15.7109375" customWidth="1"/>
    <col min="14366" max="14366" width="15" customWidth="1"/>
    <col min="14367" max="14368" width="14.140625" bestFit="1" customWidth="1"/>
    <col min="14369" max="14369" width="11.7109375" bestFit="1" customWidth="1"/>
    <col min="14370" max="14370" width="11.85546875" bestFit="1" customWidth="1"/>
    <col min="14371" max="14371" width="12.5703125" customWidth="1"/>
    <col min="14372" max="14372" width="11.28515625" customWidth="1"/>
    <col min="14373" max="14373" width="11.5703125" customWidth="1"/>
    <col min="14374" max="14374" width="9.28515625" customWidth="1"/>
    <col min="14376" max="14376" width="11.7109375" bestFit="1" customWidth="1"/>
    <col min="14377" max="14377" width="10.7109375" bestFit="1" customWidth="1"/>
    <col min="14592" max="14592" width="12.28515625" bestFit="1" customWidth="1"/>
    <col min="14593" max="14596" width="12.28515625" customWidth="1"/>
    <col min="14597" max="14597" width="11.7109375" customWidth="1"/>
    <col min="14598" max="14612" width="9.7109375" customWidth="1"/>
    <col min="14613" max="14613" width="11.5703125" bestFit="1" customWidth="1"/>
    <col min="14614" max="14614" width="8.140625" bestFit="1" customWidth="1"/>
    <col min="14615" max="14616" width="11.5703125" bestFit="1" customWidth="1"/>
    <col min="14617" max="14618" width="18" customWidth="1"/>
    <col min="14619" max="14619" width="17.140625" customWidth="1"/>
    <col min="14620" max="14621" width="15.7109375" customWidth="1"/>
    <col min="14622" max="14622" width="15" customWidth="1"/>
    <col min="14623" max="14624" width="14.140625" bestFit="1" customWidth="1"/>
    <col min="14625" max="14625" width="11.7109375" bestFit="1" customWidth="1"/>
    <col min="14626" max="14626" width="11.85546875" bestFit="1" customWidth="1"/>
    <col min="14627" max="14627" width="12.5703125" customWidth="1"/>
    <col min="14628" max="14628" width="11.28515625" customWidth="1"/>
    <col min="14629" max="14629" width="11.5703125" customWidth="1"/>
    <col min="14630" max="14630" width="9.28515625" customWidth="1"/>
    <col min="14632" max="14632" width="11.7109375" bestFit="1" customWidth="1"/>
    <col min="14633" max="14633" width="10.7109375" bestFit="1" customWidth="1"/>
    <col min="14848" max="14848" width="12.28515625" bestFit="1" customWidth="1"/>
    <col min="14849" max="14852" width="12.28515625" customWidth="1"/>
    <col min="14853" max="14853" width="11.7109375" customWidth="1"/>
    <col min="14854" max="14868" width="9.7109375" customWidth="1"/>
    <col min="14869" max="14869" width="11.5703125" bestFit="1" customWidth="1"/>
    <col min="14870" max="14870" width="8.140625" bestFit="1" customWidth="1"/>
    <col min="14871" max="14872" width="11.5703125" bestFit="1" customWidth="1"/>
    <col min="14873" max="14874" width="18" customWidth="1"/>
    <col min="14875" max="14875" width="17.140625" customWidth="1"/>
    <col min="14876" max="14877" width="15.7109375" customWidth="1"/>
    <col min="14878" max="14878" width="15" customWidth="1"/>
    <col min="14879" max="14880" width="14.140625" bestFit="1" customWidth="1"/>
    <col min="14881" max="14881" width="11.7109375" bestFit="1" customWidth="1"/>
    <col min="14882" max="14882" width="11.85546875" bestFit="1" customWidth="1"/>
    <col min="14883" max="14883" width="12.5703125" customWidth="1"/>
    <col min="14884" max="14884" width="11.28515625" customWidth="1"/>
    <col min="14885" max="14885" width="11.5703125" customWidth="1"/>
    <col min="14886" max="14886" width="9.28515625" customWidth="1"/>
    <col min="14888" max="14888" width="11.7109375" bestFit="1" customWidth="1"/>
    <col min="14889" max="14889" width="10.7109375" bestFit="1" customWidth="1"/>
    <col min="15104" max="15104" width="12.28515625" bestFit="1" customWidth="1"/>
    <col min="15105" max="15108" width="12.28515625" customWidth="1"/>
    <col min="15109" max="15109" width="11.7109375" customWidth="1"/>
    <col min="15110" max="15124" width="9.7109375" customWidth="1"/>
    <col min="15125" max="15125" width="11.5703125" bestFit="1" customWidth="1"/>
    <col min="15126" max="15126" width="8.140625" bestFit="1" customWidth="1"/>
    <col min="15127" max="15128" width="11.5703125" bestFit="1" customWidth="1"/>
    <col min="15129" max="15130" width="18" customWidth="1"/>
    <col min="15131" max="15131" width="17.140625" customWidth="1"/>
    <col min="15132" max="15133" width="15.7109375" customWidth="1"/>
    <col min="15134" max="15134" width="15" customWidth="1"/>
    <col min="15135" max="15136" width="14.140625" bestFit="1" customWidth="1"/>
    <col min="15137" max="15137" width="11.7109375" bestFit="1" customWidth="1"/>
    <col min="15138" max="15138" width="11.85546875" bestFit="1" customWidth="1"/>
    <col min="15139" max="15139" width="12.5703125" customWidth="1"/>
    <col min="15140" max="15140" width="11.28515625" customWidth="1"/>
    <col min="15141" max="15141" width="11.5703125" customWidth="1"/>
    <col min="15142" max="15142" width="9.28515625" customWidth="1"/>
    <col min="15144" max="15144" width="11.7109375" bestFit="1" customWidth="1"/>
    <col min="15145" max="15145" width="10.7109375" bestFit="1" customWidth="1"/>
    <col min="15360" max="15360" width="12.28515625" bestFit="1" customWidth="1"/>
    <col min="15361" max="15364" width="12.28515625" customWidth="1"/>
    <col min="15365" max="15365" width="11.7109375" customWidth="1"/>
    <col min="15366" max="15380" width="9.7109375" customWidth="1"/>
    <col min="15381" max="15381" width="11.5703125" bestFit="1" customWidth="1"/>
    <col min="15382" max="15382" width="8.140625" bestFit="1" customWidth="1"/>
    <col min="15383" max="15384" width="11.5703125" bestFit="1" customWidth="1"/>
    <col min="15385" max="15386" width="18" customWidth="1"/>
    <col min="15387" max="15387" width="17.140625" customWidth="1"/>
    <col min="15388" max="15389" width="15.7109375" customWidth="1"/>
    <col min="15390" max="15390" width="15" customWidth="1"/>
    <col min="15391" max="15392" width="14.140625" bestFit="1" customWidth="1"/>
    <col min="15393" max="15393" width="11.7109375" bestFit="1" customWidth="1"/>
    <col min="15394" max="15394" width="11.85546875" bestFit="1" customWidth="1"/>
    <col min="15395" max="15395" width="12.5703125" customWidth="1"/>
    <col min="15396" max="15396" width="11.28515625" customWidth="1"/>
    <col min="15397" max="15397" width="11.5703125" customWidth="1"/>
    <col min="15398" max="15398" width="9.28515625" customWidth="1"/>
    <col min="15400" max="15400" width="11.7109375" bestFit="1" customWidth="1"/>
    <col min="15401" max="15401" width="10.7109375" bestFit="1" customWidth="1"/>
    <col min="15616" max="15616" width="12.28515625" bestFit="1" customWidth="1"/>
    <col min="15617" max="15620" width="12.28515625" customWidth="1"/>
    <col min="15621" max="15621" width="11.7109375" customWidth="1"/>
    <col min="15622" max="15636" width="9.7109375" customWidth="1"/>
    <col min="15637" max="15637" width="11.5703125" bestFit="1" customWidth="1"/>
    <col min="15638" max="15638" width="8.140625" bestFit="1" customWidth="1"/>
    <col min="15639" max="15640" width="11.5703125" bestFit="1" customWidth="1"/>
    <col min="15641" max="15642" width="18" customWidth="1"/>
    <col min="15643" max="15643" width="17.140625" customWidth="1"/>
    <col min="15644" max="15645" width="15.7109375" customWidth="1"/>
    <col min="15646" max="15646" width="15" customWidth="1"/>
    <col min="15647" max="15648" width="14.140625" bestFit="1" customWidth="1"/>
    <col min="15649" max="15649" width="11.7109375" bestFit="1" customWidth="1"/>
    <col min="15650" max="15650" width="11.85546875" bestFit="1" customWidth="1"/>
    <col min="15651" max="15651" width="12.5703125" customWidth="1"/>
    <col min="15652" max="15652" width="11.28515625" customWidth="1"/>
    <col min="15653" max="15653" width="11.5703125" customWidth="1"/>
    <col min="15654" max="15654" width="9.28515625" customWidth="1"/>
    <col min="15656" max="15656" width="11.7109375" bestFit="1" customWidth="1"/>
    <col min="15657" max="15657" width="10.7109375" bestFit="1" customWidth="1"/>
    <col min="15872" max="15872" width="12.28515625" bestFit="1" customWidth="1"/>
    <col min="15873" max="15876" width="12.28515625" customWidth="1"/>
    <col min="15877" max="15877" width="11.7109375" customWidth="1"/>
    <col min="15878" max="15892" width="9.7109375" customWidth="1"/>
    <col min="15893" max="15893" width="11.5703125" bestFit="1" customWidth="1"/>
    <col min="15894" max="15894" width="8.140625" bestFit="1" customWidth="1"/>
    <col min="15895" max="15896" width="11.5703125" bestFit="1" customWidth="1"/>
    <col min="15897" max="15898" width="18" customWidth="1"/>
    <col min="15899" max="15899" width="17.140625" customWidth="1"/>
    <col min="15900" max="15901" width="15.7109375" customWidth="1"/>
    <col min="15902" max="15902" width="15" customWidth="1"/>
    <col min="15903" max="15904" width="14.140625" bestFit="1" customWidth="1"/>
    <col min="15905" max="15905" width="11.7109375" bestFit="1" customWidth="1"/>
    <col min="15906" max="15906" width="11.85546875" bestFit="1" customWidth="1"/>
    <col min="15907" max="15907" width="12.5703125" customWidth="1"/>
    <col min="15908" max="15908" width="11.28515625" customWidth="1"/>
    <col min="15909" max="15909" width="11.5703125" customWidth="1"/>
    <col min="15910" max="15910" width="9.28515625" customWidth="1"/>
    <col min="15912" max="15912" width="11.7109375" bestFit="1" customWidth="1"/>
    <col min="15913" max="15913" width="10.7109375" bestFit="1" customWidth="1"/>
    <col min="16128" max="16128" width="12.28515625" bestFit="1" customWidth="1"/>
    <col min="16129" max="16132" width="12.28515625" customWidth="1"/>
    <col min="16133" max="16133" width="11.7109375" customWidth="1"/>
    <col min="16134" max="16148" width="9.7109375" customWidth="1"/>
    <col min="16149" max="16149" width="11.5703125" bestFit="1" customWidth="1"/>
    <col min="16150" max="16150" width="8.140625" bestFit="1" customWidth="1"/>
    <col min="16151" max="16152" width="11.5703125" bestFit="1" customWidth="1"/>
    <col min="16153" max="16154" width="18" customWidth="1"/>
    <col min="16155" max="16155" width="17.140625" customWidth="1"/>
    <col min="16156" max="16157" width="15.7109375" customWidth="1"/>
    <col min="16158" max="16158" width="15" customWidth="1"/>
    <col min="16159" max="16160" width="14.140625" bestFit="1" customWidth="1"/>
    <col min="16161" max="16161" width="11.7109375" bestFit="1" customWidth="1"/>
    <col min="16162" max="16162" width="11.85546875" bestFit="1" customWidth="1"/>
    <col min="16163" max="16163" width="12.5703125" customWidth="1"/>
    <col min="16164" max="16164" width="11.28515625" customWidth="1"/>
    <col min="16165" max="16165" width="11.5703125" customWidth="1"/>
    <col min="16166" max="16166" width="9.28515625" customWidth="1"/>
    <col min="16168" max="16168" width="11.7109375" bestFit="1" customWidth="1"/>
    <col min="16169" max="16169" width="10.7109375" bestFit="1" customWidth="1"/>
  </cols>
  <sheetData>
    <row r="2" spans="1:28" x14ac:dyDescent="0.2">
      <c r="A2" t="s">
        <v>100</v>
      </c>
      <c r="B2" s="83" t="s">
        <v>127</v>
      </c>
      <c r="C2"/>
      <c r="D2"/>
      <c r="E2"/>
      <c r="F2"/>
    </row>
    <row r="3" spans="1:28" x14ac:dyDescent="0.2">
      <c r="B3"/>
      <c r="C3"/>
      <c r="D3"/>
      <c r="E3"/>
      <c r="F3"/>
      <c r="X3" s="81"/>
    </row>
    <row r="4" spans="1:28" ht="25.5" x14ac:dyDescent="0.2">
      <c r="A4" s="180" t="s">
        <v>3</v>
      </c>
      <c r="B4" s="175">
        <v>1993</v>
      </c>
      <c r="C4" s="175">
        <v>1994</v>
      </c>
      <c r="D4" s="175">
        <v>1995</v>
      </c>
      <c r="E4" s="175">
        <v>1996</v>
      </c>
      <c r="F4" s="175">
        <v>1997</v>
      </c>
      <c r="G4" s="175">
        <v>1998</v>
      </c>
      <c r="H4" s="175">
        <v>1999</v>
      </c>
      <c r="I4" s="175">
        <v>2000</v>
      </c>
      <c r="J4" s="175">
        <v>2001</v>
      </c>
      <c r="K4" s="175">
        <v>2002</v>
      </c>
      <c r="L4" s="175">
        <v>2003</v>
      </c>
      <c r="M4" s="175">
        <v>2004</v>
      </c>
      <c r="N4" s="175">
        <v>2005</v>
      </c>
      <c r="O4" s="175">
        <v>2006</v>
      </c>
      <c r="P4" s="175">
        <v>2007</v>
      </c>
      <c r="Q4" s="175">
        <v>2008</v>
      </c>
      <c r="R4" s="175">
        <v>2009</v>
      </c>
      <c r="S4" s="175">
        <v>2010</v>
      </c>
      <c r="T4" s="175">
        <v>2011</v>
      </c>
      <c r="U4" s="175">
        <v>2012</v>
      </c>
      <c r="V4" s="175">
        <v>2013</v>
      </c>
      <c r="W4" s="177" t="s">
        <v>155</v>
      </c>
      <c r="X4" s="177" t="s">
        <v>99</v>
      </c>
      <c r="Z4" s="84"/>
      <c r="AA4" s="84"/>
      <c r="AB4" s="84"/>
    </row>
    <row r="5" spans="1:28" x14ac:dyDescent="0.2">
      <c r="A5" s="176" t="s">
        <v>156</v>
      </c>
      <c r="B5" s="170">
        <v>672.3</v>
      </c>
      <c r="C5" s="170">
        <v>920.4</v>
      </c>
      <c r="D5" s="170">
        <v>643.1</v>
      </c>
      <c r="E5" s="170">
        <v>774.2</v>
      </c>
      <c r="F5" s="170">
        <v>746.1</v>
      </c>
      <c r="G5" s="170">
        <v>620.79999999999995</v>
      </c>
      <c r="H5" s="170">
        <v>774.6</v>
      </c>
      <c r="I5" s="170">
        <v>747.9</v>
      </c>
      <c r="J5" s="170">
        <v>703</v>
      </c>
      <c r="K5" s="170">
        <v>592.6</v>
      </c>
      <c r="L5" s="170">
        <v>829.5</v>
      </c>
      <c r="M5" s="170">
        <v>859.1</v>
      </c>
      <c r="N5" s="170">
        <v>765.8</v>
      </c>
      <c r="O5" s="170">
        <v>554.70000000000005</v>
      </c>
      <c r="P5" s="170">
        <v>665.6</v>
      </c>
      <c r="Q5" s="170">
        <v>633.6</v>
      </c>
      <c r="R5" s="170">
        <v>852.3</v>
      </c>
      <c r="S5" s="170">
        <v>728.7</v>
      </c>
      <c r="T5" s="170">
        <v>804.3</v>
      </c>
      <c r="U5" s="170">
        <v>631.70000000000005</v>
      </c>
      <c r="V5" s="186">
        <v>591.4</v>
      </c>
      <c r="W5" s="178">
        <f>AVERAGE(M5:V5)</f>
        <v>708.72</v>
      </c>
      <c r="X5" s="181">
        <f>TREND(C5:V5,$C$4:$V$4,2014)</f>
        <v>676.88789473684119</v>
      </c>
    </row>
    <row r="6" spans="1:28" x14ac:dyDescent="0.2">
      <c r="A6" s="176" t="s">
        <v>157</v>
      </c>
      <c r="B6" s="170">
        <v>729.1</v>
      </c>
      <c r="C6" s="170">
        <v>747.1</v>
      </c>
      <c r="D6" s="170">
        <v>709.5</v>
      </c>
      <c r="E6" s="170">
        <v>699.4</v>
      </c>
      <c r="F6" s="170">
        <v>573.79999999999995</v>
      </c>
      <c r="G6" s="170">
        <v>520.29999999999995</v>
      </c>
      <c r="H6" s="170">
        <v>556.79999999999995</v>
      </c>
      <c r="I6" s="170">
        <v>622.70000000000005</v>
      </c>
      <c r="J6" s="170">
        <v>597.29999999999995</v>
      </c>
      <c r="K6" s="170">
        <v>553.9</v>
      </c>
      <c r="L6" s="170">
        <v>699.2</v>
      </c>
      <c r="M6" s="170">
        <v>647.70000000000005</v>
      </c>
      <c r="N6" s="170">
        <v>641.70000000000005</v>
      </c>
      <c r="O6" s="170">
        <v>602.79999999999995</v>
      </c>
      <c r="P6" s="170">
        <v>761.8</v>
      </c>
      <c r="Q6" s="170">
        <v>678.8</v>
      </c>
      <c r="R6" s="170">
        <v>616.6</v>
      </c>
      <c r="S6" s="170">
        <v>618.4</v>
      </c>
      <c r="T6" s="170">
        <v>660.1</v>
      </c>
      <c r="U6" s="170">
        <v>550.5</v>
      </c>
      <c r="V6" s="186">
        <v>622.5</v>
      </c>
      <c r="W6" s="178">
        <f t="shared" ref="W6:W16" si="0">AVERAGE(M6:V6)</f>
        <v>640.09</v>
      </c>
      <c r="X6" s="181">
        <f t="shared" ref="X6:X16" si="1">TREND(C6:V6,$C$4:$V$4,2014)</f>
        <v>620.54736842105285</v>
      </c>
    </row>
    <row r="7" spans="1:28" x14ac:dyDescent="0.2">
      <c r="A7" s="176" t="s">
        <v>158</v>
      </c>
      <c r="B7" s="170">
        <v>640.79999999999995</v>
      </c>
      <c r="C7" s="170">
        <v>595.79999999999995</v>
      </c>
      <c r="D7" s="170">
        <v>499</v>
      </c>
      <c r="E7" s="170">
        <v>666.6</v>
      </c>
      <c r="F7" s="170">
        <v>583.1</v>
      </c>
      <c r="G7" s="170">
        <v>504.6</v>
      </c>
      <c r="H7" s="170">
        <v>566.79999999999995</v>
      </c>
      <c r="I7" s="170">
        <v>434.7</v>
      </c>
      <c r="J7" s="170">
        <v>598.5</v>
      </c>
      <c r="K7" s="170">
        <v>539.29999999999995</v>
      </c>
      <c r="L7" s="170">
        <v>593.1</v>
      </c>
      <c r="M7" s="170">
        <v>513.6</v>
      </c>
      <c r="N7" s="170">
        <v>646.9</v>
      </c>
      <c r="O7" s="170">
        <v>530.4</v>
      </c>
      <c r="P7" s="170">
        <v>565.20000000000005</v>
      </c>
      <c r="Q7" s="170">
        <v>620.70000000000005</v>
      </c>
      <c r="R7" s="170">
        <v>540.9</v>
      </c>
      <c r="S7" s="170">
        <v>456.8</v>
      </c>
      <c r="T7" s="170">
        <v>596.70000000000005</v>
      </c>
      <c r="U7" s="170">
        <v>351.4</v>
      </c>
      <c r="V7" s="186">
        <v>535.79999999999995</v>
      </c>
      <c r="W7" s="178">
        <f t="shared" si="0"/>
        <v>535.84</v>
      </c>
      <c r="X7" s="181">
        <f t="shared" si="1"/>
        <v>510.37210526315812</v>
      </c>
    </row>
    <row r="8" spans="1:28" x14ac:dyDescent="0.2">
      <c r="A8" s="176" t="s">
        <v>159</v>
      </c>
      <c r="B8" s="170">
        <v>355.3</v>
      </c>
      <c r="C8" s="170">
        <v>333.9</v>
      </c>
      <c r="D8" s="170">
        <v>422.7</v>
      </c>
      <c r="E8" s="170">
        <v>408.3</v>
      </c>
      <c r="F8" s="170">
        <v>375.1</v>
      </c>
      <c r="G8" s="170">
        <v>290.7</v>
      </c>
      <c r="H8" s="170">
        <v>317.5</v>
      </c>
      <c r="I8" s="170">
        <v>363.5</v>
      </c>
      <c r="J8" s="170">
        <v>314.10000000000002</v>
      </c>
      <c r="K8" s="170">
        <v>338.9</v>
      </c>
      <c r="L8" s="170">
        <v>387.1</v>
      </c>
      <c r="M8" s="170">
        <v>329.3</v>
      </c>
      <c r="N8" s="170">
        <v>339</v>
      </c>
      <c r="O8" s="170">
        <v>314.60000000000002</v>
      </c>
      <c r="P8" s="170">
        <v>374.2</v>
      </c>
      <c r="Q8" s="170">
        <v>288.10000000000002</v>
      </c>
      <c r="R8" s="170">
        <v>334.7</v>
      </c>
      <c r="S8" s="170">
        <v>235.8</v>
      </c>
      <c r="T8" s="170">
        <v>354</v>
      </c>
      <c r="U8" s="170">
        <v>335.9</v>
      </c>
      <c r="V8" s="186">
        <v>366.5</v>
      </c>
      <c r="W8" s="178">
        <f t="shared" si="0"/>
        <v>327.20999999999998</v>
      </c>
      <c r="X8" s="181">
        <f t="shared" si="1"/>
        <v>315.59789473684214</v>
      </c>
    </row>
    <row r="9" spans="1:28" x14ac:dyDescent="0.2">
      <c r="A9" s="176" t="s">
        <v>81</v>
      </c>
      <c r="B9" s="170">
        <v>186</v>
      </c>
      <c r="C9" s="170">
        <v>212.6</v>
      </c>
      <c r="D9" s="170">
        <v>165.4</v>
      </c>
      <c r="E9" s="170">
        <v>210.1</v>
      </c>
      <c r="F9" s="170">
        <v>269.60000000000002</v>
      </c>
      <c r="G9" s="170">
        <v>82.1</v>
      </c>
      <c r="H9" s="170">
        <v>113.1</v>
      </c>
      <c r="I9" s="170">
        <v>151.69999999999999</v>
      </c>
      <c r="J9" s="170">
        <v>142.19999999999999</v>
      </c>
      <c r="K9" s="170">
        <v>248.9</v>
      </c>
      <c r="L9" s="170">
        <v>215.8</v>
      </c>
      <c r="M9" s="170">
        <v>164.1</v>
      </c>
      <c r="N9" s="170">
        <v>212.7</v>
      </c>
      <c r="O9" s="170">
        <v>155.5</v>
      </c>
      <c r="P9" s="170">
        <v>138.4</v>
      </c>
      <c r="Q9" s="170">
        <v>214.1</v>
      </c>
      <c r="R9" s="170">
        <v>178.1</v>
      </c>
      <c r="S9" s="170">
        <v>128.4</v>
      </c>
      <c r="T9" s="170">
        <v>158.6</v>
      </c>
      <c r="U9" s="170">
        <v>89.4</v>
      </c>
      <c r="V9" s="186">
        <v>137.69999999999999</v>
      </c>
      <c r="W9" s="178">
        <f t="shared" si="0"/>
        <v>157.69999999999999</v>
      </c>
      <c r="X9" s="181">
        <f t="shared" si="1"/>
        <v>141.43736842105318</v>
      </c>
    </row>
    <row r="10" spans="1:28" x14ac:dyDescent="0.2">
      <c r="A10" s="176" t="s">
        <v>160</v>
      </c>
      <c r="B10" s="170">
        <v>54.3</v>
      </c>
      <c r="C10" s="170">
        <v>42.8</v>
      </c>
      <c r="D10" s="170">
        <v>21.7</v>
      </c>
      <c r="E10" s="170">
        <v>26.5</v>
      </c>
      <c r="F10" s="170">
        <v>33.299999999999997</v>
      </c>
      <c r="G10" s="170">
        <v>63.3</v>
      </c>
      <c r="H10" s="170">
        <v>37.5</v>
      </c>
      <c r="I10" s="170">
        <v>42.8</v>
      </c>
      <c r="J10" s="170">
        <v>40.9</v>
      </c>
      <c r="K10" s="170">
        <v>41.9</v>
      </c>
      <c r="L10" s="170">
        <v>54.5</v>
      </c>
      <c r="M10" s="170">
        <v>60.1</v>
      </c>
      <c r="N10" s="170">
        <v>13.1</v>
      </c>
      <c r="O10" s="170">
        <v>26.7</v>
      </c>
      <c r="P10" s="170">
        <v>19.2</v>
      </c>
      <c r="Q10" s="170">
        <v>34.200000000000003</v>
      </c>
      <c r="R10" s="170">
        <v>58.5</v>
      </c>
      <c r="S10" s="170">
        <v>27.2</v>
      </c>
      <c r="T10" s="170">
        <v>25</v>
      </c>
      <c r="U10" s="170">
        <v>32.4</v>
      </c>
      <c r="V10" s="186">
        <v>41.8</v>
      </c>
      <c r="W10" s="178">
        <f t="shared" si="0"/>
        <v>33.82</v>
      </c>
      <c r="X10" s="181">
        <f t="shared" si="1"/>
        <v>34.498421052631556</v>
      </c>
    </row>
    <row r="11" spans="1:28" x14ac:dyDescent="0.2">
      <c r="A11" s="176" t="s">
        <v>161</v>
      </c>
      <c r="B11" s="170">
        <v>1.7</v>
      </c>
      <c r="C11" s="170">
        <v>3.6</v>
      </c>
      <c r="D11" s="170">
        <v>13.4</v>
      </c>
      <c r="E11" s="170">
        <v>12</v>
      </c>
      <c r="F11" s="170">
        <v>14.5</v>
      </c>
      <c r="G11" s="170">
        <v>1.3</v>
      </c>
      <c r="H11" s="170">
        <v>1</v>
      </c>
      <c r="I11" s="170">
        <v>12.2</v>
      </c>
      <c r="J11" s="170">
        <v>17.899999999999999</v>
      </c>
      <c r="K11" s="170">
        <v>0.9</v>
      </c>
      <c r="L11" s="170">
        <v>6.5</v>
      </c>
      <c r="M11" s="170">
        <v>7.7</v>
      </c>
      <c r="N11" s="170">
        <v>1.1000000000000001</v>
      </c>
      <c r="O11" s="170">
        <v>1.9</v>
      </c>
      <c r="P11" s="170">
        <v>9.1999999999999993</v>
      </c>
      <c r="Q11" s="170">
        <v>3.7</v>
      </c>
      <c r="R11" s="170">
        <v>18.899999999999999</v>
      </c>
      <c r="S11" s="170">
        <v>5.7</v>
      </c>
      <c r="T11" s="170">
        <v>0</v>
      </c>
      <c r="U11" s="170">
        <v>0</v>
      </c>
      <c r="V11" s="186">
        <v>5.4</v>
      </c>
      <c r="W11" s="178">
        <f t="shared" si="0"/>
        <v>5.36</v>
      </c>
      <c r="X11" s="181">
        <f t="shared" si="1"/>
        <v>3.9294736842106204</v>
      </c>
    </row>
    <row r="12" spans="1:28" x14ac:dyDescent="0.2">
      <c r="A12" s="176" t="s">
        <v>162</v>
      </c>
      <c r="B12" s="170">
        <v>8.6</v>
      </c>
      <c r="C12" s="170">
        <v>29</v>
      </c>
      <c r="D12" s="170">
        <v>4.0999999999999996</v>
      </c>
      <c r="E12" s="170">
        <v>2.2000000000000002</v>
      </c>
      <c r="F12" s="170">
        <v>23.1</v>
      </c>
      <c r="G12" s="170">
        <v>5.3</v>
      </c>
      <c r="H12" s="170">
        <v>12.7</v>
      </c>
      <c r="I12" s="170">
        <v>18</v>
      </c>
      <c r="J12" s="170">
        <v>0.7</v>
      </c>
      <c r="K12" s="170">
        <v>4.2</v>
      </c>
      <c r="L12" s="170">
        <v>5.7</v>
      </c>
      <c r="M12" s="170">
        <v>28.9</v>
      </c>
      <c r="N12" s="170">
        <v>3.8</v>
      </c>
      <c r="O12" s="170">
        <v>8.1</v>
      </c>
      <c r="P12" s="170">
        <v>8.4</v>
      </c>
      <c r="Q12" s="170">
        <v>20.2</v>
      </c>
      <c r="R12" s="170">
        <v>18.100000000000001</v>
      </c>
      <c r="S12" s="170">
        <v>6.9</v>
      </c>
      <c r="T12" s="170">
        <v>2.4</v>
      </c>
      <c r="U12" s="170">
        <v>8.4</v>
      </c>
      <c r="V12" s="186">
        <v>8.1999999999999993</v>
      </c>
      <c r="W12" s="178">
        <f t="shared" si="0"/>
        <v>11.340000000000002</v>
      </c>
      <c r="X12" s="181">
        <f t="shared" si="1"/>
        <v>8.3178947368421063</v>
      </c>
    </row>
    <row r="13" spans="1:28" x14ac:dyDescent="0.2">
      <c r="A13" s="176" t="s">
        <v>163</v>
      </c>
      <c r="B13" s="170">
        <v>148.1</v>
      </c>
      <c r="C13" s="170">
        <v>91.9</v>
      </c>
      <c r="D13" s="170">
        <v>121</v>
      </c>
      <c r="E13" s="170">
        <v>85.4</v>
      </c>
      <c r="F13" s="170">
        <v>89.5</v>
      </c>
      <c r="G13" s="170">
        <v>51.8</v>
      </c>
      <c r="H13" s="170">
        <v>71</v>
      </c>
      <c r="I13" s="170">
        <v>115.3</v>
      </c>
      <c r="J13" s="170">
        <v>93.3</v>
      </c>
      <c r="K13" s="170">
        <v>32.799999999999997</v>
      </c>
      <c r="L13" s="170">
        <v>73.900000000000006</v>
      </c>
      <c r="M13" s="170">
        <v>43.9</v>
      </c>
      <c r="N13" s="170">
        <v>32.799999999999997</v>
      </c>
      <c r="O13" s="170">
        <v>105.3</v>
      </c>
      <c r="P13" s="170">
        <v>55.2</v>
      </c>
      <c r="Q13" s="170">
        <v>70.5</v>
      </c>
      <c r="R13" s="170">
        <v>67.900000000000006</v>
      </c>
      <c r="S13" s="170">
        <v>97.2</v>
      </c>
      <c r="T13" s="170">
        <v>68.7</v>
      </c>
      <c r="U13" s="170">
        <v>101.8</v>
      </c>
      <c r="V13" s="186">
        <v>102</v>
      </c>
      <c r="W13" s="178">
        <f t="shared" si="0"/>
        <v>74.53</v>
      </c>
      <c r="X13" s="181">
        <f t="shared" si="1"/>
        <v>74.588947368421032</v>
      </c>
    </row>
    <row r="14" spans="1:28" x14ac:dyDescent="0.2">
      <c r="A14" s="176" t="s">
        <v>164</v>
      </c>
      <c r="B14" s="170">
        <v>321.89999999999998</v>
      </c>
      <c r="C14" s="170">
        <v>251.4</v>
      </c>
      <c r="D14" s="170">
        <v>223.7</v>
      </c>
      <c r="E14" s="170">
        <v>272.39999999999998</v>
      </c>
      <c r="F14" s="170">
        <v>270</v>
      </c>
      <c r="G14" s="170">
        <v>234.9</v>
      </c>
      <c r="H14" s="170">
        <v>282.5</v>
      </c>
      <c r="I14" s="170">
        <v>230.8</v>
      </c>
      <c r="J14" s="170">
        <v>243.5</v>
      </c>
      <c r="K14" s="170">
        <v>304.10000000000002</v>
      </c>
      <c r="L14" s="170">
        <v>293.5</v>
      </c>
      <c r="M14" s="170">
        <v>253.5</v>
      </c>
      <c r="N14" s="170">
        <v>234.2</v>
      </c>
      <c r="O14" s="170">
        <v>304.10000000000002</v>
      </c>
      <c r="P14" s="170">
        <v>157.80000000000001</v>
      </c>
      <c r="Q14" s="170">
        <v>297.5</v>
      </c>
      <c r="R14" s="170">
        <v>310.39999999999998</v>
      </c>
      <c r="S14" s="170">
        <v>260.8</v>
      </c>
      <c r="T14" s="170">
        <v>256</v>
      </c>
      <c r="U14" s="170">
        <v>243</v>
      </c>
      <c r="V14" s="186">
        <v>187.2</v>
      </c>
      <c r="W14" s="178">
        <f t="shared" si="0"/>
        <v>250.45</v>
      </c>
      <c r="X14" s="181">
        <f t="shared" si="1"/>
        <v>249.64789473684209</v>
      </c>
    </row>
    <row r="15" spans="1:28" x14ac:dyDescent="0.2">
      <c r="A15" s="176" t="s">
        <v>165</v>
      </c>
      <c r="B15" s="170">
        <v>449.7</v>
      </c>
      <c r="C15" s="170">
        <v>375</v>
      </c>
      <c r="D15" s="170">
        <v>516.70000000000005</v>
      </c>
      <c r="E15" s="170">
        <v>521</v>
      </c>
      <c r="F15" s="170">
        <v>485.1</v>
      </c>
      <c r="G15" s="170">
        <v>402.7</v>
      </c>
      <c r="H15" s="170">
        <v>377.2</v>
      </c>
      <c r="I15" s="170">
        <v>447.4</v>
      </c>
      <c r="J15" s="170">
        <v>332.1</v>
      </c>
      <c r="K15" s="170">
        <v>449.5</v>
      </c>
      <c r="L15" s="170">
        <v>391.5</v>
      </c>
      <c r="M15" s="170">
        <v>396</v>
      </c>
      <c r="N15" s="170">
        <v>396.3</v>
      </c>
      <c r="O15" s="170">
        <v>393.1</v>
      </c>
      <c r="P15" s="170">
        <v>467.5</v>
      </c>
      <c r="Q15" s="170">
        <v>460.6</v>
      </c>
      <c r="R15" s="170">
        <v>371.7</v>
      </c>
      <c r="S15" s="170">
        <v>416.7</v>
      </c>
      <c r="T15" s="170">
        <v>349.2</v>
      </c>
      <c r="U15" s="170">
        <v>433.9</v>
      </c>
      <c r="V15" s="186">
        <v>441</v>
      </c>
      <c r="W15" s="178">
        <f t="shared" si="0"/>
        <v>412.6</v>
      </c>
      <c r="X15" s="181">
        <f t="shared" si="1"/>
        <v>398.16052631578987</v>
      </c>
    </row>
    <row r="16" spans="1:28" x14ac:dyDescent="0.2">
      <c r="A16" s="176" t="s">
        <v>166</v>
      </c>
      <c r="B16" s="170">
        <v>624.20000000000005</v>
      </c>
      <c r="C16" s="170">
        <v>569.6</v>
      </c>
      <c r="D16" s="170">
        <v>713.3</v>
      </c>
      <c r="E16" s="170">
        <v>570.79999999999995</v>
      </c>
      <c r="F16" s="170">
        <v>596.9</v>
      </c>
      <c r="G16" s="170">
        <v>539.5</v>
      </c>
      <c r="H16" s="170">
        <v>588.5</v>
      </c>
      <c r="I16" s="170">
        <v>811.6</v>
      </c>
      <c r="J16" s="170">
        <v>535.20000000000005</v>
      </c>
      <c r="K16" s="170">
        <v>643.20000000000005</v>
      </c>
      <c r="L16" s="170">
        <v>571</v>
      </c>
      <c r="M16" s="170">
        <v>636.70000000000005</v>
      </c>
      <c r="N16" s="170">
        <v>688.8</v>
      </c>
      <c r="O16" s="170">
        <v>508.1</v>
      </c>
      <c r="P16" s="170">
        <v>641</v>
      </c>
      <c r="Q16" s="170">
        <v>655.29999999999995</v>
      </c>
      <c r="R16" s="170">
        <v>643.6</v>
      </c>
      <c r="S16" s="170">
        <v>695.9</v>
      </c>
      <c r="T16" s="170">
        <v>524.79999999999995</v>
      </c>
      <c r="U16" s="170">
        <v>436.4</v>
      </c>
      <c r="V16" s="186">
        <v>653.6</v>
      </c>
      <c r="W16" s="178">
        <f t="shared" si="0"/>
        <v>608.41999999999996</v>
      </c>
      <c r="X16" s="181">
        <f t="shared" si="1"/>
        <v>596.22789473684225</v>
      </c>
    </row>
    <row r="17" spans="1:24" ht="6.75" customHeight="1" x14ac:dyDescent="0.2">
      <c r="A17" s="85"/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8"/>
      <c r="X17" s="181"/>
    </row>
    <row r="18" spans="1:24" x14ac:dyDescent="0.2">
      <c r="A18" s="85" t="s">
        <v>9</v>
      </c>
      <c r="B18" s="171">
        <f>SUM(B5:B16)</f>
        <v>4192</v>
      </c>
      <c r="C18" s="171">
        <f t="shared" ref="C18:V18" si="2">SUM(C5:C16)</f>
        <v>4173.1000000000004</v>
      </c>
      <c r="D18" s="171">
        <f t="shared" si="2"/>
        <v>4053.5999999999995</v>
      </c>
      <c r="E18" s="171">
        <f t="shared" si="2"/>
        <v>4248.8999999999996</v>
      </c>
      <c r="F18" s="171">
        <f t="shared" si="2"/>
        <v>4060.1</v>
      </c>
      <c r="G18" s="171">
        <f t="shared" si="2"/>
        <v>3317.3</v>
      </c>
      <c r="H18" s="171">
        <f t="shared" si="2"/>
        <v>3699.1999999999994</v>
      </c>
      <c r="I18" s="171">
        <f t="shared" si="2"/>
        <v>3998.6000000000004</v>
      </c>
      <c r="J18" s="171">
        <f t="shared" si="2"/>
        <v>3618.7</v>
      </c>
      <c r="K18" s="171">
        <f t="shared" si="2"/>
        <v>3750.2</v>
      </c>
      <c r="L18" s="171">
        <f t="shared" si="2"/>
        <v>4121.3</v>
      </c>
      <c r="M18" s="171">
        <f t="shared" si="2"/>
        <v>3940.6000000000004</v>
      </c>
      <c r="N18" s="171">
        <f t="shared" si="2"/>
        <v>3976.2</v>
      </c>
      <c r="O18" s="171">
        <f t="shared" si="2"/>
        <v>3505.2999999999997</v>
      </c>
      <c r="P18" s="171">
        <f t="shared" si="2"/>
        <v>3863.5</v>
      </c>
      <c r="Q18" s="171">
        <f t="shared" si="2"/>
        <v>3977.2999999999993</v>
      </c>
      <c r="R18" s="171">
        <f t="shared" si="2"/>
        <v>4011.7</v>
      </c>
      <c r="S18" s="171">
        <f t="shared" si="2"/>
        <v>3678.4999999999995</v>
      </c>
      <c r="T18" s="171">
        <f t="shared" si="2"/>
        <v>3799.8</v>
      </c>
      <c r="U18" s="171">
        <f t="shared" si="2"/>
        <v>3214.8000000000006</v>
      </c>
      <c r="V18" s="171">
        <f t="shared" si="2"/>
        <v>3693.0999999999995</v>
      </c>
      <c r="W18" s="179">
        <f>SUM(W5:W16)</f>
        <v>3766.0800000000004</v>
      </c>
      <c r="X18" s="182">
        <f>SUM(X5:X16)</f>
        <v>3630.2136842105274</v>
      </c>
    </row>
    <row r="19" spans="1:24" x14ac:dyDescent="0.2">
      <c r="A19" s="85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4"/>
      <c r="X19" s="183"/>
    </row>
    <row r="20" spans="1:24" ht="25.5" x14ac:dyDescent="0.2">
      <c r="A20" s="180" t="s">
        <v>4</v>
      </c>
      <c r="B20" s="175">
        <f>B4</f>
        <v>1993</v>
      </c>
      <c r="C20" s="175">
        <f>C4</f>
        <v>1994</v>
      </c>
      <c r="D20" s="175">
        <f>D4</f>
        <v>1995</v>
      </c>
      <c r="E20" s="175">
        <f>E4</f>
        <v>1996</v>
      </c>
      <c r="F20" s="175">
        <f t="shared" ref="F20:U20" si="3">F4</f>
        <v>1997</v>
      </c>
      <c r="G20" s="175">
        <f t="shared" si="3"/>
        <v>1998</v>
      </c>
      <c r="H20" s="175">
        <f t="shared" si="3"/>
        <v>1999</v>
      </c>
      <c r="I20" s="175">
        <f t="shared" si="3"/>
        <v>2000</v>
      </c>
      <c r="J20" s="175">
        <f t="shared" si="3"/>
        <v>2001</v>
      </c>
      <c r="K20" s="175">
        <f t="shared" si="3"/>
        <v>2002</v>
      </c>
      <c r="L20" s="175">
        <f t="shared" si="3"/>
        <v>2003</v>
      </c>
      <c r="M20" s="175">
        <f t="shared" si="3"/>
        <v>2004</v>
      </c>
      <c r="N20" s="175">
        <f t="shared" si="3"/>
        <v>2005</v>
      </c>
      <c r="O20" s="175">
        <f t="shared" si="3"/>
        <v>2006</v>
      </c>
      <c r="P20" s="175">
        <f t="shared" si="3"/>
        <v>2007</v>
      </c>
      <c r="Q20" s="175">
        <f t="shared" si="3"/>
        <v>2008</v>
      </c>
      <c r="R20" s="175">
        <f t="shared" si="3"/>
        <v>2009</v>
      </c>
      <c r="S20" s="175">
        <f t="shared" si="3"/>
        <v>2010</v>
      </c>
      <c r="T20" s="175">
        <f t="shared" si="3"/>
        <v>2011</v>
      </c>
      <c r="U20" s="175">
        <f t="shared" si="3"/>
        <v>2012</v>
      </c>
      <c r="V20" s="175">
        <v>2013</v>
      </c>
      <c r="W20" s="177" t="s">
        <v>155</v>
      </c>
      <c r="X20" s="177" t="s">
        <v>99</v>
      </c>
    </row>
    <row r="21" spans="1:24" x14ac:dyDescent="0.2">
      <c r="A21" s="176" t="s">
        <v>156</v>
      </c>
      <c r="B21" s="170">
        <v>0</v>
      </c>
      <c r="C21" s="170">
        <v>0</v>
      </c>
      <c r="D21" s="170">
        <v>0</v>
      </c>
      <c r="E21" s="170">
        <v>0</v>
      </c>
      <c r="F21" s="170">
        <v>0</v>
      </c>
      <c r="G21" s="170">
        <v>0</v>
      </c>
      <c r="H21" s="170">
        <v>0</v>
      </c>
      <c r="I21" s="170">
        <v>0</v>
      </c>
      <c r="J21" s="170">
        <v>0</v>
      </c>
      <c r="K21" s="170">
        <v>0</v>
      </c>
      <c r="L21" s="172">
        <v>0</v>
      </c>
      <c r="M21" s="172">
        <v>0</v>
      </c>
      <c r="N21" s="172">
        <v>0</v>
      </c>
      <c r="O21" s="172">
        <v>0</v>
      </c>
      <c r="P21" s="172">
        <v>0</v>
      </c>
      <c r="Q21" s="172">
        <v>0</v>
      </c>
      <c r="R21" s="172">
        <v>0</v>
      </c>
      <c r="S21" s="172">
        <v>0</v>
      </c>
      <c r="T21" s="172">
        <v>0</v>
      </c>
      <c r="U21" s="172">
        <v>0</v>
      </c>
      <c r="V21" s="186">
        <v>0</v>
      </c>
      <c r="W21" s="178">
        <f>AVERAGE(M21:V21)</f>
        <v>0</v>
      </c>
      <c r="X21" s="181">
        <f>TREND(C21:V21,$C$4:$V$4,2014)</f>
        <v>0</v>
      </c>
    </row>
    <row r="22" spans="1:24" x14ac:dyDescent="0.2">
      <c r="A22" s="176" t="s">
        <v>157</v>
      </c>
      <c r="B22" s="170">
        <v>0</v>
      </c>
      <c r="C22" s="170">
        <v>0</v>
      </c>
      <c r="D22" s="170">
        <v>0</v>
      </c>
      <c r="E22" s="170">
        <v>0</v>
      </c>
      <c r="F22" s="170">
        <v>0</v>
      </c>
      <c r="G22" s="170">
        <v>0</v>
      </c>
      <c r="H22" s="170">
        <v>0</v>
      </c>
      <c r="I22" s="170">
        <v>0</v>
      </c>
      <c r="J22" s="170">
        <v>0</v>
      </c>
      <c r="K22" s="170">
        <v>0</v>
      </c>
      <c r="L22" s="172">
        <v>0</v>
      </c>
      <c r="M22" s="172">
        <v>0</v>
      </c>
      <c r="N22" s="172">
        <v>0</v>
      </c>
      <c r="O22" s="172">
        <v>0</v>
      </c>
      <c r="P22" s="172">
        <v>0</v>
      </c>
      <c r="Q22" s="172">
        <v>0</v>
      </c>
      <c r="R22" s="172">
        <v>0</v>
      </c>
      <c r="S22" s="172">
        <v>0</v>
      </c>
      <c r="T22" s="172">
        <v>0</v>
      </c>
      <c r="U22" s="172">
        <v>0</v>
      </c>
      <c r="V22" s="186">
        <v>0</v>
      </c>
      <c r="W22" s="178">
        <f t="shared" ref="W22:W32" si="4">AVERAGE(M22:V22)</f>
        <v>0</v>
      </c>
      <c r="X22" s="181">
        <f t="shared" ref="X22:X32" si="5">TREND(C22:V22,$C$4:$V$4,2014)</f>
        <v>0</v>
      </c>
    </row>
    <row r="23" spans="1:24" x14ac:dyDescent="0.2">
      <c r="A23" s="176" t="s">
        <v>158</v>
      </c>
      <c r="B23" s="170">
        <v>0</v>
      </c>
      <c r="C23" s="170">
        <v>0</v>
      </c>
      <c r="D23" s="170">
        <v>0</v>
      </c>
      <c r="E23" s="170">
        <v>0</v>
      </c>
      <c r="F23" s="170">
        <v>0</v>
      </c>
      <c r="G23" s="170">
        <v>0</v>
      </c>
      <c r="H23" s="170">
        <v>0</v>
      </c>
      <c r="I23" s="170">
        <v>0</v>
      </c>
      <c r="J23" s="170">
        <v>0</v>
      </c>
      <c r="K23" s="170">
        <v>0</v>
      </c>
      <c r="L23" s="172">
        <v>0</v>
      </c>
      <c r="M23" s="172">
        <v>0</v>
      </c>
      <c r="N23" s="172">
        <v>0</v>
      </c>
      <c r="O23" s="172">
        <v>0</v>
      </c>
      <c r="P23" s="172">
        <v>0</v>
      </c>
      <c r="Q23" s="172">
        <v>0</v>
      </c>
      <c r="R23" s="172">
        <v>0</v>
      </c>
      <c r="S23" s="172">
        <v>0</v>
      </c>
      <c r="T23" s="172">
        <v>0</v>
      </c>
      <c r="U23" s="172">
        <v>0.2</v>
      </c>
      <c r="V23" s="186">
        <v>0</v>
      </c>
      <c r="W23" s="178">
        <f t="shared" si="4"/>
        <v>0.02</v>
      </c>
      <c r="X23" s="181">
        <f t="shared" si="5"/>
        <v>3.6842105263157343E-2</v>
      </c>
    </row>
    <row r="24" spans="1:24" x14ac:dyDescent="0.2">
      <c r="A24" s="176" t="s">
        <v>159</v>
      </c>
      <c r="B24" s="170">
        <v>0</v>
      </c>
      <c r="C24" s="170">
        <v>0</v>
      </c>
      <c r="D24" s="170">
        <v>0</v>
      </c>
      <c r="E24" s="170">
        <v>0</v>
      </c>
      <c r="F24" s="170">
        <v>0</v>
      </c>
      <c r="G24" s="170">
        <v>0</v>
      </c>
      <c r="H24" s="170">
        <v>0</v>
      </c>
      <c r="I24" s="170">
        <v>0</v>
      </c>
      <c r="J24" s="170">
        <v>0</v>
      </c>
      <c r="K24" s="170">
        <v>8</v>
      </c>
      <c r="L24" s="172">
        <v>0</v>
      </c>
      <c r="M24" s="172">
        <v>0</v>
      </c>
      <c r="N24" s="172">
        <v>0</v>
      </c>
      <c r="O24" s="172">
        <v>0</v>
      </c>
      <c r="P24" s="172">
        <v>0</v>
      </c>
      <c r="Q24" s="172">
        <v>0</v>
      </c>
      <c r="R24" s="172">
        <v>1.7</v>
      </c>
      <c r="S24" s="172">
        <v>0.8</v>
      </c>
      <c r="T24" s="172">
        <v>0</v>
      </c>
      <c r="U24" s="172">
        <v>0</v>
      </c>
      <c r="V24" s="186">
        <v>0</v>
      </c>
      <c r="W24" s="178">
        <f t="shared" si="4"/>
        <v>0.25</v>
      </c>
      <c r="X24" s="181">
        <f t="shared" si="5"/>
        <v>0.56526315789473713</v>
      </c>
    </row>
    <row r="25" spans="1:24" x14ac:dyDescent="0.2">
      <c r="A25" s="176" t="s">
        <v>81</v>
      </c>
      <c r="B25" s="170">
        <v>2.9</v>
      </c>
      <c r="C25" s="170">
        <v>7.5</v>
      </c>
      <c r="D25" s="170">
        <v>0.6</v>
      </c>
      <c r="E25" s="170">
        <v>10.7</v>
      </c>
      <c r="F25" s="170">
        <v>0</v>
      </c>
      <c r="G25" s="170">
        <v>29.2</v>
      </c>
      <c r="H25" s="170">
        <v>13.6</v>
      </c>
      <c r="I25" s="170">
        <v>18.7</v>
      </c>
      <c r="J25" s="170">
        <v>8.3000000000000007</v>
      </c>
      <c r="K25" s="170">
        <v>8.3000000000000007</v>
      </c>
      <c r="L25" s="172">
        <v>0</v>
      </c>
      <c r="M25" s="172">
        <v>14.2</v>
      </c>
      <c r="N25" s="172">
        <v>0</v>
      </c>
      <c r="O25" s="172">
        <v>22.4</v>
      </c>
      <c r="P25" s="172">
        <v>23.3</v>
      </c>
      <c r="Q25" s="172">
        <v>0.3</v>
      </c>
      <c r="R25" s="172">
        <v>0</v>
      </c>
      <c r="S25" s="172">
        <v>28.8</v>
      </c>
      <c r="T25" s="172">
        <v>13.3</v>
      </c>
      <c r="U25" s="172">
        <v>26.5</v>
      </c>
      <c r="V25" s="186">
        <v>17.600000000000001</v>
      </c>
      <c r="W25" s="178">
        <f t="shared" si="4"/>
        <v>14.639999999999997</v>
      </c>
      <c r="X25" s="181">
        <f t="shared" si="5"/>
        <v>17.665263157894742</v>
      </c>
    </row>
    <row r="26" spans="1:24" x14ac:dyDescent="0.2">
      <c r="A26" s="176" t="s">
        <v>160</v>
      </c>
      <c r="B26" s="170">
        <v>28.7</v>
      </c>
      <c r="C26" s="170">
        <v>66.5</v>
      </c>
      <c r="D26" s="170">
        <v>75.3</v>
      </c>
      <c r="E26" s="170">
        <v>32.700000000000003</v>
      </c>
      <c r="F26" s="170">
        <v>61.8</v>
      </c>
      <c r="G26" s="170">
        <v>79.2</v>
      </c>
      <c r="H26" s="170">
        <v>86.3</v>
      </c>
      <c r="I26" s="170">
        <v>38.6</v>
      </c>
      <c r="J26" s="170">
        <v>63.7</v>
      </c>
      <c r="K26" s="170">
        <v>64.7</v>
      </c>
      <c r="L26" s="172">
        <v>41.4</v>
      </c>
      <c r="M26" s="172">
        <v>29.2</v>
      </c>
      <c r="N26" s="172">
        <v>119.6</v>
      </c>
      <c r="O26" s="172">
        <v>43.2</v>
      </c>
      <c r="P26" s="172">
        <v>74.2</v>
      </c>
      <c r="Q26" s="172">
        <v>55</v>
      </c>
      <c r="R26" s="172">
        <v>30.2</v>
      </c>
      <c r="S26" s="172">
        <v>44.8</v>
      </c>
      <c r="T26" s="172">
        <v>40</v>
      </c>
      <c r="U26" s="172">
        <v>74.8</v>
      </c>
      <c r="V26" s="186">
        <v>52.4</v>
      </c>
      <c r="W26" s="178">
        <f t="shared" si="4"/>
        <v>56.339999999999996</v>
      </c>
      <c r="X26" s="181">
        <f t="shared" si="5"/>
        <v>51.500526315789557</v>
      </c>
    </row>
    <row r="27" spans="1:24" x14ac:dyDescent="0.2">
      <c r="A27" s="176" t="s">
        <v>161</v>
      </c>
      <c r="B27" s="170">
        <v>111.4</v>
      </c>
      <c r="C27" s="170">
        <v>95</v>
      </c>
      <c r="D27" s="170">
        <v>124.9</v>
      </c>
      <c r="E27" s="170">
        <v>56.3</v>
      </c>
      <c r="F27" s="170">
        <v>72.099999999999994</v>
      </c>
      <c r="G27" s="170">
        <v>74</v>
      </c>
      <c r="H27" s="170">
        <v>163.69999999999999</v>
      </c>
      <c r="I27" s="170">
        <v>57.7</v>
      </c>
      <c r="J27" s="170">
        <v>79.599999999999994</v>
      </c>
      <c r="K27" s="170">
        <v>151</v>
      </c>
      <c r="L27" s="172">
        <v>83.9</v>
      </c>
      <c r="M27" s="172">
        <v>71.599999999999994</v>
      </c>
      <c r="N27" s="172">
        <v>144.69999999999999</v>
      </c>
      <c r="O27" s="172">
        <v>136.1</v>
      </c>
      <c r="P27" s="172">
        <v>82</v>
      </c>
      <c r="Q27" s="172">
        <v>87.7</v>
      </c>
      <c r="R27" s="172">
        <v>21.7</v>
      </c>
      <c r="S27" s="172">
        <v>121.6</v>
      </c>
      <c r="T27" s="172">
        <v>163.69999999999999</v>
      </c>
      <c r="U27" s="172">
        <v>160.19999999999999</v>
      </c>
      <c r="V27" s="186">
        <v>84.2</v>
      </c>
      <c r="W27" s="178">
        <f t="shared" si="4"/>
        <v>107.35000000000002</v>
      </c>
      <c r="X27" s="181">
        <f t="shared" si="5"/>
        <v>115.88631578947343</v>
      </c>
    </row>
    <row r="28" spans="1:24" x14ac:dyDescent="0.2">
      <c r="A28" s="176" t="s">
        <v>162</v>
      </c>
      <c r="B28" s="170">
        <v>101.1</v>
      </c>
      <c r="C28" s="170">
        <v>43.2</v>
      </c>
      <c r="D28" s="170">
        <v>123.9</v>
      </c>
      <c r="E28" s="170">
        <v>78.099999999999994</v>
      </c>
      <c r="F28" s="170">
        <v>37.200000000000003</v>
      </c>
      <c r="G28" s="170">
        <v>100.7</v>
      </c>
      <c r="H28" s="170">
        <v>47</v>
      </c>
      <c r="I28" s="170">
        <v>58.3</v>
      </c>
      <c r="J28" s="170">
        <v>114</v>
      </c>
      <c r="K28" s="170">
        <v>94.4</v>
      </c>
      <c r="L28" s="172">
        <v>102.6</v>
      </c>
      <c r="M28" s="172">
        <v>40</v>
      </c>
      <c r="N28" s="172">
        <v>102.5</v>
      </c>
      <c r="O28" s="172">
        <v>70.099999999999994</v>
      </c>
      <c r="P28" s="172">
        <v>106</v>
      </c>
      <c r="Q28" s="172">
        <v>45.2</v>
      </c>
      <c r="R28" s="172">
        <v>69.7</v>
      </c>
      <c r="S28" s="172">
        <v>95.6</v>
      </c>
      <c r="T28" s="172">
        <v>83.2</v>
      </c>
      <c r="U28" s="172">
        <v>72</v>
      </c>
      <c r="V28" s="186">
        <v>70.7</v>
      </c>
      <c r="W28" s="178">
        <f t="shared" si="4"/>
        <v>75.500000000000014</v>
      </c>
      <c r="X28" s="181">
        <f t="shared" si="5"/>
        <v>79.257894736842076</v>
      </c>
    </row>
    <row r="29" spans="1:24" x14ac:dyDescent="0.2">
      <c r="A29" s="176" t="s">
        <v>163</v>
      </c>
      <c r="B29" s="170">
        <v>12.3</v>
      </c>
      <c r="C29" s="170">
        <v>10.6</v>
      </c>
      <c r="D29" s="170">
        <v>12.9</v>
      </c>
      <c r="E29" s="170">
        <v>22.5</v>
      </c>
      <c r="F29" s="170">
        <v>6.7</v>
      </c>
      <c r="G29" s="170">
        <v>41.4</v>
      </c>
      <c r="H29" s="170">
        <v>38.5</v>
      </c>
      <c r="I29" s="170">
        <v>30.1</v>
      </c>
      <c r="J29" s="170">
        <v>21.8</v>
      </c>
      <c r="K29" s="170">
        <v>61.3</v>
      </c>
      <c r="L29" s="172">
        <v>14.8</v>
      </c>
      <c r="M29" s="172">
        <v>31.2</v>
      </c>
      <c r="N29" s="172">
        <v>25.6</v>
      </c>
      <c r="O29" s="172">
        <v>4.0999999999999996</v>
      </c>
      <c r="P29" s="172">
        <v>37.200000000000003</v>
      </c>
      <c r="Q29" s="172">
        <v>19.8</v>
      </c>
      <c r="R29" s="172">
        <v>13.3</v>
      </c>
      <c r="S29" s="172">
        <v>24.2</v>
      </c>
      <c r="T29" s="172">
        <v>26.8</v>
      </c>
      <c r="U29" s="172">
        <v>26.4</v>
      </c>
      <c r="V29" s="186">
        <v>23.5</v>
      </c>
      <c r="W29" s="178">
        <f t="shared" si="4"/>
        <v>23.21</v>
      </c>
      <c r="X29" s="181">
        <f t="shared" si="5"/>
        <v>25.895789473684204</v>
      </c>
    </row>
    <row r="30" spans="1:24" x14ac:dyDescent="0.2">
      <c r="A30" s="176" t="s">
        <v>164</v>
      </c>
      <c r="B30" s="170">
        <v>0.7</v>
      </c>
      <c r="C30" s="170">
        <v>0</v>
      </c>
      <c r="D30" s="170">
        <v>0.2</v>
      </c>
      <c r="E30" s="170">
        <v>0</v>
      </c>
      <c r="F30" s="170">
        <v>3.9</v>
      </c>
      <c r="G30" s="170">
        <v>0</v>
      </c>
      <c r="H30" s="170">
        <v>0</v>
      </c>
      <c r="I30" s="170">
        <v>0.2</v>
      </c>
      <c r="J30" s="170">
        <v>0</v>
      </c>
      <c r="K30" s="170">
        <v>8.9</v>
      </c>
      <c r="L30" s="172">
        <v>0</v>
      </c>
      <c r="M30" s="172">
        <v>0</v>
      </c>
      <c r="N30" s="172">
        <v>7.6</v>
      </c>
      <c r="O30" s="172">
        <v>0</v>
      </c>
      <c r="P30" s="172">
        <v>13</v>
      </c>
      <c r="Q30" s="172">
        <v>0</v>
      </c>
      <c r="R30" s="172">
        <v>0</v>
      </c>
      <c r="S30" s="172">
        <v>0</v>
      </c>
      <c r="T30" s="172">
        <v>0</v>
      </c>
      <c r="U30" s="172">
        <v>0.6</v>
      </c>
      <c r="V30" s="186">
        <v>0.5</v>
      </c>
      <c r="W30" s="178">
        <f t="shared" si="4"/>
        <v>2.1700000000000004</v>
      </c>
      <c r="X30" s="181">
        <f t="shared" si="5"/>
        <v>2.1500000000000057</v>
      </c>
    </row>
    <row r="31" spans="1:24" x14ac:dyDescent="0.2">
      <c r="A31" s="176" t="s">
        <v>165</v>
      </c>
      <c r="B31" s="170">
        <v>0</v>
      </c>
      <c r="C31" s="170">
        <v>0</v>
      </c>
      <c r="D31" s="170">
        <v>0</v>
      </c>
      <c r="E31" s="170">
        <v>0</v>
      </c>
      <c r="F31" s="170">
        <v>0</v>
      </c>
      <c r="G31" s="170">
        <v>0</v>
      </c>
      <c r="H31" s="170">
        <v>0</v>
      </c>
      <c r="I31" s="170">
        <v>0</v>
      </c>
      <c r="J31" s="170">
        <v>0</v>
      </c>
      <c r="K31" s="170">
        <v>0</v>
      </c>
      <c r="L31" s="172">
        <v>0</v>
      </c>
      <c r="M31" s="172">
        <v>0</v>
      </c>
      <c r="N31" s="172">
        <v>0</v>
      </c>
      <c r="O31" s="172">
        <v>0</v>
      </c>
      <c r="P31" s="172">
        <v>0</v>
      </c>
      <c r="Q31" s="172">
        <v>0</v>
      </c>
      <c r="R31" s="172">
        <v>0</v>
      </c>
      <c r="S31" s="172">
        <v>0</v>
      </c>
      <c r="T31" s="172">
        <v>0</v>
      </c>
      <c r="U31" s="172">
        <v>0</v>
      </c>
      <c r="V31" s="186">
        <v>0</v>
      </c>
      <c r="W31" s="178">
        <f t="shared" si="4"/>
        <v>0</v>
      </c>
      <c r="X31" s="181">
        <f t="shared" si="5"/>
        <v>0</v>
      </c>
    </row>
    <row r="32" spans="1:24" x14ac:dyDescent="0.2">
      <c r="A32" s="176" t="s">
        <v>166</v>
      </c>
      <c r="B32" s="170">
        <v>0</v>
      </c>
      <c r="C32" s="170">
        <v>0</v>
      </c>
      <c r="D32" s="170">
        <v>0</v>
      </c>
      <c r="E32" s="170">
        <v>0</v>
      </c>
      <c r="F32" s="170">
        <v>0</v>
      </c>
      <c r="G32" s="170">
        <v>0</v>
      </c>
      <c r="H32" s="170">
        <v>0</v>
      </c>
      <c r="I32" s="170">
        <v>0</v>
      </c>
      <c r="J32" s="170">
        <v>0</v>
      </c>
      <c r="K32" s="170">
        <v>0</v>
      </c>
      <c r="L32" s="172">
        <v>0</v>
      </c>
      <c r="M32" s="172">
        <v>0</v>
      </c>
      <c r="N32" s="172">
        <v>0</v>
      </c>
      <c r="O32" s="172">
        <v>0</v>
      </c>
      <c r="P32" s="172">
        <v>0</v>
      </c>
      <c r="Q32" s="172">
        <v>0</v>
      </c>
      <c r="R32" s="172">
        <v>0</v>
      </c>
      <c r="S32" s="172">
        <v>0</v>
      </c>
      <c r="T32" s="172">
        <v>0</v>
      </c>
      <c r="U32" s="172">
        <v>0</v>
      </c>
      <c r="V32" s="186">
        <v>0</v>
      </c>
      <c r="W32" s="178">
        <f t="shared" si="4"/>
        <v>0</v>
      </c>
      <c r="X32" s="181">
        <f t="shared" si="5"/>
        <v>0</v>
      </c>
    </row>
    <row r="33" spans="1:24" ht="6.75" customHeight="1" x14ac:dyDescent="0.2">
      <c r="A33" s="85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8"/>
      <c r="X33" s="181"/>
    </row>
    <row r="34" spans="1:24" x14ac:dyDescent="0.2">
      <c r="A34" s="85" t="s">
        <v>9</v>
      </c>
      <c r="B34" s="171">
        <f>SUM(B21:B32)</f>
        <v>257.09999999999997</v>
      </c>
      <c r="C34" s="171">
        <f t="shared" ref="C34:V34" si="6">SUM(C21:C32)</f>
        <v>222.79999999999998</v>
      </c>
      <c r="D34" s="171">
        <f t="shared" si="6"/>
        <v>337.8</v>
      </c>
      <c r="E34" s="171">
        <f t="shared" si="6"/>
        <v>200.3</v>
      </c>
      <c r="F34" s="171">
        <f t="shared" si="6"/>
        <v>181.69999999999996</v>
      </c>
      <c r="G34" s="171">
        <f t="shared" si="6"/>
        <v>324.5</v>
      </c>
      <c r="H34" s="171">
        <f t="shared" si="6"/>
        <v>349.09999999999997</v>
      </c>
      <c r="I34" s="171">
        <f t="shared" si="6"/>
        <v>203.6</v>
      </c>
      <c r="J34" s="171">
        <f t="shared" si="6"/>
        <v>287.40000000000003</v>
      </c>
      <c r="K34" s="171">
        <f t="shared" si="6"/>
        <v>396.59999999999997</v>
      </c>
      <c r="L34" s="171">
        <f t="shared" si="6"/>
        <v>242.70000000000002</v>
      </c>
      <c r="M34" s="171">
        <f t="shared" si="6"/>
        <v>186.2</v>
      </c>
      <c r="N34" s="171">
        <f t="shared" si="6"/>
        <v>400</v>
      </c>
      <c r="O34" s="171">
        <f t="shared" si="6"/>
        <v>275.89999999999998</v>
      </c>
      <c r="P34" s="171">
        <f t="shared" si="6"/>
        <v>335.7</v>
      </c>
      <c r="Q34" s="171">
        <f t="shared" si="6"/>
        <v>208</v>
      </c>
      <c r="R34" s="171">
        <f t="shared" si="6"/>
        <v>136.6</v>
      </c>
      <c r="S34" s="171">
        <f t="shared" si="6"/>
        <v>315.8</v>
      </c>
      <c r="T34" s="171">
        <f t="shared" si="6"/>
        <v>327</v>
      </c>
      <c r="U34" s="171">
        <f t="shared" si="6"/>
        <v>360.7</v>
      </c>
      <c r="V34" s="171">
        <f t="shared" si="6"/>
        <v>248.89999999999998</v>
      </c>
      <c r="W34" s="179">
        <f>SUM(W21:W32)</f>
        <v>279.48</v>
      </c>
      <c r="X34" s="182">
        <f>SUM(X21:X32)</f>
        <v>292.95789473684192</v>
      </c>
    </row>
    <row r="35" spans="1:24" x14ac:dyDescent="0.2">
      <c r="A35"/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1:24" x14ac:dyDescent="0.2">
      <c r="A36"/>
      <c r="B36"/>
      <c r="C36"/>
      <c r="D36"/>
      <c r="E36"/>
      <c r="F36"/>
    </row>
    <row r="37" spans="1:24" x14ac:dyDescent="0.2">
      <c r="A37"/>
      <c r="B37"/>
      <c r="C37"/>
      <c r="D37"/>
      <c r="E37"/>
      <c r="F37"/>
    </row>
    <row r="38" spans="1:24" x14ac:dyDescent="0.2">
      <c r="A38"/>
      <c r="B38"/>
      <c r="C38"/>
      <c r="D38"/>
      <c r="E38"/>
      <c r="F38"/>
    </row>
    <row r="39" spans="1:24" x14ac:dyDescent="0.2">
      <c r="A39"/>
      <c r="B39"/>
      <c r="C39"/>
      <c r="D39"/>
      <c r="E39"/>
      <c r="F39"/>
    </row>
    <row r="40" spans="1:24" x14ac:dyDescent="0.2">
      <c r="A40"/>
      <c r="B40"/>
      <c r="C40"/>
      <c r="D40"/>
      <c r="E40"/>
      <c r="F40"/>
    </row>
    <row r="41" spans="1:24" x14ac:dyDescent="0.2">
      <c r="A41"/>
      <c r="B41"/>
      <c r="C41"/>
      <c r="D41"/>
      <c r="E41"/>
      <c r="F41"/>
    </row>
    <row r="42" spans="1:24" x14ac:dyDescent="0.2">
      <c r="A42"/>
      <c r="B42"/>
      <c r="C42"/>
      <c r="D42"/>
      <c r="E42"/>
      <c r="F42"/>
    </row>
    <row r="43" spans="1:24" x14ac:dyDescent="0.2">
      <c r="A43"/>
      <c r="B43"/>
      <c r="C43"/>
      <c r="D43"/>
      <c r="E43"/>
      <c r="F43"/>
    </row>
    <row r="44" spans="1:24" x14ac:dyDescent="0.2">
      <c r="A44"/>
      <c r="B44"/>
      <c r="C44"/>
      <c r="D44"/>
      <c r="E44"/>
      <c r="F44"/>
    </row>
    <row r="45" spans="1:24" x14ac:dyDescent="0.2">
      <c r="A45"/>
      <c r="B45"/>
      <c r="C45"/>
      <c r="D45"/>
      <c r="E45"/>
      <c r="F45"/>
    </row>
    <row r="46" spans="1:24" x14ac:dyDescent="0.2">
      <c r="A46"/>
      <c r="B46"/>
      <c r="C46"/>
      <c r="D46"/>
      <c r="E46"/>
      <c r="F46"/>
    </row>
    <row r="47" spans="1:24" x14ac:dyDescent="0.2">
      <c r="A47"/>
      <c r="B47"/>
      <c r="C47"/>
      <c r="D47"/>
      <c r="E47"/>
      <c r="F47"/>
    </row>
    <row r="48" spans="1:24" x14ac:dyDescent="0.2">
      <c r="A48"/>
      <c r="B48"/>
      <c r="C48"/>
      <c r="D48"/>
      <c r="E48"/>
      <c r="F48"/>
    </row>
    <row r="49" spans="1:6" x14ac:dyDescent="0.2">
      <c r="A49"/>
      <c r="B49"/>
      <c r="C49"/>
      <c r="D49"/>
      <c r="E49"/>
      <c r="F49"/>
    </row>
    <row r="50" spans="1:6" x14ac:dyDescent="0.2">
      <c r="A50"/>
      <c r="B50"/>
      <c r="C50"/>
      <c r="D50"/>
      <c r="E50"/>
      <c r="F50"/>
    </row>
    <row r="51" spans="1:6" x14ac:dyDescent="0.2">
      <c r="A51"/>
      <c r="B51"/>
      <c r="C51"/>
      <c r="D51"/>
      <c r="E51"/>
      <c r="F51"/>
    </row>
    <row r="52" spans="1:6" x14ac:dyDescent="0.2">
      <c r="A52"/>
      <c r="B52"/>
      <c r="C52"/>
      <c r="D52"/>
      <c r="E52"/>
      <c r="F52"/>
    </row>
    <row r="53" spans="1:6" x14ac:dyDescent="0.2">
      <c r="A53"/>
      <c r="B53"/>
      <c r="C53"/>
      <c r="D53"/>
      <c r="E53"/>
      <c r="F53"/>
    </row>
    <row r="54" spans="1:6" x14ac:dyDescent="0.2">
      <c r="A54"/>
      <c r="B54"/>
      <c r="C54"/>
      <c r="D54"/>
      <c r="E54"/>
      <c r="F54"/>
    </row>
    <row r="55" spans="1:6" x14ac:dyDescent="0.2">
      <c r="A55"/>
      <c r="B55"/>
      <c r="C55"/>
      <c r="D55"/>
      <c r="E55"/>
      <c r="F55"/>
    </row>
    <row r="56" spans="1:6" x14ac:dyDescent="0.2">
      <c r="A56"/>
      <c r="B56"/>
      <c r="C56"/>
      <c r="D56"/>
      <c r="E56"/>
      <c r="F56"/>
    </row>
    <row r="57" spans="1:6" x14ac:dyDescent="0.2">
      <c r="A57"/>
      <c r="B57"/>
      <c r="C57"/>
      <c r="D57"/>
      <c r="E57"/>
      <c r="F57"/>
    </row>
    <row r="58" spans="1:6" x14ac:dyDescent="0.2">
      <c r="A58"/>
      <c r="B58"/>
      <c r="C58"/>
      <c r="D58"/>
      <c r="E58"/>
      <c r="F58"/>
    </row>
    <row r="59" spans="1:6" x14ac:dyDescent="0.2">
      <c r="A59"/>
      <c r="B59"/>
      <c r="C59"/>
      <c r="D59"/>
      <c r="E59"/>
      <c r="F59"/>
    </row>
    <row r="60" spans="1:6" x14ac:dyDescent="0.2">
      <c r="A60"/>
      <c r="B60"/>
      <c r="C60"/>
      <c r="D60"/>
      <c r="E60"/>
      <c r="F60"/>
    </row>
    <row r="61" spans="1:6" x14ac:dyDescent="0.2">
      <c r="A61"/>
      <c r="B61"/>
      <c r="C61"/>
      <c r="D61"/>
      <c r="E61"/>
      <c r="F61"/>
    </row>
    <row r="62" spans="1:6" x14ac:dyDescent="0.2">
      <c r="A62"/>
      <c r="B62"/>
      <c r="C62"/>
      <c r="D62"/>
      <c r="E62"/>
      <c r="F62"/>
    </row>
    <row r="63" spans="1:6" x14ac:dyDescent="0.2">
      <c r="A63"/>
      <c r="B63"/>
      <c r="C63"/>
      <c r="D63"/>
      <c r="E63"/>
      <c r="F63"/>
    </row>
    <row r="64" spans="1:6" x14ac:dyDescent="0.2">
      <c r="A64"/>
      <c r="B64"/>
      <c r="C64"/>
      <c r="D64"/>
      <c r="E64"/>
      <c r="F64"/>
    </row>
    <row r="65" spans="1:6" x14ac:dyDescent="0.2">
      <c r="A65"/>
      <c r="B65"/>
      <c r="C65"/>
      <c r="D65"/>
      <c r="E65"/>
      <c r="F65"/>
    </row>
    <row r="66" spans="1:6" x14ac:dyDescent="0.2">
      <c r="A66"/>
      <c r="B66"/>
      <c r="C66"/>
      <c r="D66"/>
      <c r="E66"/>
      <c r="F66"/>
    </row>
    <row r="67" spans="1:6" x14ac:dyDescent="0.2">
      <c r="A67"/>
      <c r="B67"/>
      <c r="C67"/>
      <c r="D67"/>
      <c r="E67"/>
      <c r="F67"/>
    </row>
    <row r="68" spans="1:6" x14ac:dyDescent="0.2">
      <c r="A68"/>
      <c r="B68"/>
      <c r="C68"/>
      <c r="D68"/>
      <c r="E68"/>
      <c r="F68"/>
    </row>
  </sheetData>
  <printOptions horizontalCentered="1" gridLines="1"/>
  <pageMargins left="0.39370078740157483" right="0.39370078740157483" top="0.59055118110236227" bottom="0.59055118110236227" header="0.31496062992125984" footer="0.31496062992125984"/>
  <pageSetup scale="74" orientation="landscape" r:id="rId1"/>
  <headerFooter scaleWithDoc="0" alignWithMargins="0">
    <oddFooter>&amp;L&amp;F
&amp;A&amp;RPage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99"/>
  <sheetViews>
    <sheetView topLeftCell="A64" zoomScaleNormal="100" workbookViewId="0">
      <selection activeCell="G101" sqref="G101"/>
    </sheetView>
  </sheetViews>
  <sheetFormatPr defaultRowHeight="12.75" x14ac:dyDescent="0.2"/>
  <cols>
    <col min="1" max="1" width="41.140625" customWidth="1"/>
    <col min="2" max="2" width="12.7109375" customWidth="1"/>
    <col min="3" max="3" width="11.7109375" customWidth="1"/>
    <col min="4" max="4" width="12.7109375" customWidth="1"/>
    <col min="5" max="5" width="10" customWidth="1"/>
    <col min="6" max="6" width="12.7109375" customWidth="1"/>
    <col min="7" max="7" width="10.7109375" customWidth="1"/>
    <col min="8" max="8" width="10.42578125" customWidth="1"/>
    <col min="9" max="9" width="9.5703125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0" x14ac:dyDescent="0.2">
      <c r="A1" s="118" t="s">
        <v>126</v>
      </c>
      <c r="B1" s="125" t="s">
        <v>98</v>
      </c>
      <c r="C1" s="125" t="s">
        <v>111</v>
      </c>
      <c r="D1" s="125" t="s">
        <v>172</v>
      </c>
    </row>
    <row r="2" spans="1:10" x14ac:dyDescent="0.2">
      <c r="A2" s="74" t="str">
        <f>'Rate Class Energy Model'!H2</f>
        <v xml:space="preserve">Residential </v>
      </c>
      <c r="B2" s="114">
        <f>Summary!M13</f>
        <v>168256470.83947089</v>
      </c>
      <c r="C2" s="113"/>
      <c r="D2" s="156">
        <v>0.89944000000000002</v>
      </c>
    </row>
    <row r="3" spans="1:10" x14ac:dyDescent="0.2">
      <c r="A3" s="74" t="str">
        <f>'Rate Class Energy Model'!I2</f>
        <v>General Service Less Than 50 kW</v>
      </c>
      <c r="B3" s="114">
        <f>Summary!M17</f>
        <v>53569663.434468746</v>
      </c>
      <c r="C3" s="113"/>
      <c r="D3" s="156">
        <v>0.72514000000000001</v>
      </c>
    </row>
    <row r="4" spans="1:10" x14ac:dyDescent="0.2">
      <c r="A4" s="74" t="str">
        <f>'Rate Class Energy Model'!J2</f>
        <v>General Service 
50 to 4,999 kW</v>
      </c>
      <c r="B4" s="114">
        <f>Summary!M21</f>
        <v>119035699.39570256</v>
      </c>
      <c r="C4" s="124">
        <f>Summary!M22</f>
        <v>334273.88675756834</v>
      </c>
      <c r="D4" s="156">
        <v>8.2470000000000002E-2</v>
      </c>
    </row>
    <row r="5" spans="1:10" x14ac:dyDescent="0.2">
      <c r="A5" s="74" t="str">
        <f>Summary!A59</f>
        <v>Embedded Distributor - Hydro One Networks Inc.</v>
      </c>
      <c r="B5" s="114">
        <f>Summary!M61</f>
        <v>72629941</v>
      </c>
      <c r="C5" s="124">
        <f>Summary!M62</f>
        <v>227715</v>
      </c>
      <c r="D5" s="156">
        <v>0</v>
      </c>
    </row>
    <row r="6" spans="1:10" x14ac:dyDescent="0.2">
      <c r="A6" s="74" t="str">
        <f>'Rate Class Customer Model'!E2</f>
        <v>Street Lighting</v>
      </c>
      <c r="B6" s="114">
        <f>Summary!M26</f>
        <v>2355438</v>
      </c>
      <c r="C6" s="124">
        <f>Summary!M27</f>
        <v>6563.7491830909084</v>
      </c>
      <c r="D6" s="156">
        <v>5.0000000000000001E-3</v>
      </c>
    </row>
    <row r="7" spans="1:10" x14ac:dyDescent="0.2">
      <c r="A7" s="74" t="str">
        <f>'Rate Class Customer Model'!F2</f>
        <v>Sentinel Lighting</v>
      </c>
      <c r="B7" s="114">
        <f>Summary!M31</f>
        <v>320970.28625634481</v>
      </c>
      <c r="C7" s="124">
        <f>Summary!M32</f>
        <v>891.85970903865257</v>
      </c>
      <c r="D7" s="156">
        <v>0.83396999999999999</v>
      </c>
    </row>
    <row r="8" spans="1:10" x14ac:dyDescent="0.2">
      <c r="A8" s="74" t="str">
        <f>'Rate Class Customer Model'!G2</f>
        <v xml:space="preserve">Unmetered Scattered Loads </v>
      </c>
      <c r="B8" s="114">
        <f>Summary!M36</f>
        <v>350485.14052657475</v>
      </c>
      <c r="C8" s="113"/>
      <c r="D8" s="156">
        <v>0.82948999999999995</v>
      </c>
    </row>
    <row r="9" spans="1:10" x14ac:dyDescent="0.2">
      <c r="A9" s="98" t="s">
        <v>101</v>
      </c>
      <c r="B9" s="87">
        <f>SUM(B2:B8)</f>
        <v>416518668.09642518</v>
      </c>
      <c r="C9" s="87">
        <f>SUM(C2:C8)</f>
        <v>569444.49564969784</v>
      </c>
      <c r="D9" s="87"/>
    </row>
    <row r="10" spans="1:10" x14ac:dyDescent="0.2">
      <c r="B10" s="61"/>
      <c r="C10" s="61"/>
    </row>
    <row r="12" spans="1:10" x14ac:dyDescent="0.2">
      <c r="A12" s="118" t="s">
        <v>118</v>
      </c>
      <c r="B12" s="220" t="s">
        <v>124</v>
      </c>
      <c r="C12" s="218" t="s">
        <v>125</v>
      </c>
      <c r="D12" s="88"/>
      <c r="E12" s="117"/>
      <c r="F12" s="116"/>
    </row>
    <row r="13" spans="1:10" x14ac:dyDescent="0.2">
      <c r="A13" s="97" t="s">
        <v>117</v>
      </c>
      <c r="B13" s="221"/>
      <c r="C13" s="219"/>
      <c r="D13" s="215">
        <v>2014</v>
      </c>
      <c r="E13" s="216"/>
      <c r="F13" s="217"/>
    </row>
    <row r="14" spans="1:10" ht="12.75" customHeight="1" x14ac:dyDescent="0.2">
      <c r="A14" s="115" t="str">
        <f t="shared" ref="A14:A20" si="0">A2</f>
        <v xml:space="preserve">Residential </v>
      </c>
      <c r="B14" s="114">
        <f>ROUND(B2*D2,0)</f>
        <v>151336600</v>
      </c>
      <c r="C14" s="113">
        <v>1.0654999999999999</v>
      </c>
      <c r="D14" s="100">
        <f>ROUND(B14*C14,0)</f>
        <v>161249147</v>
      </c>
      <c r="E14" s="160">
        <v>8.8999999999999996E-2</v>
      </c>
      <c r="F14" s="99">
        <f>ROUND(D14*E14,2)</f>
        <v>14351174.08</v>
      </c>
      <c r="G14" s="213" t="s">
        <v>168</v>
      </c>
      <c r="H14" s="214"/>
      <c r="I14" s="214"/>
      <c r="J14" s="214"/>
    </row>
    <row r="15" spans="1:10" x14ac:dyDescent="0.2">
      <c r="A15" s="115" t="str">
        <f t="shared" si="0"/>
        <v>General Service Less Than 50 kW</v>
      </c>
      <c r="B15" s="114">
        <f t="shared" ref="B15:B20" si="1">ROUND(B3*D3,0)</f>
        <v>38845506</v>
      </c>
      <c r="C15" s="113">
        <v>1.0654999999999999</v>
      </c>
      <c r="D15" s="100">
        <f t="shared" ref="D15:D20" si="2">ROUND(B15*C15,0)</f>
        <v>41389887</v>
      </c>
      <c r="E15" s="160">
        <f>E14</f>
        <v>8.8999999999999996E-2</v>
      </c>
      <c r="F15" s="99">
        <f t="shared" ref="F15:F20" si="3">ROUND(D15*E15,2)</f>
        <v>3683699.94</v>
      </c>
      <c r="G15" s="213"/>
      <c r="H15" s="214"/>
      <c r="I15" s="214"/>
      <c r="J15" s="214"/>
    </row>
    <row r="16" spans="1:10" x14ac:dyDescent="0.2">
      <c r="A16" s="115" t="str">
        <f t="shared" si="0"/>
        <v>General Service 
50 to 4,999 kW</v>
      </c>
      <c r="B16" s="114">
        <f t="shared" si="1"/>
        <v>9816874</v>
      </c>
      <c r="C16" s="113">
        <v>1.0654999999999999</v>
      </c>
      <c r="D16" s="100">
        <f t="shared" si="2"/>
        <v>10459879</v>
      </c>
      <c r="E16" s="160">
        <f t="shared" ref="E16:E20" si="4">E15</f>
        <v>8.8999999999999996E-2</v>
      </c>
      <c r="F16" s="99">
        <f t="shared" si="3"/>
        <v>930929.23</v>
      </c>
      <c r="G16" s="184"/>
      <c r="H16" s="185"/>
      <c r="I16" s="185"/>
    </row>
    <row r="17" spans="1:10" x14ac:dyDescent="0.2">
      <c r="A17" s="115" t="str">
        <f t="shared" si="0"/>
        <v>Embedded Distributor - Hydro One Networks Inc.</v>
      </c>
      <c r="B17" s="114">
        <f t="shared" si="1"/>
        <v>0</v>
      </c>
      <c r="C17" s="113">
        <v>1.0654999999999999</v>
      </c>
      <c r="D17" s="100">
        <f t="shared" si="2"/>
        <v>0</v>
      </c>
      <c r="E17" s="160">
        <f t="shared" si="4"/>
        <v>8.8999999999999996E-2</v>
      </c>
      <c r="F17" s="99">
        <f t="shared" si="3"/>
        <v>0</v>
      </c>
    </row>
    <row r="18" spans="1:10" x14ac:dyDescent="0.2">
      <c r="A18" s="115" t="str">
        <f t="shared" si="0"/>
        <v>Street Lighting</v>
      </c>
      <c r="B18" s="114">
        <f t="shared" si="1"/>
        <v>11777</v>
      </c>
      <c r="C18" s="113">
        <v>1.0654999999999999</v>
      </c>
      <c r="D18" s="100">
        <f t="shared" si="2"/>
        <v>12548</v>
      </c>
      <c r="E18" s="160">
        <f t="shared" si="4"/>
        <v>8.8999999999999996E-2</v>
      </c>
      <c r="F18" s="99">
        <f t="shared" si="3"/>
        <v>1116.77</v>
      </c>
    </row>
    <row r="19" spans="1:10" x14ac:dyDescent="0.2">
      <c r="A19" s="115" t="str">
        <f t="shared" si="0"/>
        <v>Sentinel Lighting</v>
      </c>
      <c r="B19" s="114">
        <f t="shared" si="1"/>
        <v>267680</v>
      </c>
      <c r="C19" s="113">
        <v>1.0654999999999999</v>
      </c>
      <c r="D19" s="100">
        <f t="shared" si="2"/>
        <v>285213</v>
      </c>
      <c r="E19" s="160">
        <f t="shared" si="4"/>
        <v>8.8999999999999996E-2</v>
      </c>
      <c r="F19" s="99">
        <f t="shared" si="3"/>
        <v>25383.96</v>
      </c>
    </row>
    <row r="20" spans="1:10" x14ac:dyDescent="0.2">
      <c r="A20" s="115" t="str">
        <f t="shared" si="0"/>
        <v xml:space="preserve">Unmetered Scattered Loads </v>
      </c>
      <c r="B20" s="114">
        <f t="shared" si="1"/>
        <v>290724</v>
      </c>
      <c r="C20" s="113">
        <v>1.0654999999999999</v>
      </c>
      <c r="D20" s="100">
        <f t="shared" si="2"/>
        <v>309766</v>
      </c>
      <c r="E20" s="160">
        <f t="shared" si="4"/>
        <v>8.8999999999999996E-2</v>
      </c>
      <c r="F20" s="99">
        <f t="shared" si="3"/>
        <v>27569.17</v>
      </c>
    </row>
    <row r="21" spans="1:10" x14ac:dyDescent="0.2">
      <c r="A21" s="98" t="s">
        <v>101</v>
      </c>
      <c r="B21" s="87">
        <f>SUM(B14:B20)</f>
        <v>200569161</v>
      </c>
      <c r="C21" s="97"/>
      <c r="D21" s="87">
        <f>SUM(D14:D20)</f>
        <v>213706440</v>
      </c>
      <c r="E21" s="96"/>
      <c r="F21" s="112">
        <f>SUM(F14:F20)</f>
        <v>19019873.150000002</v>
      </c>
    </row>
    <row r="22" spans="1:10" x14ac:dyDescent="0.2">
      <c r="A22" s="123"/>
      <c r="B22" s="121"/>
      <c r="C22" s="122"/>
      <c r="D22" s="121"/>
      <c r="E22" s="120"/>
      <c r="F22" s="119"/>
    </row>
    <row r="23" spans="1:10" ht="12.75" customHeight="1" x14ac:dyDescent="0.2">
      <c r="A23" s="118" t="s">
        <v>116</v>
      </c>
      <c r="B23" s="220" t="s">
        <v>124</v>
      </c>
      <c r="C23" s="218" t="s">
        <v>125</v>
      </c>
      <c r="D23" s="88"/>
      <c r="E23" s="117"/>
      <c r="F23" s="116"/>
    </row>
    <row r="24" spans="1:10" x14ac:dyDescent="0.2">
      <c r="A24" s="97" t="s">
        <v>108</v>
      </c>
      <c r="B24" s="221"/>
      <c r="C24" s="219"/>
      <c r="D24" s="215">
        <v>2014</v>
      </c>
      <c r="E24" s="216"/>
      <c r="F24" s="217"/>
    </row>
    <row r="25" spans="1:10" ht="12.75" customHeight="1" x14ac:dyDescent="0.2">
      <c r="A25" s="115" t="str">
        <f t="shared" ref="A25:A31" si="5">A14</f>
        <v xml:space="preserve">Residential </v>
      </c>
      <c r="B25" s="114">
        <f t="shared" ref="B25:B31" si="6">B2-B14</f>
        <v>16919870.839470893</v>
      </c>
      <c r="C25" s="113">
        <f t="shared" ref="C25:C31" si="7">C14</f>
        <v>1.0654999999999999</v>
      </c>
      <c r="D25" s="100">
        <f t="shared" ref="D25:D31" si="8">B25*C25</f>
        <v>18028122.379456233</v>
      </c>
      <c r="E25" s="160">
        <v>1.967E-2</v>
      </c>
      <c r="F25" s="99">
        <f>ROUND(D25*E25,2)</f>
        <v>354613.17</v>
      </c>
      <c r="G25" s="213" t="s">
        <v>168</v>
      </c>
      <c r="H25" s="214"/>
      <c r="I25" s="214"/>
      <c r="J25" s="214"/>
    </row>
    <row r="26" spans="1:10" x14ac:dyDescent="0.2">
      <c r="A26" s="115" t="str">
        <f t="shared" si="5"/>
        <v>General Service Less Than 50 kW</v>
      </c>
      <c r="B26" s="114">
        <f t="shared" si="6"/>
        <v>14724157.434468746</v>
      </c>
      <c r="C26" s="113">
        <f t="shared" si="7"/>
        <v>1.0654999999999999</v>
      </c>
      <c r="D26" s="100">
        <f t="shared" si="8"/>
        <v>15688589.746426448</v>
      </c>
      <c r="E26" s="160">
        <v>1.967E-2</v>
      </c>
      <c r="F26" s="99">
        <f t="shared" ref="F26:F31" si="9">ROUND(D26*E26,2)</f>
        <v>308594.56</v>
      </c>
      <c r="G26" s="213"/>
      <c r="H26" s="214"/>
      <c r="I26" s="214"/>
      <c r="J26" s="214"/>
    </row>
    <row r="27" spans="1:10" x14ac:dyDescent="0.2">
      <c r="A27" s="115" t="str">
        <f t="shared" si="5"/>
        <v>General Service 
50 to 4,999 kW</v>
      </c>
      <c r="B27" s="114">
        <f t="shared" si="6"/>
        <v>109218825.39570256</v>
      </c>
      <c r="C27" s="113">
        <f t="shared" si="7"/>
        <v>1.0654999999999999</v>
      </c>
      <c r="D27" s="100">
        <f t="shared" si="8"/>
        <v>116372658.45912106</v>
      </c>
      <c r="E27" s="160">
        <v>1.967E-2</v>
      </c>
      <c r="F27" s="99">
        <f t="shared" si="9"/>
        <v>2289050.19</v>
      </c>
      <c r="G27" s="184"/>
      <c r="H27" s="185"/>
      <c r="I27" s="185"/>
    </row>
    <row r="28" spans="1:10" x14ac:dyDescent="0.2">
      <c r="A28" s="115" t="str">
        <f t="shared" si="5"/>
        <v>Embedded Distributor - Hydro One Networks Inc.</v>
      </c>
      <c r="B28" s="114">
        <f t="shared" si="6"/>
        <v>72629941</v>
      </c>
      <c r="C28" s="113">
        <v>1.0287999999999999</v>
      </c>
      <c r="D28" s="100">
        <f t="shared" si="8"/>
        <v>74721683.300799996</v>
      </c>
      <c r="E28" s="160">
        <v>1.967E-2</v>
      </c>
      <c r="F28" s="99">
        <f t="shared" si="9"/>
        <v>1469775.51</v>
      </c>
    </row>
    <row r="29" spans="1:10" x14ac:dyDescent="0.2">
      <c r="A29" s="115" t="str">
        <f t="shared" si="5"/>
        <v>Street Lighting</v>
      </c>
      <c r="B29" s="114">
        <f t="shared" si="6"/>
        <v>2343661</v>
      </c>
      <c r="C29" s="113">
        <f t="shared" si="7"/>
        <v>1.0654999999999999</v>
      </c>
      <c r="D29" s="100">
        <f t="shared" si="8"/>
        <v>2497170.7954999995</v>
      </c>
      <c r="E29" s="160">
        <v>1.967E-2</v>
      </c>
      <c r="F29" s="99">
        <f t="shared" si="9"/>
        <v>49119.35</v>
      </c>
    </row>
    <row r="30" spans="1:10" x14ac:dyDescent="0.2">
      <c r="A30" s="115" t="str">
        <f t="shared" si="5"/>
        <v>Sentinel Lighting</v>
      </c>
      <c r="B30" s="114">
        <f t="shared" si="6"/>
        <v>53290.286256344814</v>
      </c>
      <c r="C30" s="113">
        <f t="shared" si="7"/>
        <v>1.0654999999999999</v>
      </c>
      <c r="D30" s="100">
        <f t="shared" si="8"/>
        <v>56780.800006135396</v>
      </c>
      <c r="E30" s="160">
        <v>1.967E-2</v>
      </c>
      <c r="F30" s="99">
        <f t="shared" si="9"/>
        <v>1116.8800000000001</v>
      </c>
    </row>
    <row r="31" spans="1:10" x14ac:dyDescent="0.2">
      <c r="A31" s="115" t="str">
        <f t="shared" si="5"/>
        <v xml:space="preserve">Unmetered Scattered Loads </v>
      </c>
      <c r="B31" s="114">
        <f t="shared" si="6"/>
        <v>59761.140526574745</v>
      </c>
      <c r="C31" s="113">
        <f t="shared" si="7"/>
        <v>1.0654999999999999</v>
      </c>
      <c r="D31" s="100">
        <f t="shared" si="8"/>
        <v>63675.495231065383</v>
      </c>
      <c r="E31" s="160">
        <v>1.967E-2</v>
      </c>
      <c r="F31" s="99">
        <f t="shared" si="9"/>
        <v>1252.5</v>
      </c>
    </row>
    <row r="32" spans="1:10" x14ac:dyDescent="0.2">
      <c r="A32" s="98" t="s">
        <v>101</v>
      </c>
      <c r="B32" s="87">
        <f>SUM(B25:B31)</f>
        <v>215949507.09642512</v>
      </c>
      <c r="C32" s="97"/>
      <c r="D32" s="87">
        <f>SUM(D25:D31)</f>
        <v>227428680.97654092</v>
      </c>
      <c r="E32" s="96"/>
      <c r="F32" s="112">
        <f>SUM(F25:F31)</f>
        <v>4473522.1599999992</v>
      </c>
    </row>
    <row r="33" spans="1:11" x14ac:dyDescent="0.2">
      <c r="A33" s="123"/>
      <c r="B33" s="121"/>
      <c r="C33" s="122"/>
      <c r="D33" s="121"/>
      <c r="E33" s="120"/>
      <c r="F33" s="119"/>
    </row>
    <row r="34" spans="1:11" ht="12.75" customHeight="1" x14ac:dyDescent="0.2">
      <c r="A34" s="118" t="s">
        <v>152</v>
      </c>
      <c r="B34" s="220" t="s">
        <v>124</v>
      </c>
      <c r="C34" s="218" t="s">
        <v>125</v>
      </c>
      <c r="D34" s="88"/>
      <c r="E34" s="117"/>
      <c r="F34" s="116"/>
    </row>
    <row r="35" spans="1:11" x14ac:dyDescent="0.2">
      <c r="A35" s="97" t="s">
        <v>108</v>
      </c>
      <c r="B35" s="221"/>
      <c r="C35" s="219"/>
      <c r="D35" s="215">
        <v>2014</v>
      </c>
      <c r="E35" s="216"/>
      <c r="F35" s="217"/>
    </row>
    <row r="36" spans="1:11" ht="12.75" customHeight="1" x14ac:dyDescent="0.2">
      <c r="A36" s="115" t="str">
        <f t="shared" ref="A36:A42" si="10">A25</f>
        <v xml:space="preserve">Residential </v>
      </c>
      <c r="B36" s="114">
        <f>B2-B14</f>
        <v>16919870.839470893</v>
      </c>
      <c r="C36" s="113">
        <f t="shared" ref="C36:C42" si="11">C25</f>
        <v>1.0654999999999999</v>
      </c>
      <c r="D36" s="100">
        <f t="shared" ref="D36:D42" si="12">B36*C36</f>
        <v>18028122.379456233</v>
      </c>
      <c r="E36" s="160">
        <v>6.7930000000000004E-2</v>
      </c>
      <c r="F36" s="99">
        <f>ROUND(D36*E36,2)</f>
        <v>1224650.3500000001</v>
      </c>
      <c r="G36" s="213" t="s">
        <v>168</v>
      </c>
      <c r="H36" s="214"/>
      <c r="I36" s="214"/>
      <c r="J36" s="214"/>
      <c r="K36" s="185"/>
    </row>
    <row r="37" spans="1:11" x14ac:dyDescent="0.2">
      <c r="A37" s="115" t="str">
        <f t="shared" si="10"/>
        <v>General Service Less Than 50 kW</v>
      </c>
      <c r="B37" s="114">
        <f t="shared" ref="B37:B42" si="13">B3-B15</f>
        <v>14724157.434468746</v>
      </c>
      <c r="C37" s="113">
        <f t="shared" si="11"/>
        <v>1.0654999999999999</v>
      </c>
      <c r="D37" s="100">
        <f t="shared" si="12"/>
        <v>15688589.746426448</v>
      </c>
      <c r="E37" s="160">
        <v>6.7930000000000004E-2</v>
      </c>
      <c r="F37" s="99">
        <f t="shared" ref="F37:F42" si="14">ROUND(D37*E37,2)</f>
        <v>1065725.8999999999</v>
      </c>
      <c r="G37" s="213"/>
      <c r="H37" s="214"/>
      <c r="I37" s="214"/>
      <c r="J37" s="214"/>
      <c r="K37" s="185"/>
    </row>
    <row r="38" spans="1:11" x14ac:dyDescent="0.2">
      <c r="A38" s="115" t="str">
        <f t="shared" si="10"/>
        <v>General Service 
50 to 4,999 kW</v>
      </c>
      <c r="B38" s="114">
        <f t="shared" si="13"/>
        <v>109218825.39570256</v>
      </c>
      <c r="C38" s="113">
        <f t="shared" si="11"/>
        <v>1.0654999999999999</v>
      </c>
      <c r="D38" s="100">
        <f t="shared" si="12"/>
        <v>116372658.45912106</v>
      </c>
      <c r="E38" s="160">
        <v>6.7930000000000004E-2</v>
      </c>
      <c r="F38" s="99">
        <f t="shared" si="14"/>
        <v>7905194.6900000004</v>
      </c>
      <c r="G38" s="184"/>
      <c r="H38" s="185"/>
      <c r="I38" s="185"/>
    </row>
    <row r="39" spans="1:11" x14ac:dyDescent="0.2">
      <c r="A39" s="115" t="str">
        <f t="shared" si="10"/>
        <v>Embedded Distributor - Hydro One Networks Inc.</v>
      </c>
      <c r="B39" s="114">
        <f t="shared" si="13"/>
        <v>72629941</v>
      </c>
      <c r="C39" s="113">
        <v>1.0287999999999999</v>
      </c>
      <c r="D39" s="100">
        <f t="shared" si="12"/>
        <v>74721683.300799996</v>
      </c>
      <c r="E39" s="160">
        <v>6.7930000000000004E-2</v>
      </c>
      <c r="F39" s="99">
        <f t="shared" si="14"/>
        <v>5075843.95</v>
      </c>
    </row>
    <row r="40" spans="1:11" x14ac:dyDescent="0.2">
      <c r="A40" s="115" t="str">
        <f t="shared" si="10"/>
        <v>Street Lighting</v>
      </c>
      <c r="B40" s="114">
        <f t="shared" si="13"/>
        <v>2343661</v>
      </c>
      <c r="C40" s="113">
        <f t="shared" si="11"/>
        <v>1.0654999999999999</v>
      </c>
      <c r="D40" s="100">
        <f t="shared" si="12"/>
        <v>2497170.7954999995</v>
      </c>
      <c r="E40" s="160">
        <v>6.7930000000000004E-2</v>
      </c>
      <c r="F40" s="99">
        <f t="shared" si="14"/>
        <v>169632.81</v>
      </c>
    </row>
    <row r="41" spans="1:11" x14ac:dyDescent="0.2">
      <c r="A41" s="115" t="str">
        <f t="shared" si="10"/>
        <v>Sentinel Lighting</v>
      </c>
      <c r="B41" s="114">
        <f t="shared" si="13"/>
        <v>53290.286256344814</v>
      </c>
      <c r="C41" s="113">
        <f t="shared" si="11"/>
        <v>1.0654999999999999</v>
      </c>
      <c r="D41" s="100">
        <f t="shared" si="12"/>
        <v>56780.800006135396</v>
      </c>
      <c r="E41" s="160">
        <v>6.7930000000000004E-2</v>
      </c>
      <c r="F41" s="99">
        <f t="shared" si="14"/>
        <v>3857.12</v>
      </c>
    </row>
    <row r="42" spans="1:11" x14ac:dyDescent="0.2">
      <c r="A42" s="115" t="str">
        <f t="shared" si="10"/>
        <v xml:space="preserve">Unmetered Scattered Loads </v>
      </c>
      <c r="B42" s="114">
        <f t="shared" si="13"/>
        <v>59761.140526574745</v>
      </c>
      <c r="C42" s="113">
        <f t="shared" si="11"/>
        <v>1.0654999999999999</v>
      </c>
      <c r="D42" s="100">
        <f t="shared" si="12"/>
        <v>63675.495231065383</v>
      </c>
      <c r="E42" s="160">
        <v>6.7930000000000004E-2</v>
      </c>
      <c r="F42" s="99">
        <f t="shared" si="14"/>
        <v>4325.4799999999996</v>
      </c>
    </row>
    <row r="43" spans="1:11" x14ac:dyDescent="0.2">
      <c r="A43" s="98" t="s">
        <v>101</v>
      </c>
      <c r="B43" s="87">
        <f>SUM(B36:B42)</f>
        <v>215949507.09642512</v>
      </c>
      <c r="C43" s="97"/>
      <c r="D43" s="87">
        <f>SUM(D36:D42)</f>
        <v>227428680.97654092</v>
      </c>
      <c r="E43" s="96"/>
      <c r="F43" s="112">
        <f>SUM(F36:F42)</f>
        <v>15449230.300000001</v>
      </c>
    </row>
    <row r="45" spans="1:11" x14ac:dyDescent="0.2">
      <c r="A45" s="109" t="s">
        <v>115</v>
      </c>
      <c r="B45" s="218" t="s">
        <v>125</v>
      </c>
      <c r="C45" s="111" t="s">
        <v>113</v>
      </c>
      <c r="D45" s="107"/>
      <c r="E45" s="106"/>
      <c r="F45" s="105"/>
    </row>
    <row r="46" spans="1:11" x14ac:dyDescent="0.2">
      <c r="A46" s="97" t="s">
        <v>108</v>
      </c>
      <c r="B46" s="219"/>
      <c r="C46" s="110" t="s">
        <v>112</v>
      </c>
      <c r="D46" s="215">
        <v>2014</v>
      </c>
      <c r="E46" s="216"/>
      <c r="F46" s="217"/>
    </row>
    <row r="47" spans="1:11" ht="12.75" customHeight="1" x14ac:dyDescent="0.2">
      <c r="A47" s="102" t="str">
        <f t="shared" ref="A47:A53" si="15">A25</f>
        <v xml:space="preserve">Residential </v>
      </c>
      <c r="B47" s="100"/>
      <c r="C47" s="101" t="s">
        <v>98</v>
      </c>
      <c r="D47" s="100">
        <f>D14+D25</f>
        <v>179277269.37945622</v>
      </c>
      <c r="E47" s="157">
        <v>6.7999999999999996E-3</v>
      </c>
      <c r="F47" s="99">
        <f>ROUND(D47*E47,2)</f>
        <v>1219085.43</v>
      </c>
      <c r="G47" s="213" t="s">
        <v>169</v>
      </c>
      <c r="H47" s="214"/>
      <c r="I47" s="214"/>
      <c r="J47" s="214"/>
      <c r="K47" s="214"/>
    </row>
    <row r="48" spans="1:11" x14ac:dyDescent="0.2">
      <c r="A48" s="102" t="str">
        <f t="shared" si="15"/>
        <v>General Service Less Than 50 kW</v>
      </c>
      <c r="B48" s="100"/>
      <c r="C48" s="101" t="s">
        <v>98</v>
      </c>
      <c r="D48" s="100">
        <f>D15+D26</f>
        <v>57078476.746426448</v>
      </c>
      <c r="E48" s="157">
        <v>6.1000000000000004E-3</v>
      </c>
      <c r="F48" s="99">
        <f t="shared" ref="F48:F53" si="16">ROUND(D48*E48,2)</f>
        <v>348178.71</v>
      </c>
      <c r="G48" s="213"/>
      <c r="H48" s="214"/>
      <c r="I48" s="214"/>
      <c r="J48" s="214"/>
      <c r="K48" s="214"/>
    </row>
    <row r="49" spans="1:11" x14ac:dyDescent="0.2">
      <c r="A49" s="102" t="str">
        <f t="shared" si="15"/>
        <v>General Service 
50 to 4,999 kW</v>
      </c>
      <c r="B49" s="100"/>
      <c r="C49" s="101" t="s">
        <v>111</v>
      </c>
      <c r="D49" s="100">
        <f>C4</f>
        <v>334273.88675756834</v>
      </c>
      <c r="E49" s="157">
        <v>2.6015999999999999</v>
      </c>
      <c r="F49" s="99">
        <f t="shared" si="16"/>
        <v>869646.94</v>
      </c>
      <c r="G49" s="213"/>
      <c r="H49" s="214"/>
      <c r="I49" s="214"/>
      <c r="J49" s="214"/>
      <c r="K49" s="214"/>
    </row>
    <row r="50" spans="1:11" x14ac:dyDescent="0.2">
      <c r="A50" s="102" t="str">
        <f t="shared" si="15"/>
        <v>Embedded Distributor - Hydro One Networks Inc.</v>
      </c>
      <c r="B50" s="113">
        <v>1.0287999999999999</v>
      </c>
      <c r="C50" s="101" t="s">
        <v>111</v>
      </c>
      <c r="D50" s="100">
        <f>C5</f>
        <v>227715</v>
      </c>
      <c r="E50" s="157">
        <v>2.9565999999999999</v>
      </c>
      <c r="F50" s="99">
        <f>ROUND(D50*B50*E50,2)</f>
        <v>692652.12</v>
      </c>
      <c r="G50" s="213"/>
      <c r="H50" s="214"/>
      <c r="I50" s="214"/>
      <c r="J50" s="214"/>
      <c r="K50" s="214"/>
    </row>
    <row r="51" spans="1:11" x14ac:dyDescent="0.2">
      <c r="A51" s="102" t="str">
        <f t="shared" si="15"/>
        <v>Street Lighting</v>
      </c>
      <c r="B51" s="100"/>
      <c r="C51" s="101" t="s">
        <v>111</v>
      </c>
      <c r="D51" s="100">
        <f>C6</f>
        <v>6563.7491830909084</v>
      </c>
      <c r="E51" s="157">
        <v>1.8791</v>
      </c>
      <c r="F51" s="99">
        <f t="shared" si="16"/>
        <v>12333.94</v>
      </c>
      <c r="G51" s="184"/>
      <c r="H51" s="185"/>
      <c r="I51" s="185"/>
      <c r="J51" s="185"/>
    </row>
    <row r="52" spans="1:11" x14ac:dyDescent="0.2">
      <c r="A52" s="102" t="str">
        <f t="shared" si="15"/>
        <v>Sentinel Lighting</v>
      </c>
      <c r="B52" s="100"/>
      <c r="C52" s="101" t="s">
        <v>111</v>
      </c>
      <c r="D52" s="100">
        <f>C7</f>
        <v>891.85970903865257</v>
      </c>
      <c r="E52" s="158">
        <v>1.8886000000000001</v>
      </c>
      <c r="F52" s="99">
        <f t="shared" si="16"/>
        <v>1684.37</v>
      </c>
    </row>
    <row r="53" spans="1:11" x14ac:dyDescent="0.2">
      <c r="A53" s="102" t="str">
        <f t="shared" si="15"/>
        <v xml:space="preserve">Unmetered Scattered Loads </v>
      </c>
      <c r="B53" s="100"/>
      <c r="C53" s="101" t="s">
        <v>98</v>
      </c>
      <c r="D53" s="100">
        <f>D20+D31</f>
        <v>373441.49523106538</v>
      </c>
      <c r="E53" s="157">
        <v>6.1000000000000004E-3</v>
      </c>
      <c r="F53" s="99">
        <f t="shared" si="16"/>
        <v>2277.9899999999998</v>
      </c>
    </row>
    <row r="54" spans="1:11" x14ac:dyDescent="0.2">
      <c r="A54" s="98" t="s">
        <v>101</v>
      </c>
      <c r="B54" s="87"/>
      <c r="C54" s="97"/>
      <c r="D54" s="87"/>
      <c r="E54" s="96"/>
      <c r="F54" s="95">
        <f>SUM(F47:F53)</f>
        <v>3145859.5000000005</v>
      </c>
    </row>
    <row r="56" spans="1:11" x14ac:dyDescent="0.2">
      <c r="A56" s="109" t="s">
        <v>114</v>
      </c>
      <c r="B56" s="105"/>
      <c r="C56" s="108" t="s">
        <v>113</v>
      </c>
      <c r="D56" s="107"/>
      <c r="E56" s="106"/>
      <c r="F56" s="105"/>
    </row>
    <row r="57" spans="1:11" x14ac:dyDescent="0.2">
      <c r="A57" s="97" t="s">
        <v>108</v>
      </c>
      <c r="B57" s="104"/>
      <c r="C57" s="103" t="s">
        <v>112</v>
      </c>
      <c r="D57" s="215">
        <v>2014</v>
      </c>
      <c r="E57" s="216"/>
      <c r="F57" s="217"/>
    </row>
    <row r="58" spans="1:11" x14ac:dyDescent="0.2">
      <c r="A58" s="102" t="str">
        <f t="shared" ref="A58:A64" si="17">A47</f>
        <v xml:space="preserve">Residential </v>
      </c>
      <c r="B58" s="100"/>
      <c r="C58" s="101" t="str">
        <f t="shared" ref="C58:D64" si="18">C47</f>
        <v>kWh</v>
      </c>
      <c r="D58" s="100">
        <f t="shared" si="18"/>
        <v>179277269.37945622</v>
      </c>
      <c r="E58" s="157">
        <v>5.1999999999999998E-3</v>
      </c>
      <c r="F58" s="99">
        <f>ROUND(D58*E58,2)</f>
        <v>932241.8</v>
      </c>
      <c r="G58" s="213" t="s">
        <v>169</v>
      </c>
      <c r="H58" s="214"/>
      <c r="I58" s="214"/>
      <c r="J58" s="214"/>
      <c r="K58" s="214"/>
    </row>
    <row r="59" spans="1:11" x14ac:dyDescent="0.2">
      <c r="A59" s="102" t="str">
        <f t="shared" si="17"/>
        <v>General Service Less Than 50 kW</v>
      </c>
      <c r="B59" s="100"/>
      <c r="C59" s="101" t="str">
        <f t="shared" si="18"/>
        <v>kWh</v>
      </c>
      <c r="D59" s="100">
        <f t="shared" si="18"/>
        <v>57078476.746426448</v>
      </c>
      <c r="E59" s="157">
        <v>4.7999999999999996E-3</v>
      </c>
      <c r="F59" s="99">
        <f t="shared" ref="F59:F64" si="19">ROUND(D59*E59,2)</f>
        <v>273976.69</v>
      </c>
      <c r="G59" s="213"/>
      <c r="H59" s="214"/>
      <c r="I59" s="214"/>
      <c r="J59" s="214"/>
      <c r="K59" s="214"/>
    </row>
    <row r="60" spans="1:11" x14ac:dyDescent="0.2">
      <c r="A60" s="102" t="str">
        <f t="shared" si="17"/>
        <v>General Service 
50 to 4,999 kW</v>
      </c>
      <c r="B60" s="100"/>
      <c r="C60" s="101" t="str">
        <f t="shared" si="18"/>
        <v>kW</v>
      </c>
      <c r="D60" s="100">
        <f t="shared" si="18"/>
        <v>334273.88675756834</v>
      </c>
      <c r="E60" s="157">
        <v>2.0329000000000002</v>
      </c>
      <c r="F60" s="99">
        <f t="shared" si="19"/>
        <v>679545.38</v>
      </c>
      <c r="G60" s="213"/>
      <c r="H60" s="214"/>
      <c r="I60" s="214"/>
      <c r="J60" s="214"/>
      <c r="K60" s="214"/>
    </row>
    <row r="61" spans="1:11" x14ac:dyDescent="0.2">
      <c r="A61" s="102" t="str">
        <f t="shared" si="17"/>
        <v>Embedded Distributor - Hydro One Networks Inc.</v>
      </c>
      <c r="B61" s="113">
        <v>1.0287999999999999</v>
      </c>
      <c r="C61" s="101" t="str">
        <f t="shared" si="18"/>
        <v>kW</v>
      </c>
      <c r="D61" s="100">
        <f t="shared" si="18"/>
        <v>227715</v>
      </c>
      <c r="E61" s="157">
        <v>2.3933</v>
      </c>
      <c r="F61" s="99">
        <f>ROUND(D61*B61*E61,2)</f>
        <v>560686.03</v>
      </c>
      <c r="G61" s="213"/>
      <c r="H61" s="214"/>
      <c r="I61" s="214"/>
      <c r="J61" s="214"/>
      <c r="K61" s="214"/>
    </row>
    <row r="62" spans="1:11" x14ac:dyDescent="0.2">
      <c r="A62" s="102" t="str">
        <f t="shared" si="17"/>
        <v>Street Lighting</v>
      </c>
      <c r="B62" s="100"/>
      <c r="C62" s="101" t="str">
        <f t="shared" si="18"/>
        <v>kW</v>
      </c>
      <c r="D62" s="100">
        <f t="shared" si="18"/>
        <v>6563.7491830909084</v>
      </c>
      <c r="E62" s="157">
        <v>1.4603999999999999</v>
      </c>
      <c r="F62" s="99">
        <f t="shared" si="19"/>
        <v>9585.7000000000007</v>
      </c>
    </row>
    <row r="63" spans="1:11" x14ac:dyDescent="0.2">
      <c r="A63" s="102" t="str">
        <f t="shared" si="17"/>
        <v>Sentinel Lighting</v>
      </c>
      <c r="B63" s="100"/>
      <c r="C63" s="101" t="str">
        <f t="shared" si="18"/>
        <v>kW</v>
      </c>
      <c r="D63" s="100">
        <f t="shared" si="18"/>
        <v>891.85970903865257</v>
      </c>
      <c r="E63" s="157">
        <v>1.4910000000000001</v>
      </c>
      <c r="F63" s="99">
        <f t="shared" si="19"/>
        <v>1329.76</v>
      </c>
    </row>
    <row r="64" spans="1:11" x14ac:dyDescent="0.2">
      <c r="A64" s="102" t="str">
        <f t="shared" si="17"/>
        <v xml:space="preserve">Unmetered Scattered Loads </v>
      </c>
      <c r="B64" s="100"/>
      <c r="C64" s="101" t="str">
        <f t="shared" si="18"/>
        <v>kWh</v>
      </c>
      <c r="D64" s="100">
        <f t="shared" si="18"/>
        <v>373441.49523106538</v>
      </c>
      <c r="E64" s="157">
        <v>4.7999999999999996E-3</v>
      </c>
      <c r="F64" s="99">
        <f t="shared" si="19"/>
        <v>1792.52</v>
      </c>
    </row>
    <row r="65" spans="1:11" x14ac:dyDescent="0.2">
      <c r="A65" s="98" t="s">
        <v>101</v>
      </c>
      <c r="B65" s="87"/>
      <c r="C65" s="97"/>
      <c r="D65" s="87"/>
      <c r="E65" s="96"/>
      <c r="F65" s="95">
        <f>SUM(F58:F64)</f>
        <v>2459157.8800000004</v>
      </c>
    </row>
    <row r="67" spans="1:11" x14ac:dyDescent="0.2">
      <c r="A67" s="109" t="s">
        <v>110</v>
      </c>
      <c r="B67" s="105"/>
      <c r="C67" s="108"/>
      <c r="D67" s="107"/>
      <c r="E67" s="106"/>
      <c r="F67" s="105"/>
    </row>
    <row r="68" spans="1:11" x14ac:dyDescent="0.2">
      <c r="A68" s="97" t="s">
        <v>108</v>
      </c>
      <c r="B68" s="104"/>
      <c r="C68" s="103"/>
      <c r="D68" s="215">
        <v>2014</v>
      </c>
      <c r="E68" s="216"/>
      <c r="F68" s="217"/>
    </row>
    <row r="69" spans="1:11" x14ac:dyDescent="0.2">
      <c r="A69" s="102" t="str">
        <f t="shared" ref="A69:A75" si="20">A58</f>
        <v xml:space="preserve">Residential </v>
      </c>
      <c r="B69" s="100"/>
      <c r="C69" s="101"/>
      <c r="D69" s="100">
        <f t="shared" ref="D69:D75" si="21">D14+D25</f>
        <v>179277269.37945622</v>
      </c>
      <c r="E69" s="157">
        <f>0.0044</f>
        <v>4.4000000000000003E-3</v>
      </c>
      <c r="F69" s="99">
        <f>ROUND(D69*E69,2)</f>
        <v>788819.99</v>
      </c>
    </row>
    <row r="70" spans="1:11" x14ac:dyDescent="0.2">
      <c r="A70" s="102" t="str">
        <f t="shared" si="20"/>
        <v>General Service Less Than 50 kW</v>
      </c>
      <c r="B70" s="100"/>
      <c r="C70" s="101"/>
      <c r="D70" s="100">
        <f t="shared" si="21"/>
        <v>57078476.746426448</v>
      </c>
      <c r="E70" s="157">
        <f t="shared" ref="E70:E75" si="22">0.0044</f>
        <v>4.4000000000000003E-3</v>
      </c>
      <c r="F70" s="99">
        <f t="shared" ref="F70:F75" si="23">ROUND(D70*E70,2)</f>
        <v>251145.3</v>
      </c>
    </row>
    <row r="71" spans="1:11" x14ac:dyDescent="0.2">
      <c r="A71" s="102" t="str">
        <f t="shared" si="20"/>
        <v>General Service 
50 to 4,999 kW</v>
      </c>
      <c r="B71" s="100"/>
      <c r="C71" s="101"/>
      <c r="D71" s="100">
        <f t="shared" si="21"/>
        <v>126832537.45912106</v>
      </c>
      <c r="E71" s="157">
        <f t="shared" si="22"/>
        <v>4.4000000000000003E-3</v>
      </c>
      <c r="F71" s="99">
        <f t="shared" si="23"/>
        <v>558063.16</v>
      </c>
    </row>
    <row r="72" spans="1:11" x14ac:dyDescent="0.2">
      <c r="A72" s="102" t="str">
        <f t="shared" si="20"/>
        <v>Embedded Distributor - Hydro One Networks Inc.</v>
      </c>
      <c r="B72" s="100"/>
      <c r="C72" s="101"/>
      <c r="D72" s="100">
        <f t="shared" si="21"/>
        <v>74721683.300799996</v>
      </c>
      <c r="E72" s="157">
        <f t="shared" si="22"/>
        <v>4.4000000000000003E-3</v>
      </c>
      <c r="F72" s="99">
        <f t="shared" si="23"/>
        <v>328775.40999999997</v>
      </c>
    </row>
    <row r="73" spans="1:11" x14ac:dyDescent="0.2">
      <c r="A73" s="102" t="str">
        <f t="shared" si="20"/>
        <v>Street Lighting</v>
      </c>
      <c r="B73" s="100"/>
      <c r="C73" s="101"/>
      <c r="D73" s="100">
        <f t="shared" si="21"/>
        <v>2509718.7954999995</v>
      </c>
      <c r="E73" s="157">
        <f t="shared" si="22"/>
        <v>4.4000000000000003E-3</v>
      </c>
      <c r="F73" s="99">
        <f t="shared" si="23"/>
        <v>11042.76</v>
      </c>
    </row>
    <row r="74" spans="1:11" x14ac:dyDescent="0.2">
      <c r="A74" s="102" t="str">
        <f t="shared" si="20"/>
        <v>Sentinel Lighting</v>
      </c>
      <c r="B74" s="100"/>
      <c r="C74" s="101"/>
      <c r="D74" s="100">
        <f t="shared" si="21"/>
        <v>341993.80000613537</v>
      </c>
      <c r="E74" s="157">
        <f t="shared" si="22"/>
        <v>4.4000000000000003E-3</v>
      </c>
      <c r="F74" s="99">
        <f t="shared" si="23"/>
        <v>1504.77</v>
      </c>
    </row>
    <row r="75" spans="1:11" x14ac:dyDescent="0.2">
      <c r="A75" s="102" t="str">
        <f t="shared" si="20"/>
        <v xml:space="preserve">Unmetered Scattered Loads </v>
      </c>
      <c r="B75" s="100"/>
      <c r="C75" s="101"/>
      <c r="D75" s="100">
        <f t="shared" si="21"/>
        <v>373441.49523106538</v>
      </c>
      <c r="E75" s="157">
        <f t="shared" si="22"/>
        <v>4.4000000000000003E-3</v>
      </c>
      <c r="F75" s="99">
        <f t="shared" si="23"/>
        <v>1643.14</v>
      </c>
    </row>
    <row r="76" spans="1:11" x14ac:dyDescent="0.2">
      <c r="A76" s="98" t="s">
        <v>101</v>
      </c>
      <c r="B76" s="87"/>
      <c r="C76" s="97"/>
      <c r="D76" s="87">
        <f>SUM(D69:D75)</f>
        <v>441135120.97654092</v>
      </c>
      <c r="E76" s="96"/>
      <c r="F76" s="95">
        <f>SUM(F69:F75)</f>
        <v>1940994.53</v>
      </c>
    </row>
    <row r="78" spans="1:11" x14ac:dyDescent="0.2">
      <c r="A78" s="109" t="s">
        <v>109</v>
      </c>
      <c r="B78" s="105"/>
      <c r="C78" s="108"/>
      <c r="D78" s="107"/>
      <c r="E78" s="106"/>
      <c r="F78" s="105"/>
    </row>
    <row r="79" spans="1:11" x14ac:dyDescent="0.2">
      <c r="A79" s="97" t="s">
        <v>108</v>
      </c>
      <c r="B79" s="104"/>
      <c r="C79" s="103"/>
      <c r="D79" s="215">
        <v>2014</v>
      </c>
      <c r="E79" s="216"/>
      <c r="F79" s="217"/>
    </row>
    <row r="80" spans="1:11" ht="12.75" customHeight="1" x14ac:dyDescent="0.2">
      <c r="A80" s="102" t="str">
        <f>A69</f>
        <v xml:space="preserve">Residential </v>
      </c>
      <c r="B80" s="100"/>
      <c r="C80" s="101"/>
      <c r="D80" s="100">
        <f>D69</f>
        <v>179277269.37945622</v>
      </c>
      <c r="E80" s="157">
        <v>1.2999999999999999E-3</v>
      </c>
      <c r="F80" s="99">
        <f>ROUND(D80*E80,2)</f>
        <v>233060.45</v>
      </c>
      <c r="G80" s="213" t="s">
        <v>167</v>
      </c>
      <c r="H80" s="214"/>
      <c r="I80" s="214"/>
      <c r="J80" s="214"/>
      <c r="K80" s="214"/>
    </row>
    <row r="81" spans="1:11" x14ac:dyDescent="0.2">
      <c r="A81" s="102" t="str">
        <f>A70</f>
        <v>General Service Less Than 50 kW</v>
      </c>
      <c r="B81" s="100"/>
      <c r="C81" s="101"/>
      <c r="D81" s="100">
        <f>D70</f>
        <v>57078476.746426448</v>
      </c>
      <c r="E81" s="157">
        <f>E80</f>
        <v>1.2999999999999999E-3</v>
      </c>
      <c r="F81" s="99">
        <f t="shared" ref="F81:F86" si="24">ROUND(D81*E81,2)</f>
        <v>74202.02</v>
      </c>
      <c r="G81" s="213"/>
      <c r="H81" s="214"/>
      <c r="I81" s="214"/>
      <c r="J81" s="214"/>
      <c r="K81" s="214"/>
    </row>
    <row r="82" spans="1:11" x14ac:dyDescent="0.2">
      <c r="A82" s="102" t="str">
        <f>A71</f>
        <v>General Service 
50 to 4,999 kW</v>
      </c>
      <c r="B82" s="100"/>
      <c r="C82" s="101"/>
      <c r="D82" s="100">
        <f>D71</f>
        <v>126832537.45912106</v>
      </c>
      <c r="E82" s="157">
        <f t="shared" ref="E82:E86" si="25">E81</f>
        <v>1.2999999999999999E-3</v>
      </c>
      <c r="F82" s="99">
        <f t="shared" si="24"/>
        <v>164882.29999999999</v>
      </c>
      <c r="G82" s="184"/>
      <c r="H82" s="185"/>
      <c r="I82" s="185"/>
    </row>
    <row r="83" spans="1:11" x14ac:dyDescent="0.2">
      <c r="A83" s="102" t="str">
        <f t="shared" ref="A83:A86" si="26">A72</f>
        <v>Embedded Distributor - Hydro One Networks Inc.</v>
      </c>
      <c r="B83" s="100"/>
      <c r="C83" s="101"/>
      <c r="D83" s="100">
        <f t="shared" ref="D83:D86" si="27">D72</f>
        <v>74721683.300799996</v>
      </c>
      <c r="E83" s="157">
        <f t="shared" si="25"/>
        <v>1.2999999999999999E-3</v>
      </c>
      <c r="F83" s="99">
        <f t="shared" si="24"/>
        <v>97138.19</v>
      </c>
    </row>
    <row r="84" spans="1:11" x14ac:dyDescent="0.2">
      <c r="A84" s="102" t="str">
        <f t="shared" si="26"/>
        <v>Street Lighting</v>
      </c>
      <c r="B84" s="100"/>
      <c r="C84" s="101"/>
      <c r="D84" s="100">
        <f t="shared" si="27"/>
        <v>2509718.7954999995</v>
      </c>
      <c r="E84" s="157">
        <f t="shared" si="25"/>
        <v>1.2999999999999999E-3</v>
      </c>
      <c r="F84" s="99">
        <f t="shared" si="24"/>
        <v>3262.63</v>
      </c>
    </row>
    <row r="85" spans="1:11" x14ac:dyDescent="0.2">
      <c r="A85" s="102" t="str">
        <f t="shared" si="26"/>
        <v>Sentinel Lighting</v>
      </c>
      <c r="B85" s="100"/>
      <c r="C85" s="101"/>
      <c r="D85" s="100">
        <f t="shared" si="27"/>
        <v>341993.80000613537</v>
      </c>
      <c r="E85" s="157">
        <f t="shared" si="25"/>
        <v>1.2999999999999999E-3</v>
      </c>
      <c r="F85" s="99">
        <f t="shared" si="24"/>
        <v>444.59</v>
      </c>
    </row>
    <row r="86" spans="1:11" x14ac:dyDescent="0.2">
      <c r="A86" s="102" t="str">
        <f t="shared" si="26"/>
        <v xml:space="preserve">Unmetered Scattered Loads </v>
      </c>
      <c r="B86" s="100"/>
      <c r="C86" s="101"/>
      <c r="D86" s="100">
        <f t="shared" si="27"/>
        <v>373441.49523106538</v>
      </c>
      <c r="E86" s="157">
        <f t="shared" si="25"/>
        <v>1.2999999999999999E-3</v>
      </c>
      <c r="F86" s="99">
        <f t="shared" si="24"/>
        <v>485.47</v>
      </c>
    </row>
    <row r="87" spans="1:11" x14ac:dyDescent="0.2">
      <c r="A87" s="98" t="s">
        <v>101</v>
      </c>
      <c r="B87" s="87"/>
      <c r="C87" s="97"/>
      <c r="D87" s="87">
        <f>SUM(D80:D86)</f>
        <v>441135120.97654092</v>
      </c>
      <c r="E87" s="96"/>
      <c r="F87" s="95">
        <f>SUM(F80:F86)</f>
        <v>573475.64999999991</v>
      </c>
    </row>
    <row r="89" spans="1:11" x14ac:dyDescent="0.2">
      <c r="A89" s="93" t="s">
        <v>154</v>
      </c>
      <c r="B89" s="94">
        <v>2014</v>
      </c>
    </row>
    <row r="90" spans="1:11" x14ac:dyDescent="0.2">
      <c r="A90" s="93"/>
      <c r="B90" s="92"/>
    </row>
    <row r="91" spans="1:11" x14ac:dyDescent="0.2">
      <c r="A91" s="89" t="s">
        <v>107</v>
      </c>
      <c r="B91" s="91">
        <f>F21+F32</f>
        <v>23493395.310000002</v>
      </c>
      <c r="D91" s="163"/>
    </row>
    <row r="92" spans="1:11" x14ac:dyDescent="0.2">
      <c r="A92" s="159" t="s">
        <v>151</v>
      </c>
      <c r="B92" s="91">
        <f>F43</f>
        <v>15449230.300000001</v>
      </c>
    </row>
    <row r="93" spans="1:11" x14ac:dyDescent="0.2">
      <c r="A93" s="89" t="s">
        <v>106</v>
      </c>
      <c r="B93" s="90">
        <f>F76</f>
        <v>1940994.53</v>
      </c>
    </row>
    <row r="94" spans="1:11" x14ac:dyDescent="0.2">
      <c r="A94" s="89" t="s">
        <v>105</v>
      </c>
      <c r="B94" s="90">
        <f>F54</f>
        <v>3145859.5000000005</v>
      </c>
    </row>
    <row r="95" spans="1:11" x14ac:dyDescent="0.2">
      <c r="A95" s="89" t="s">
        <v>104</v>
      </c>
      <c r="B95" s="90">
        <f>F65</f>
        <v>2459157.8800000004</v>
      </c>
    </row>
    <row r="96" spans="1:11" x14ac:dyDescent="0.2">
      <c r="A96" s="89" t="s">
        <v>103</v>
      </c>
      <c r="B96" s="90">
        <f>F87</f>
        <v>573475.64999999991</v>
      </c>
      <c r="E96" s="163"/>
    </row>
    <row r="97" spans="1:8" ht="12.75" customHeight="1" x14ac:dyDescent="0.2">
      <c r="A97" s="89" t="s">
        <v>102</v>
      </c>
      <c r="B97" s="91">
        <v>139943</v>
      </c>
      <c r="C97" s="213" t="s">
        <v>170</v>
      </c>
      <c r="D97" s="214"/>
      <c r="E97" s="214"/>
      <c r="F97" s="214"/>
      <c r="G97" s="214"/>
      <c r="H97" s="214"/>
    </row>
    <row r="98" spans="1:8" x14ac:dyDescent="0.2">
      <c r="A98" s="159" t="s">
        <v>153</v>
      </c>
      <c r="B98" s="91">
        <v>200172</v>
      </c>
      <c r="C98" s="213"/>
      <c r="D98" s="214"/>
      <c r="E98" s="214"/>
      <c r="F98" s="214"/>
      <c r="G98" s="214"/>
      <c r="H98" s="214"/>
    </row>
    <row r="99" spans="1:8" x14ac:dyDescent="0.2">
      <c r="A99" s="88" t="s">
        <v>101</v>
      </c>
      <c r="B99" s="87">
        <f>SUM(B91:B98)</f>
        <v>47402228.170000002</v>
      </c>
      <c r="C99" s="31"/>
      <c r="D99" s="31"/>
    </row>
  </sheetData>
  <mergeCells count="21">
    <mergeCell ref="B45:B46"/>
    <mergeCell ref="B34:B35"/>
    <mergeCell ref="C34:C35"/>
    <mergeCell ref="D35:F35"/>
    <mergeCell ref="B12:B13"/>
    <mergeCell ref="C12:C13"/>
    <mergeCell ref="D13:F13"/>
    <mergeCell ref="B23:B24"/>
    <mergeCell ref="C23:C24"/>
    <mergeCell ref="D24:F24"/>
    <mergeCell ref="G14:J15"/>
    <mergeCell ref="D46:F46"/>
    <mergeCell ref="D57:F57"/>
    <mergeCell ref="D68:F68"/>
    <mergeCell ref="D79:F79"/>
    <mergeCell ref="C97:H98"/>
    <mergeCell ref="G47:K50"/>
    <mergeCell ref="G58:K61"/>
    <mergeCell ref="G80:K81"/>
    <mergeCell ref="G25:J26"/>
    <mergeCell ref="G36:J37"/>
  </mergeCells>
  <printOptions horizontalCentered="1" gridLines="1"/>
  <pageMargins left="0.39370078740157483" right="0.39370078740157483" top="0.59055118110236227" bottom="0.59055118110236227" header="0.31496062992125984" footer="0.31496062992125984"/>
  <pageSetup scale="55" orientation="portrait" r:id="rId1"/>
  <headerFooter scaleWithDoc="0" alignWithMargins="0">
    <oddFooter>&amp;L&amp;F
&amp;A&amp;RPage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H30" sqref="H30"/>
    </sheetView>
  </sheetViews>
  <sheetFormatPr defaultRowHeight="12.75" x14ac:dyDescent="0.2"/>
  <sheetData/>
  <printOptions horizontalCentered="1" gridLines="1"/>
  <pageMargins left="0.39370078740157483" right="0.39370078740157483" top="0.59055118110236227" bottom="0.59055118110236227" header="0.31496062992125984" footer="0.31496062992125984"/>
  <pageSetup paperSize="17" orientation="landscape" r:id="rId1"/>
  <headerFooter scaleWithDoc="0" alignWithMargins="0">
    <oddFooter>&amp;L&amp;F
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9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Summary</vt:lpstr>
      <vt:lpstr>Purchased Power Model </vt:lpstr>
      <vt:lpstr>Rate Class Energy Model</vt:lpstr>
      <vt:lpstr>Rate Class Customer Model</vt:lpstr>
      <vt:lpstr>Rate Class Load Model</vt:lpstr>
      <vt:lpstr>CDM Activity</vt:lpstr>
      <vt:lpstr>HDD and CDD</vt:lpstr>
      <vt:lpstr>2014 Cost of Power</vt:lpstr>
      <vt:lpstr>Sheet3</vt:lpstr>
      <vt:lpstr>Chart1</vt:lpstr>
      <vt:lpstr>'CDM Activity'!Print_Area</vt:lpstr>
      <vt:lpstr>'Purchased Power Model '!Print_Area</vt:lpstr>
      <vt:lpstr>'Purchased Power Model 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Sherry Graham</cp:lastModifiedBy>
  <cp:lastPrinted>2014-03-04T00:00:07Z</cp:lastPrinted>
  <dcterms:created xsi:type="dcterms:W3CDTF">2008-02-06T18:24:44Z</dcterms:created>
  <dcterms:modified xsi:type="dcterms:W3CDTF">2014-03-04T00:00:11Z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