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565" tabRatio="937"/>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s="1"/>
  <c r="B31" i="4"/>
  <c r="D31" i="4" s="1"/>
  <c r="J31" i="4" s="1"/>
  <c r="L31" i="4"/>
  <c r="L32" i="4"/>
  <c r="L33" i="4"/>
  <c r="L34" i="4"/>
  <c r="L35" i="4"/>
  <c r="L36" i="4"/>
  <c r="L37" i="4"/>
  <c r="L38" i="4"/>
  <c r="L39" i="4"/>
  <c r="L40" i="4"/>
  <c r="L41" i="4"/>
  <c r="L42" i="4"/>
  <c r="L43" i="4"/>
  <c r="L44" i="4"/>
  <c r="L45" i="4"/>
  <c r="L46" i="4"/>
  <c r="L47" i="4"/>
  <c r="L48" i="4"/>
  <c r="Q29" i="3"/>
  <c r="B30" i="14" s="1"/>
  <c r="Q30" i="3"/>
  <c r="B31" i="14" s="1"/>
  <c r="F31" i="14" s="1"/>
  <c r="Q31" i="3"/>
  <c r="B32" i="14" s="1"/>
  <c r="Q32" i="3"/>
  <c r="B33" i="14" s="1"/>
  <c r="A5" i="5"/>
  <c r="F33" i="14"/>
  <c r="L33" i="14" s="1"/>
  <c r="D33" i="14"/>
  <c r="R33" i="14" s="1"/>
  <c r="D24" i="8"/>
  <c r="E24" i="8"/>
  <c r="D43" i="8"/>
  <c r="E43" i="8"/>
  <c r="E44" i="8" s="1"/>
  <c r="D25" i="8"/>
  <c r="D101" i="8" s="1"/>
  <c r="D44" i="8"/>
  <c r="D26" i="8"/>
  <c r="D102" i="8" s="1"/>
  <c r="D45" i="8"/>
  <c r="D27" i="8"/>
  <c r="D103" i="8" s="1"/>
  <c r="D46" i="8"/>
  <c r="D28" i="8"/>
  <c r="D104" i="8" s="1"/>
  <c r="D47" i="8"/>
  <c r="D29" i="8"/>
  <c r="D105" i="8" s="1"/>
  <c r="D48" i="8"/>
  <c r="D30" i="8"/>
  <c r="D106" i="8" s="1"/>
  <c r="D49" i="8"/>
  <c r="D31" i="8"/>
  <c r="D107" i="8" s="1"/>
  <c r="D50" i="8"/>
  <c r="D32" i="8"/>
  <c r="D108" i="8" s="1"/>
  <c r="D51" i="8"/>
  <c r="D33" i="8"/>
  <c r="D109" i="8" s="1"/>
  <c r="D52" i="8"/>
  <c r="D34" i="8"/>
  <c r="D110" i="8" s="1"/>
  <c r="D53" i="8"/>
  <c r="D35" i="8"/>
  <c r="D111" i="8" s="1"/>
  <c r="D54" i="8"/>
  <c r="B30" i="16"/>
  <c r="D30"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9" i="15"/>
  <c r="F29" i="15" s="1"/>
  <c r="B30" i="15"/>
  <c r="F30" i="15" s="1"/>
  <c r="B33" i="15"/>
  <c r="F33" i="15" s="1"/>
  <c r="L33" i="15" s="1"/>
  <c r="H24" i="8"/>
  <c r="I24" i="8"/>
  <c r="H43" i="8"/>
  <c r="I43" i="8"/>
  <c r="L24" i="8"/>
  <c r="L100" i="8" s="1"/>
  <c r="M24" i="8"/>
  <c r="L43" i="8"/>
  <c r="M43" i="8"/>
  <c r="H25" i="8"/>
  <c r="H44" i="8"/>
  <c r="L25" i="8"/>
  <c r="L44" i="8"/>
  <c r="H26" i="8"/>
  <c r="H102" i="8" s="1"/>
  <c r="H45" i="8"/>
  <c r="L26" i="8"/>
  <c r="L45" i="8"/>
  <c r="H27" i="8"/>
  <c r="H103" i="8" s="1"/>
  <c r="H46" i="8"/>
  <c r="L27" i="8"/>
  <c r="L46" i="8"/>
  <c r="H28" i="8"/>
  <c r="H104" i="8" s="1"/>
  <c r="H47" i="8"/>
  <c r="L28" i="8"/>
  <c r="L47" i="8"/>
  <c r="H29" i="8"/>
  <c r="H105" i="8" s="1"/>
  <c r="H48" i="8"/>
  <c r="L29" i="8"/>
  <c r="L48" i="8"/>
  <c r="H30" i="8"/>
  <c r="H106" i="8" s="1"/>
  <c r="H49" i="8"/>
  <c r="L30" i="8"/>
  <c r="L49" i="8"/>
  <c r="H31" i="8"/>
  <c r="H107" i="8" s="1"/>
  <c r="H50" i="8"/>
  <c r="L31" i="8"/>
  <c r="L50" i="8"/>
  <c r="H32" i="8"/>
  <c r="H108" i="8" s="1"/>
  <c r="H51" i="8"/>
  <c r="L32" i="8"/>
  <c r="L51" i="8"/>
  <c r="H33" i="8"/>
  <c r="H109" i="8" s="1"/>
  <c r="H52" i="8"/>
  <c r="L33" i="8"/>
  <c r="L52" i="8"/>
  <c r="H34" i="8"/>
  <c r="H110" i="8" s="1"/>
  <c r="H53" i="8"/>
  <c r="L34" i="8"/>
  <c r="L53" i="8"/>
  <c r="H35" i="8"/>
  <c r="H111" i="8" s="1"/>
  <c r="H54" i="8"/>
  <c r="L35" i="8"/>
  <c r="L54" i="8"/>
  <c r="B29" i="17"/>
  <c r="D29" i="17" s="1"/>
  <c r="B30" i="17"/>
  <c r="D30" i="17"/>
  <c r="B31" i="17"/>
  <c r="D31" i="17" s="1"/>
  <c r="B33" i="17"/>
  <c r="D33" i="17"/>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30" i="18"/>
  <c r="D30" i="18" s="1"/>
  <c r="B31" i="18"/>
  <c r="D31" i="18" s="1"/>
  <c r="B34" i="18"/>
  <c r="D34" i="18" s="1"/>
  <c r="D56" i="8"/>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E56" i="9" s="1"/>
  <c r="F56" i="9"/>
  <c r="H56" i="9"/>
  <c r="I56" i="9" s="1"/>
  <c r="J56" i="9"/>
  <c r="L56" i="9"/>
  <c r="M56" i="9" s="1"/>
  <c r="N56" i="9"/>
  <c r="E41" i="6"/>
  <c r="G41" i="6"/>
  <c r="I41" i="6"/>
  <c r="E91" i="6"/>
  <c r="G91" i="6"/>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H37" i="12" l="1"/>
  <c r="B32" i="16"/>
  <c r="D32" i="16" s="1"/>
  <c r="B32" i="17"/>
  <c r="D32" i="17" s="1"/>
  <c r="B33" i="18"/>
  <c r="D33" i="18" s="1"/>
  <c r="B32" i="15"/>
  <c r="F32" i="15" s="1"/>
  <c r="B32" i="18"/>
  <c r="D32" i="18" s="1"/>
  <c r="B31" i="15"/>
  <c r="F31" i="15" s="1"/>
  <c r="D31" i="14"/>
  <c r="B31" i="16"/>
  <c r="D31" i="16" s="1"/>
  <c r="A7" i="5"/>
  <c r="F29" i="14"/>
  <c r="D29" i="14"/>
  <c r="B29" i="16"/>
  <c r="D29" i="16" s="1"/>
  <c r="A4" i="5"/>
  <c r="B28" i="15"/>
  <c r="F28" i="15" s="1"/>
  <c r="B28" i="17"/>
  <c r="D28" i="17" s="1"/>
  <c r="B29" i="18"/>
  <c r="D29" i="18" s="1"/>
  <c r="B28" i="16"/>
  <c r="D28" i="16" s="1"/>
  <c r="B30" i="4"/>
  <c r="D30" i="4" s="1"/>
  <c r="J30" i="4" s="1"/>
  <c r="A3" i="5"/>
  <c r="B27" i="17"/>
  <c r="D27" i="17" s="1"/>
  <c r="B27" i="16"/>
  <c r="D27" i="16" s="1"/>
  <c r="D27" i="14"/>
  <c r="B27" i="15"/>
  <c r="F27" i="15"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D31" i="15"/>
  <c r="D30" i="15"/>
  <c r="D29" i="15"/>
  <c r="D28"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F32" i="14"/>
  <c r="D30" i="14"/>
  <c r="F30" i="14"/>
  <c r="E44" i="12"/>
  <c r="F44" i="8"/>
  <c r="E45" i="8"/>
  <c r="A8" i="5"/>
  <c r="A6" i="5"/>
  <c r="B35" i="4"/>
  <c r="D35" i="4" s="1"/>
  <c r="B34" i="4"/>
  <c r="D34" i="4" s="1"/>
  <c r="B33" i="4"/>
  <c r="D33" i="4" s="1"/>
  <c r="J33" i="4" s="1"/>
  <c r="B32" i="4"/>
  <c r="D32" i="4" s="1"/>
  <c r="J32" i="4" s="1"/>
  <c r="B27" i="4"/>
  <c r="B25" i="14"/>
  <c r="D27" i="15" l="1"/>
  <c r="J32" i="16"/>
  <c r="L113" i="8"/>
  <c r="E113" i="9"/>
  <c r="D26" i="15"/>
  <c r="H25" i="16"/>
  <c r="N100" i="8"/>
  <c r="J100" i="12"/>
  <c r="I100" i="12" s="1"/>
  <c r="H113" i="8"/>
  <c r="I100" i="8"/>
  <c r="D113" i="8"/>
  <c r="F100" i="8"/>
  <c r="E100" i="8" s="1"/>
  <c r="M88" i="12"/>
  <c r="N87" i="12"/>
  <c r="P87" i="12" s="1"/>
  <c r="E89" i="12"/>
  <c r="F88" i="12"/>
  <c r="J94" i="12"/>
  <c r="M26" i="12"/>
  <c r="N26" i="12" s="1"/>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J29" i="16"/>
  <c r="H33" i="17"/>
  <c r="J26" i="16"/>
  <c r="H25" i="17"/>
  <c r="H25" i="15"/>
  <c r="J25" i="14"/>
  <c r="H25" i="14"/>
  <c r="F25" i="14"/>
  <c r="J25" i="17"/>
  <c r="J25" i="16"/>
  <c r="J25" i="15"/>
  <c r="D25" i="14"/>
  <c r="J27" i="14"/>
  <c r="L27" i="14" s="1"/>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L31" i="14" s="1"/>
  <c r="J31" i="16"/>
  <c r="J33" i="14"/>
  <c r="J33" i="16"/>
  <c r="F45" i="8"/>
  <c r="E46" i="8"/>
  <c r="F44" i="12"/>
  <c r="E45" i="12"/>
  <c r="J29" i="17"/>
  <c r="J30" i="14"/>
  <c r="L30" i="14" s="1"/>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J45" i="12" l="1"/>
  <c r="P100" i="8"/>
  <c r="M100" i="8"/>
  <c r="L32" i="15"/>
  <c r="L32" i="14"/>
  <c r="L31" i="15"/>
  <c r="L27" i="15"/>
  <c r="L29" i="14"/>
  <c r="L30" i="15"/>
  <c r="L28" i="14"/>
  <c r="L28" i="15"/>
  <c r="N102" i="8"/>
  <c r="M102" i="8" s="1"/>
  <c r="N101" i="8"/>
  <c r="I46" i="8"/>
  <c r="M27" i="12"/>
  <c r="N27"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M28" i="12" l="1"/>
  <c r="P101" i="8"/>
  <c r="M101" i="8"/>
  <c r="F102" i="12"/>
  <c r="E102" i="12" s="1"/>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F104" i="8" s="1"/>
  <c r="E104" i="8" s="1"/>
  <c r="E29" i="8"/>
  <c r="E48" i="8"/>
  <c r="F47" i="8"/>
  <c r="F46" i="12"/>
  <c r="E47" i="12"/>
  <c r="N46" i="12"/>
  <c r="M47" i="12"/>
  <c r="N28" i="12"/>
  <c r="M29" i="12"/>
  <c r="I48" i="8"/>
  <c r="J47" i="8"/>
  <c r="N104" i="8" l="1"/>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N109" i="8" s="1"/>
  <c r="M109" i="8" s="1"/>
  <c r="M34" i="8"/>
  <c r="J52" i="12"/>
  <c r="I53" i="12"/>
  <c r="J32" i="12"/>
  <c r="I33" i="12"/>
  <c r="P108" i="8" l="1"/>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R30" i="15" s="1"/>
  <c r="P29" i="15"/>
  <c r="R29" i="15" s="1"/>
  <c r="P40" i="15"/>
  <c r="P28" i="15"/>
  <c r="R28" i="15" s="1"/>
  <c r="P27" i="15"/>
  <c r="R27" i="15" s="1"/>
  <c r="P26" i="15"/>
  <c r="P38" i="15"/>
  <c r="P33" i="15"/>
  <c r="P39" i="15"/>
  <c r="P36" i="15"/>
  <c r="P37" i="15"/>
  <c r="P32" i="15"/>
  <c r="R32" i="15" s="1"/>
  <c r="P45" i="15"/>
  <c r="P31" i="15"/>
  <c r="R31" i="15" s="1"/>
  <c r="P42" i="15"/>
  <c r="P46" i="15"/>
  <c r="P25" i="15"/>
  <c r="P35" i="15"/>
  <c r="P44" i="15"/>
  <c r="P45" i="14"/>
  <c r="P35" i="14"/>
  <c r="P25" i="14"/>
  <c r="R25" i="14" s="1"/>
  <c r="F25" i="16" s="1"/>
  <c r="P37" i="12"/>
  <c r="P30" i="14"/>
  <c r="R30" i="14" s="1"/>
  <c r="P43" i="14"/>
  <c r="P37" i="14"/>
  <c r="P41" i="14"/>
  <c r="P34" i="14"/>
  <c r="P26" i="14"/>
  <c r="R26" i="14" s="1"/>
  <c r="P46" i="14"/>
  <c r="P39" i="14"/>
  <c r="P29" i="14"/>
  <c r="R29" i="14" s="1"/>
  <c r="N113" i="12"/>
  <c r="M113" i="12" s="1"/>
  <c r="F113" i="12"/>
  <c r="E113" i="12" s="1"/>
  <c r="E111" i="12"/>
  <c r="P44" i="14"/>
  <c r="P40" i="14"/>
  <c r="P36" i="14"/>
  <c r="P31" i="14"/>
  <c r="R31" i="14" s="1"/>
  <c r="P32" i="14"/>
  <c r="R32" i="14" s="1"/>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R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N45" i="17"/>
  <c r="P45" i="17" s="1"/>
  <c r="N32" i="17"/>
  <c r="P32" i="17" s="1"/>
  <c r="R32" i="17" s="1"/>
  <c r="N27" i="17"/>
  <c r="P27" i="17" s="1"/>
  <c r="R27" i="17" s="1"/>
  <c r="N33" i="17"/>
  <c r="P33" i="17" s="1"/>
  <c r="P26" i="17" l="1"/>
  <c r="R26" i="17" s="1"/>
  <c r="H27" i="18" s="1"/>
  <c r="H30" i="18"/>
  <c r="H39" i="18"/>
  <c r="H29" i="18"/>
  <c r="H41" i="18"/>
  <c r="H28" i="18"/>
  <c r="H32" i="18"/>
  <c r="H47" i="18"/>
  <c r="H42" i="18"/>
  <c r="H45" i="18"/>
  <c r="H37" i="18"/>
  <c r="H40" i="18"/>
  <c r="H44" i="18"/>
  <c r="H34" i="18"/>
  <c r="H33" i="18"/>
  <c r="H35" i="18"/>
  <c r="H31" i="18"/>
  <c r="H46" i="18"/>
  <c r="H36" i="18"/>
  <c r="H38" i="18" l="1"/>
  <c r="H43" i="18"/>
</calcChain>
</file>

<file path=xl/sharedStrings.xml><?xml version="1.0" encoding="utf-8"?>
<sst xmlns="http://schemas.openxmlformats.org/spreadsheetml/2006/main" count="814" uniqueCount="272">
  <si>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</si>
  <si>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</si>
  <si>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</si>
  <si>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</si>
  <si>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</si>
  <si>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</si>
  <si>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</si>
  <si>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</si>
  <si>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</si>
  <si>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</si>
  <si>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</si>
  <si>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</si>
  <si>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</si>
  <si>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</si>
  <si>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</si>
  <si>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</si>
  <si>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</si>
  <si>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</si>
  <si>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</si>
  <si>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</si>
  <si>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</si>
  <si>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</si>
  <si>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</si>
  <si>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</si>
  <si>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</si>
  <si>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</si>
  <si>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</si>
  <si>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</si>
  <si>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</si>
  <si>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</si>
  <si>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</si>
  <si>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</si>
  <si>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</si>
  <si>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</si>
  <si>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</si>
  <si>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</si>
  <si>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</si>
  <si>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</si>
  <si>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</si>
  <si>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</si>
  <si>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</si>
  <si>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</si>
  <si>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</si>
  <si>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</si>
  <si>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</si>
  <si>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</si>
  <si>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</si>
  <si>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</si>
  <si>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</si>
  <si>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</si>
  <si>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</si>
  <si>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</si>
  <si>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</si>
  <si>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</si>
  <si>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</si>
  <si>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</si>
  <si>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</si>
  <si>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</si>
  <si>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</si>
  <si>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</si>
  <si>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</si>
  <si>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</si>
  <si>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</si>
  <si>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</si>
  <si>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</si>
  <si>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</si>
  <si>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</si>
  <si>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</si>
  <si>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</si>
  <si>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</si>
  <si>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</si>
  <si>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</si>
  <si>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</si>
  <si>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</si>
  <si>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</si>
  <si>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</si>
  <si>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</si>
  <si>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</si>
  <si>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</si>
  <si>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</si>
  <si>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</si>
  <si>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</si>
  <si>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</si>
  <si>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</si>
  <si>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</si>
  <si>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</si>
  <si>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</si>
  <si>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</si>
  <si>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</si>
  <si>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</si>
  <si>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</si>
  <si>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</si>
  <si>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</si>
  <si>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</si>
  <si>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</si>
  <si>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</si>
  <si>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</si>
  <si>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</si>
  <si>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</si>
  <si>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</si>
  <si>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</si>
  <si>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</si>
  <si>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</si>
  <si>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</si>
  <si>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</si>
  <si>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</si>
  <si>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</si>
  <si>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</si>
  <si>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</si>
  <si>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</si>
  <si>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</si>
  <si>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</si>
  <si>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</si>
  <si>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</si>
  <si>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</si>
  <si>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</si>
  <si>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</si>
  <si>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</si>
  <si>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</si>
  <si>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</si>
  <si>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</si>
  <si>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</si>
  <si>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</si>
  <si>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</si>
  <si>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</si>
  <si>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</si>
  <si>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</si>
  <si>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</si>
  <si>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</si>
  <si>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</si>
  <si>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</si>
  <si>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</si>
  <si>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</si>
  <si>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</si>
  <si>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</si>
  <si>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</si>
  <si>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</si>
  <si>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</si>
  <si>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</si>
  <si>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</si>
  <si>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</si>
  <si>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</si>
  <si>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</si>
  <si>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</si>
  <si>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</si>
  <si>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</si>
  <si>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</si>
  <si>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</si>
  <si>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</si>
  <si>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</si>
  <si>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</si>
  <si>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</si>
  <si>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</si>
  <si>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</si>
  <si>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</si>
  <si>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</si>
  <si>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</si>
  <si>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</si>
  <si>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</si>
  <si>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</si>
  <si>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</si>
  <si>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</si>
  <si>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</si>
  <si>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</si>
  <si>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</si>
  <si>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</si>
  <si>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</si>
  <si>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</si>
  <si>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</si>
  <si>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</si>
  <si>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</si>
  <si>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</si>
  <si>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</si>
  <si>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</si>
  <si>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</si>
  <si>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</si>
  <si>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</si>
  <si>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</si>
  <si>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</si>
  <si>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</si>
  <si>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</si>
  <si>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</si>
  <si>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</si>
  <si>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</si>
  <si>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</si>
  <si>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</si>
  <si>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</si>
  <si>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</si>
  <si>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</si>
  <si>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</si>
  <si>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</si>
  <si>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</si>
  <si>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</si>
  <si>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</si>
  <si>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</si>
  <si>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</si>
  <si>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</si>
  <si>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</si>
  <si>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</si>
  <si>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</si>
  <si>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</si>
  <si>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</si>
  <si>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</si>
  <si>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</si>
  <si>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</si>
  <si>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</si>
  <si>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</si>
  <si>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</si>
  <si>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</si>
  <si>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</si>
  <si>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</si>
  <si>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</si>
  <si>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</si>
  <si>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</si>
  <si>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</si>
  <si>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</si>
  <si>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</si>
  <si>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</si>
  <si>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</si>
  <si>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</si>
  <si>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</si>
  <si>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</si>
  <si>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</si>
  <si>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</si>
  <si>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</si>
  <si>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</si>
  <si>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</si>
  <si>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</si>
  <si>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</si>
  <si>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</si>
  <si>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</si>
  <si>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</si>
  <si>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</si>
  <si>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</si>
  <si>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</si>
  <si>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</si>
  <si>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</si>
  <si>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</si>
  <si>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</si>
  <si>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</si>
  <si>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</si>
  <si>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</si>
  <si>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</si>
  <si>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</si>
  <si>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</si>
  <si>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</si>
  <si>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</si>
  <si>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</si>
  <si>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</si>
  <si>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</si>
  <si>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</si>
  <si>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</si>
  <si>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</si>
  <si>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</si>
  <si>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</si>
  <si>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</si>
  <si>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</si>
  <si>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</si>
  <si>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</si>
  <si>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</si>
  <si>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</si>
  <si>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</si>
  <si>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</si>
  <si>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</si>
  <si>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</si>
  <si>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</si>
  <si>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kWh</t>
  </si>
  <si>
    <t>EB-2013-0179</t>
  </si>
  <si>
    <t>226-234-4102</t>
  </si>
  <si>
    <t>wcurry@erthcorp.com</t>
  </si>
  <si>
    <t>Mr. Wally Curry, Consultant</t>
  </si>
  <si>
    <t>May-01-2014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</si>
</sst>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7">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28" fillId="24" borderId="0" xfId="0" applyFont="1" applyFill="1" applyBorder="1" applyAlignment="1" applyProtection="1">
      <alignment horizontal="center" wrapText="1"/>
    </xf>
    <xf numFmtId="0" fontId="45" fillId="28" borderId="0" xfId="0" applyFont="1" applyFill="1" applyAlignment="1" applyProtection="1">
      <alignment horizontal="center" vertical="center"/>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ntarioenergyboard.ca/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tabSelected="1" workbookViewId="0">
      <selection activeCell="O14" sqref="O14"/>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1"/>
      <c r="D2" s="191"/>
      <c r="E2" s="191"/>
      <c r="F2" s="191"/>
      <c r="G2" s="191"/>
      <c r="H2" s="191"/>
      <c r="I2" s="191"/>
      <c r="J2" s="191"/>
      <c r="AB2" s="102" t="s">
        <v>168</v>
      </c>
      <c r="AC2" s="2"/>
      <c r="AD2" s="2"/>
      <c r="AE2" s="2"/>
      <c r="AF2" s="101"/>
      <c r="AG2" s="101"/>
      <c r="AH2" s="101"/>
    </row>
    <row r="3" spans="3:34" ht="18" x14ac:dyDescent="0.25">
      <c r="C3" s="191"/>
      <c r="D3" s="191"/>
      <c r="E3" s="191"/>
      <c r="F3" s="191"/>
      <c r="G3" s="191"/>
      <c r="H3" s="191"/>
      <c r="I3" s="191"/>
      <c r="J3" s="191"/>
      <c r="AB3" s="102" t="s">
        <v>181</v>
      </c>
    </row>
    <row r="4" spans="3:34" ht="18" x14ac:dyDescent="0.25">
      <c r="C4" s="191"/>
      <c r="D4" s="191"/>
      <c r="E4" s="191"/>
      <c r="F4" s="191"/>
      <c r="G4" s="191"/>
      <c r="H4" s="191"/>
      <c r="I4" s="191"/>
      <c r="J4" s="191"/>
      <c r="AB4" s="102" t="s">
        <v>182</v>
      </c>
    </row>
    <row r="5" spans="3:34" ht="18" x14ac:dyDescent="0.25">
      <c r="C5" s="191"/>
      <c r="D5" s="191"/>
      <c r="E5" s="191"/>
      <c r="F5" s="191"/>
      <c r="G5" s="191"/>
      <c r="H5" s="191"/>
      <c r="I5" s="191"/>
      <c r="J5" s="191"/>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2" t="s">
        <v>26</v>
      </c>
      <c r="E15" s="193"/>
      <c r="F15" s="100"/>
      <c r="G15" s="100"/>
      <c r="H15" s="100"/>
      <c r="AB15" s="102" t="s">
        <v>5</v>
      </c>
    </row>
    <row r="16" spans="3:34" ht="16.5" thickBot="1" x14ac:dyDescent="0.3">
      <c r="AB16" s="102" t="s">
        <v>189</v>
      </c>
    </row>
    <row r="17" spans="1:33" ht="15.75" thickTop="1" x14ac:dyDescent="0.2">
      <c r="C17" s="106" t="s">
        <v>262</v>
      </c>
      <c r="D17" s="188"/>
      <c r="E17" s="189"/>
      <c r="AB17" s="102" t="s">
        <v>6</v>
      </c>
    </row>
    <row r="18" spans="1:33" ht="16.5" thickBot="1" x14ac:dyDescent="0.3">
      <c r="AB18" s="102" t="s">
        <v>191</v>
      </c>
    </row>
    <row r="19" spans="1:33" ht="16.5" thickTop="1" x14ac:dyDescent="0.25">
      <c r="C19" s="106" t="s">
        <v>190</v>
      </c>
      <c r="D19" s="161" t="s">
        <v>267</v>
      </c>
      <c r="AB19" s="102" t="s">
        <v>170</v>
      </c>
    </row>
    <row r="20" spans="1:33" ht="16.5" thickBot="1" x14ac:dyDescent="0.3">
      <c r="AB20" s="102" t="s">
        <v>7</v>
      </c>
    </row>
    <row r="21" spans="1:33" ht="16.5" thickTop="1" x14ac:dyDescent="0.2">
      <c r="C21" s="106" t="s">
        <v>192</v>
      </c>
      <c r="D21" s="188" t="s">
        <v>270</v>
      </c>
      <c r="E21" s="190"/>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268</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8" t="s">
        <v>269</v>
      </c>
      <c r="E25" s="189"/>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61" t="s">
        <v>271</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2013</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paperSize="5" scale="7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J65" sqref="J6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5.7000000000000002E-3</v>
      </c>
      <c r="G25" s="57"/>
      <c r="H25" s="64">
        <f>VLOOKUP('9. Adj Network to Current WS'!$B25, '4. RRR Data'!$B$27:$M$49,11,0)</f>
        <v>26184932.7885</v>
      </c>
      <c r="I25" s="71"/>
      <c r="J25" s="64">
        <f>VLOOKUP('9. Adj Network to Current WS'!$B25, '4. RRR Data'!$B$27:$M$49,12,0)</f>
        <v>0</v>
      </c>
      <c r="K25" s="58"/>
      <c r="L25" s="60">
        <f t="shared" ref="L25:L46" si="0">IF(F25="", "", IF(D25="kWh", F25*H25, F25*J25))</f>
        <v>149254.11689445001</v>
      </c>
      <c r="M25" s="55"/>
      <c r="N25" s="61">
        <f t="shared" ref="N25:N46" si="1">IF(ISERROR(L25/$L$49), "", L25/$L$49)</f>
        <v>0.19087799515869441</v>
      </c>
      <c r="O25" s="13"/>
      <c r="P25" s="62">
        <f>IF(ISERROR('7. Current Wholesale'!$P$117*N25), "", '7. Current Wholesale'!$P$117*N25)</f>
        <v>135569.56903750144</v>
      </c>
      <c r="R25" s="165">
        <f t="shared" ref="R25:R46" si="2">IF(D25="","",IF(D25="kWh",IF(H25&lt;&gt;0,P25/H25,),IF(J25&lt;&gt;0,P25/J25,0)))</f>
        <v>5.1773884673494905E-3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5.0000000000000001E-3</v>
      </c>
      <c r="G26" s="57"/>
      <c r="H26" s="64">
        <f>VLOOKUP('9. Adj Network to Current WS'!$B26, '4. RRR Data'!$B$27:$M$49,11,0)</f>
        <v>15022825.5987</v>
      </c>
      <c r="I26" s="71"/>
      <c r="J26" s="64">
        <f>VLOOKUP('9. Adj Network to Current WS'!$B26, '4. RRR Data'!$B$27:$M$49,12,0)</f>
        <v>0</v>
      </c>
      <c r="K26" s="59"/>
      <c r="L26" s="60">
        <f t="shared" si="0"/>
        <v>75114.127993500006</v>
      </c>
      <c r="M26" s="55"/>
      <c r="N26" s="61">
        <f t="shared" si="1"/>
        <v>9.6061900722190327E-2</v>
      </c>
      <c r="P26" s="62">
        <f>IF(ISERROR('7. Current Wholesale'!$P$117*N26), "", '7. Current Wholesale'!$P$117*N26)</f>
        <v>68227.196492729898</v>
      </c>
      <c r="R26" s="165">
        <f t="shared" si="2"/>
        <v>4.5415688310083248E-3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69">
        <f>IF(ISERROR(VLOOKUP($B27,'3. Rate Classes'!$C$24:$N$45, 11,0)), "", VLOOKUP($B27,'3. Rate Classes'!$C$24:$N$45, 11,0))</f>
        <v>2.0078</v>
      </c>
      <c r="G27" s="57"/>
      <c r="H27" s="64">
        <f>VLOOKUP('9. Adj Network to Current WS'!$B27, '4. RRR Data'!$B$27:$M$49,11,0)</f>
        <v>21134564</v>
      </c>
      <c r="I27" s="71"/>
      <c r="J27" s="64">
        <f>VLOOKUP('9. Adj Network to Current WS'!$B27, '4. RRR Data'!$B$27:$M$49,12,0)</f>
        <v>66361</v>
      </c>
      <c r="K27" s="59"/>
      <c r="L27" s="60">
        <f t="shared" si="0"/>
        <v>133239.6158</v>
      </c>
      <c r="M27" s="55"/>
      <c r="N27" s="61">
        <f t="shared" si="1"/>
        <v>0.17039738178615299</v>
      </c>
      <c r="P27" s="62">
        <f>IF(ISERROR('7. Current Wholesale'!$P$117*N27), "", '7. Current Wholesale'!$P$117*N27)</f>
        <v>121023.37723456087</v>
      </c>
      <c r="R27" s="165">
        <f t="shared" si="2"/>
        <v>1.823712379779703</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69">
        <f>IF(ISERROR(VLOOKUP($B28,'3. Rate Classes'!$C$24:$N$45, 11,0)), "", VLOOKUP($B28,'3. Rate Classes'!$C$24:$N$45, 11,0))</f>
        <v>2.2012</v>
      </c>
      <c r="G28" s="57"/>
      <c r="H28" s="64">
        <f>VLOOKUP('9. Adj Network to Current WS'!$B28, '4. RRR Data'!$B$27:$M$49,11,0)</f>
        <v>14360826</v>
      </c>
      <c r="I28" s="71"/>
      <c r="J28" s="64">
        <f>VLOOKUP('9. Adj Network to Current WS'!$B28, '4. RRR Data'!$B$27:$M$49,12,0)</f>
        <v>31229</v>
      </c>
      <c r="K28" s="59"/>
      <c r="L28" s="60">
        <f t="shared" si="0"/>
        <v>68741.274799999999</v>
      </c>
      <c r="M28" s="55"/>
      <c r="N28" s="61">
        <f t="shared" si="1"/>
        <v>8.7911790920688446E-2</v>
      </c>
      <c r="P28" s="62">
        <f>IF(ISERROR('7. Current Wholesale'!$P$117*N28), "", '7. Current Wholesale'!$P$117*N28)</f>
        <v>62438.646207091602</v>
      </c>
      <c r="R28" s="165">
        <f t="shared" si="2"/>
        <v>1.9993802621631049</v>
      </c>
    </row>
    <row r="29" spans="2:18" ht="25.5" customHeight="1" thickBot="1" x14ac:dyDescent="0.25">
      <c r="B29" s="15" t="str">
        <f>IF('3. Rate Classes'!Q28=1,'3. Rate Classes'!C28, 0)</f>
        <v>Large Use</v>
      </c>
      <c r="C29" s="8"/>
      <c r="D29" s="16" t="str">
        <f>IF(ISERROR(VLOOKUP($B29, '3. Rate Classes'!$C$24:$H$45,6,0)), "", VLOOKUP($B29, '3. Rate Classes'!$C$24:$H$45,6,0))</f>
        <v>kW</v>
      </c>
      <c r="F29" s="69">
        <f>IF(ISERROR(VLOOKUP($B29,'3. Rate Classes'!$C$24:$N$45, 11,0)), "", VLOOKUP($B29,'3. Rate Classes'!$C$24:$N$45, 11,0))</f>
        <v>2.5169000000000001</v>
      </c>
      <c r="G29" s="57"/>
      <c r="H29" s="64">
        <f>VLOOKUP('9. Adj Network to Current WS'!$B29, '4. RRR Data'!$B$27:$M$49,11,0)</f>
        <v>62587915</v>
      </c>
      <c r="I29" s="71"/>
      <c r="J29" s="64">
        <f>VLOOKUP('9. Adj Network to Current WS'!$B29, '4. RRR Data'!$B$27:$M$49,12,0)</f>
        <v>139356</v>
      </c>
      <c r="K29" s="59"/>
      <c r="L29" s="60">
        <f t="shared" si="0"/>
        <v>350745.1164</v>
      </c>
      <c r="M29" s="55"/>
      <c r="N29" s="61">
        <f t="shared" si="1"/>
        <v>0.44856065630323938</v>
      </c>
      <c r="P29" s="62">
        <f>IF(ISERROR('7. Current Wholesale'!$P$117*N29), "", '7. Current Wholesale'!$P$117*N29)</f>
        <v>318586.61765412532</v>
      </c>
      <c r="R29" s="165">
        <f t="shared" si="2"/>
        <v>2.2861349181529702</v>
      </c>
    </row>
    <row r="30" spans="2:18" ht="25.5" customHeight="1" thickBot="1" x14ac:dyDescent="0.25">
      <c r="B30" s="15" t="str">
        <f>IF('3. Rate Classes'!Q29=1,'3. Rate Classes'!C29, 0)</f>
        <v>Street Lighting</v>
      </c>
      <c r="C30" s="8"/>
      <c r="D30" s="16" t="str">
        <f>IF(ISERROR(VLOOKUP($B30, '3. Rate Classes'!$C$24:$H$45,6,0)), "", VLOOKUP($B30, '3. Rate Classes'!$C$24:$H$45,6,0))</f>
        <v>kW</v>
      </c>
      <c r="F30" s="69">
        <f>IF(ISERROR(VLOOKUP($B30,'3. Rate Classes'!$C$24:$N$45, 11,0)), "", VLOOKUP($B30,'3. Rate Classes'!$C$24:$N$45, 11,0))</f>
        <v>1.5845</v>
      </c>
      <c r="G30" s="57"/>
      <c r="H30" s="64">
        <f>VLOOKUP('9. Adj Network to Current WS'!$B30, '4. RRR Data'!$B$27:$M$49,11,0)</f>
        <v>1031789</v>
      </c>
      <c r="I30" s="71"/>
      <c r="J30" s="64">
        <f>VLOOKUP('9. Adj Network to Current WS'!$B30, '4. RRR Data'!$B$27:$M$49,12,0)</f>
        <v>2774</v>
      </c>
      <c r="K30" s="59"/>
      <c r="L30" s="60">
        <f t="shared" si="0"/>
        <v>4395.4030000000002</v>
      </c>
      <c r="M30" s="55"/>
      <c r="N30" s="61">
        <f t="shared" si="1"/>
        <v>5.6211897534982399E-3</v>
      </c>
      <c r="P30" s="62">
        <f>IF(ISERROR('7. Current Wholesale'!$P$117*N30), "", '7. Current Wholesale'!$P$117*N30)</f>
        <v>3992.4050529040969</v>
      </c>
      <c r="R30" s="165">
        <f t="shared" si="2"/>
        <v>1.4392231625465381</v>
      </c>
    </row>
    <row r="31" spans="2:18" ht="25.5" customHeight="1" thickBot="1" x14ac:dyDescent="0.25">
      <c r="B31" s="15" t="str">
        <f>IF('3. Rate Classes'!Q30=1,'3. Rate Classes'!C30, 0)</f>
        <v>Sentinel Lighting</v>
      </c>
      <c r="C31" s="8"/>
      <c r="D31" s="16" t="str">
        <f>IF(ISERROR(VLOOKUP($B31, '3. Rate Classes'!$C$24:$H$45,6,0)), "", VLOOKUP($B31, '3. Rate Classes'!$C$24:$H$45,6,0))</f>
        <v>kW</v>
      </c>
      <c r="F31" s="69">
        <f>IF(ISERROR(VLOOKUP($B31,'3. Rate Classes'!$C$24:$N$45, 11,0)), "", VLOOKUP($B31,'3. Rate Classes'!$C$24:$N$45, 11,0))</f>
        <v>1.5845</v>
      </c>
      <c r="G31" s="57"/>
      <c r="H31" s="64">
        <f>VLOOKUP('9. Adj Network to Current WS'!$B31, '4. RRR Data'!$B$27:$M$49,11,0)</f>
        <v>15224</v>
      </c>
      <c r="I31" s="71"/>
      <c r="J31" s="64">
        <f>VLOOKUP('9. Adj Network to Current WS'!$B31, '4. RRR Data'!$B$27:$M$49,12,0)</f>
        <v>1</v>
      </c>
      <c r="K31" s="59"/>
      <c r="L31" s="60">
        <f t="shared" si="0"/>
        <v>1.5845</v>
      </c>
      <c r="M31" s="55"/>
      <c r="N31" s="61">
        <f t="shared" si="1"/>
        <v>2.026384193762884E-6</v>
      </c>
      <c r="P31" s="62">
        <f>IF(ISERROR('7. Current Wholesale'!$P$117*N31), "", '7. Current Wholesale'!$P$117*N31)</f>
        <v>1.4392231625465381</v>
      </c>
      <c r="R31" s="165">
        <f t="shared" si="2"/>
        <v>1.4392231625465381</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IF(ISERROR(VLOOKUP($B32,'3. Rate Classes'!$C$24:$N$45, 11,0)), "", VLOOKUP($B32,'3. Rate Classes'!$C$24:$N$45, 11,0))</f>
        <v>5.0000000000000001E-3</v>
      </c>
      <c r="G32" s="57"/>
      <c r="H32" s="64">
        <f>VLOOKUP('9. Adj Network to Current WS'!$B32, '4. RRR Data'!$B$27:$M$49,11,0)</f>
        <v>88680.610799999995</v>
      </c>
      <c r="I32" s="71"/>
      <c r="J32" s="64">
        <f>VLOOKUP('9. Adj Network to Current WS'!$B32, '4. RRR Data'!$B$27:$M$49,12,0)</f>
        <v>0</v>
      </c>
      <c r="K32" s="59"/>
      <c r="L32" s="60">
        <f t="shared" si="0"/>
        <v>443.403054</v>
      </c>
      <c r="M32" s="55"/>
      <c r="N32" s="61">
        <f t="shared" si="1"/>
        <v>5.6705897134224704E-4</v>
      </c>
      <c r="P32" s="62">
        <f>IF(ISERROR('7. Current Wholesale'!$P$117*N32), "", '7. Current Wholesale'!$P$117*N32)</f>
        <v>402.74909792406021</v>
      </c>
      <c r="R32" s="165">
        <f t="shared" si="2"/>
        <v>4.5415688310083248E-3</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781934.64244195016</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5" right="0.75" top="1" bottom="1" header="0.5" footer="0.5"/>
  <pageSetup scale="6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6.610892373932681E-3</v>
      </c>
      <c r="G25" s="65"/>
      <c r="H25" s="179">
        <f>VLOOKUP('9. Adj Network to Current WS'!$B25, '4. RRR Data'!$B$27:$M$49,11,0)</f>
        <v>26184932.7885</v>
      </c>
      <c r="I25" s="71"/>
      <c r="J25" s="64">
        <f>VLOOKUP('9. Adj Network to Current WS'!$B25, '4. RRR Data'!$B$27:$M$49,12,0)</f>
        <v>0</v>
      </c>
      <c r="K25" s="58"/>
      <c r="L25" s="164">
        <f>IF(F25="", "", IF(D25="kWh", F25*H25, F25*J25))</f>
        <v>173105.77248343447</v>
      </c>
      <c r="M25" s="55"/>
      <c r="N25" s="61">
        <f t="shared" ref="N25:N46" si="0">IF(ISERROR(L25/$L$49), "", L25/$L$49)</f>
        <v>0.19059539905215089</v>
      </c>
      <c r="O25" s="13"/>
      <c r="P25" s="62">
        <f>IF(ISERROR('8. Forecast Wholesale'!$F$113*N25), "", '8. Forecast Wholesale'!$F$113*N25)</f>
        <v>182166.40520295309</v>
      </c>
      <c r="R25" s="165">
        <f t="shared" ref="R25:R46" si="1">IF(D25="","",IF(D25="kWh",IF(H25&lt;&gt;0,P25/H25,),IF(J25&lt;&gt;0,P25/J25,0)))</f>
        <v>6.9569170436426572E-3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5">
        <f>VLOOKUP($B26, '9. Adj Network to Current WS'!$B$25:$R$47, 17,0)</f>
        <v>6.0675313568971188E-3</v>
      </c>
      <c r="G26" s="65"/>
      <c r="H26" s="179">
        <f>VLOOKUP('9. Adj Network to Current WS'!$B26, '4. RRR Data'!$B$27:$M$49,11,0)</f>
        <v>15022825.5987</v>
      </c>
      <c r="I26" s="71"/>
      <c r="J26" s="64">
        <f>VLOOKUP('9. Adj Network to Current WS'!$B26, '4. RRR Data'!$B$27:$M$49,12,0)</f>
        <v>0</v>
      </c>
      <c r="K26" s="59"/>
      <c r="L26" s="60">
        <f t="shared" ref="L26:L46" si="2">IF(F26="", "", IF(D26="kWh", F26*H26, F26*J26))</f>
        <v>91151.465389308985</v>
      </c>
      <c r="M26" s="55"/>
      <c r="N26" s="61">
        <f t="shared" si="0"/>
        <v>0.10036089305875803</v>
      </c>
      <c r="P26" s="62">
        <f>IF(ISERROR('8. Forecast Wholesale'!$F$113*N26), "", '8. Forecast Wholesale'!$F$113*N26)</f>
        <v>95922.478729245267</v>
      </c>
      <c r="R26" s="165">
        <f t="shared" si="1"/>
        <v>6.3851156427953155E-3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185">
        <f>VLOOKUP($B27, '9. Adj Network to Current WS'!$B$25:$R$47, 17,0)</f>
        <v>2.4232995758091045</v>
      </c>
      <c r="G27" s="65"/>
      <c r="H27" s="179">
        <f>VLOOKUP('9. Adj Network to Current WS'!$B27, '4. RRR Data'!$B$27:$M$49,11,0)</f>
        <v>21134564</v>
      </c>
      <c r="I27" s="71"/>
      <c r="J27" s="64">
        <f>VLOOKUP('9. Adj Network to Current WS'!$B27, '4. RRR Data'!$B$27:$M$49,12,0)</f>
        <v>66361</v>
      </c>
      <c r="K27" s="59"/>
      <c r="L27" s="60">
        <f t="shared" si="2"/>
        <v>160812.58315026798</v>
      </c>
      <c r="M27" s="55"/>
      <c r="N27" s="61">
        <f t="shared" si="0"/>
        <v>0.17706017551243483</v>
      </c>
      <c r="P27" s="62">
        <f>IF(ISERROR('8. Forecast Wholesale'!$F$113*N27), "", '8. Forecast Wholesale'!$F$113*N27)</f>
        <v>169229.77069807812</v>
      </c>
      <c r="R27" s="165">
        <f t="shared" si="1"/>
        <v>2.5501389475456686</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185">
        <f>VLOOKUP($B28, '9. Adj Network to Current WS'!$B$25:$R$47, 17,0)</f>
        <v>2.5738105775279552</v>
      </c>
      <c r="G28" s="65"/>
      <c r="H28" s="179">
        <f>VLOOKUP('9. Adj Network to Current WS'!$B28, '4. RRR Data'!$B$27:$M$49,11,0)</f>
        <v>14360826</v>
      </c>
      <c r="I28" s="71"/>
      <c r="J28" s="64">
        <f>VLOOKUP('9. Adj Network to Current WS'!$B28, '4. RRR Data'!$B$27:$M$49,12,0)</f>
        <v>31229</v>
      </c>
      <c r="K28" s="59"/>
      <c r="L28" s="60">
        <f t="shared" si="2"/>
        <v>80377.530525620517</v>
      </c>
      <c r="M28" s="55"/>
      <c r="N28" s="61">
        <f t="shared" si="0"/>
        <v>8.8498420853198895E-2</v>
      </c>
      <c r="P28" s="62">
        <f>IF(ISERROR('8. Forecast Wholesale'!$F$113*N28), "", '8. Forecast Wholesale'!$F$113*N28)</f>
        <v>84584.618900239759</v>
      </c>
      <c r="R28" s="165">
        <f t="shared" si="1"/>
        <v>2.7085279355803822</v>
      </c>
    </row>
    <row r="29" spans="2:18" ht="25.5" customHeight="1" thickBot="1" x14ac:dyDescent="0.25">
      <c r="B29" s="15" t="str">
        <f>IF('3. Rate Classes'!Q28=1,'3. Rate Classes'!C28, 0)</f>
        <v>Large Use</v>
      </c>
      <c r="C29" s="8"/>
      <c r="D29" s="16" t="str">
        <f>IF(ISERROR(VLOOKUP($B29, '3. Rate Classes'!$C$24:$H$45,6,0)), "", VLOOKUP($B29, '3. Rate Classes'!$C$24:$H$45,6,0))</f>
        <v>kW</v>
      </c>
      <c r="F29" s="185">
        <f>VLOOKUP($B29, '9. Adj Network to Current WS'!$B$25:$R$47, 17,0)</f>
        <v>2.8501096546905393</v>
      </c>
      <c r="G29" s="65"/>
      <c r="H29" s="179">
        <f>VLOOKUP('9. Adj Network to Current WS'!$B29, '4. RRR Data'!$B$27:$M$49,11,0)</f>
        <v>62587915</v>
      </c>
      <c r="I29" s="71"/>
      <c r="J29" s="64">
        <f>VLOOKUP('9. Adj Network to Current WS'!$B29, '4. RRR Data'!$B$27:$M$49,12,0)</f>
        <v>139356</v>
      </c>
      <c r="K29" s="59"/>
      <c r="L29" s="60">
        <f t="shared" si="2"/>
        <v>397179.88103905477</v>
      </c>
      <c r="M29" s="55"/>
      <c r="N29" s="61">
        <f t="shared" si="0"/>
        <v>0.4373086861061708</v>
      </c>
      <c r="P29" s="62">
        <f>IF(ISERROR('8. Forecast Wholesale'!$F$113*N29), "", '8. Forecast Wholesale'!$F$113*N29)</f>
        <v>417968.91062512097</v>
      </c>
      <c r="R29" s="165">
        <f t="shared" si="1"/>
        <v>2.9992889479112557</v>
      </c>
    </row>
    <row r="30" spans="2:18" ht="25.5" customHeight="1" thickBot="1" x14ac:dyDescent="0.25">
      <c r="B30" s="15" t="str">
        <f>IF('3. Rate Classes'!Q29=1,'3. Rate Classes'!C29, 0)</f>
        <v>Street Lighting</v>
      </c>
      <c r="C30" s="8"/>
      <c r="D30" s="16" t="str">
        <f>IF(ISERROR(VLOOKUP($B30, '3. Rate Classes'!$C$24:$H$45,6,0)), "", VLOOKUP($B30, '3. Rate Classes'!$C$24:$H$45,6,0))</f>
        <v>kW</v>
      </c>
      <c r="F30" s="185">
        <f>VLOOKUP($B30, '9. Adj Network to Current WS'!$B$25:$R$47, 17,0)</f>
        <v>1.8275947807991157</v>
      </c>
      <c r="G30" s="65"/>
      <c r="H30" s="179">
        <f>VLOOKUP('9. Adj Network to Current WS'!$B30, '4. RRR Data'!$B$27:$M$49,11,0)</f>
        <v>1031789</v>
      </c>
      <c r="I30" s="71"/>
      <c r="J30" s="64">
        <f>VLOOKUP('9. Adj Network to Current WS'!$B30, '4. RRR Data'!$B$27:$M$49,12,0)</f>
        <v>2774</v>
      </c>
      <c r="K30" s="59"/>
      <c r="L30" s="60">
        <f t="shared" si="2"/>
        <v>5069.7479219367469</v>
      </c>
      <c r="M30" s="55"/>
      <c r="N30" s="61">
        <f t="shared" si="0"/>
        <v>5.581966530710668E-3</v>
      </c>
      <c r="P30" s="62">
        <f>IF(ISERROR('8. Forecast Wholesale'!$F$113*N30), "", '8. Forecast Wholesale'!$F$113*N30)</f>
        <v>5335.1066285945926</v>
      </c>
      <c r="R30" s="165">
        <f t="shared" si="1"/>
        <v>1.9232540117500334</v>
      </c>
    </row>
    <row r="31" spans="2:18" ht="25.5" customHeight="1" thickBot="1" x14ac:dyDescent="0.25">
      <c r="B31" s="15" t="str">
        <f>IF('3. Rate Classes'!Q30=1,'3. Rate Classes'!C30, 0)</f>
        <v>Sentinel Lighting</v>
      </c>
      <c r="C31" s="8"/>
      <c r="D31" s="16" t="str">
        <f>IF(ISERROR(VLOOKUP($B31, '3. Rate Classes'!$C$24:$H$45,6,0)), "", VLOOKUP($B31, '3. Rate Classes'!$C$24:$H$45,6,0))</f>
        <v>kW</v>
      </c>
      <c r="F31" s="185">
        <f>VLOOKUP($B31, '9. Adj Network to Current WS'!$B$25:$R$47, 17,0)</f>
        <v>1.8371035985972379</v>
      </c>
      <c r="G31" s="65"/>
      <c r="H31" s="179">
        <f>VLOOKUP('9. Adj Network to Current WS'!$B31, '4. RRR Data'!$B$27:$M$49,11,0)</f>
        <v>15224</v>
      </c>
      <c r="I31" s="71"/>
      <c r="J31" s="64">
        <f>VLOOKUP('9. Adj Network to Current WS'!$B31, '4. RRR Data'!$B$27:$M$49,12,0)</f>
        <v>1</v>
      </c>
      <c r="K31" s="59"/>
      <c r="L31" s="60">
        <f t="shared" si="2"/>
        <v>1.8371035985972379</v>
      </c>
      <c r="M31" s="55"/>
      <c r="N31" s="61">
        <f t="shared" si="0"/>
        <v>2.0227141385957555E-6</v>
      </c>
      <c r="P31" s="62">
        <f>IF(ISERROR('8. Forecast Wholesale'!$F$113*N31), "", '8. Forecast Wholesale'!$F$113*N31)</f>
        <v>1.9332605362648618</v>
      </c>
      <c r="R31" s="165">
        <f t="shared" si="1"/>
        <v>1.9332605362648618</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185">
        <f>VLOOKUP($B32, '9. Adj Network to Current WS'!$B$25:$R$47, 17,0)</f>
        <v>6.0675313568971196E-3</v>
      </c>
      <c r="G32" s="65"/>
      <c r="H32" s="179">
        <f>VLOOKUP('9. Adj Network to Current WS'!$B32, '4. RRR Data'!$B$27:$M$49,11,0)</f>
        <v>88680.610799999995</v>
      </c>
      <c r="I32" s="71"/>
      <c r="J32" s="64">
        <f>VLOOKUP('9. Adj Network to Current WS'!$B32, '4. RRR Data'!$B$27:$M$49,12,0)</f>
        <v>0</v>
      </c>
      <c r="K32" s="59"/>
      <c r="L32" s="60">
        <f t="shared" si="2"/>
        <v>538.07238677778935</v>
      </c>
      <c r="M32" s="55"/>
      <c r="N32" s="61">
        <f t="shared" si="0"/>
        <v>5.9243617243711537E-4</v>
      </c>
      <c r="P32" s="62">
        <f>IF(ISERROR('8. Forecast Wholesale'!$F$113*N32), "", '8. Forecast Wholesale'!$F$113*N32)</f>
        <v>566.23595523172321</v>
      </c>
      <c r="R32" s="165">
        <f t="shared" si="1"/>
        <v>6.3851156427953163E-3</v>
      </c>
    </row>
    <row r="33" spans="2:18" ht="25.5" hidden="1" customHeight="1" thickBot="1" x14ac:dyDescent="0.25">
      <c r="B33" s="15">
        <f>IF('3. Rate Classes'!Q32=1,'3. Rate Classes'!C32, 0)</f>
        <v>0</v>
      </c>
      <c r="C33" s="8"/>
      <c r="D33" s="16" t="str">
        <f>IF(ISERROR(VLOOKUP($B33, '3. Rate Classes'!$C$24:$H$45,6,0)), "", VLOOKUP($B33, '3. Rate Classes'!$C$24:$H$45,6,0))</f>
        <v/>
      </c>
      <c r="F33" s="185" t="str">
        <f>VLOOKUP($B33, '9. Adj Network to Current WS'!$B$25:$R$47, 17,0)</f>
        <v/>
      </c>
      <c r="G33" s="65"/>
      <c r="H33" s="179">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5"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5" t="str">
        <f>VLOOKUP($B34, '9. Adj Network to Current WS'!$B$25:$R$47, 17,0)</f>
        <v/>
      </c>
      <c r="G34" s="65"/>
      <c r="H34" s="179">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908236.89</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1" type="noConversion"/>
  <pageMargins left="0.75" right="0.75" top="1" bottom="1" header="0.5" footer="0.5"/>
  <pageSetup scale="6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24"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5.1773884673494905E-3</v>
      </c>
      <c r="G25" s="57"/>
      <c r="H25" s="64">
        <f>VLOOKUP('9. Adj Network to Current WS'!$B25, '4. RRR Data'!$B$27:$M$49,11,0)</f>
        <v>26184932.7885</v>
      </c>
      <c r="I25" s="71"/>
      <c r="J25" s="64">
        <f>VLOOKUP('9. Adj Network to Current WS'!$B25, '4. RRR Data'!$B$27:$M$49,12,0)</f>
        <v>0</v>
      </c>
      <c r="K25" s="58"/>
      <c r="L25" s="60">
        <f t="shared" ref="L25:L46" si="0">IF(F25="", "", IF(D25="kWh", F25*H25, F25*J25))</f>
        <v>135569.56903750144</v>
      </c>
      <c r="M25" s="55"/>
      <c r="N25" s="61">
        <f t="shared" ref="N25:N46" si="1">IF(ISERROR(L25/$L$49), "", L25/$L$49)</f>
        <v>0.19087799515869444</v>
      </c>
      <c r="O25" s="13"/>
      <c r="P25" s="62">
        <f>IF(ISERROR('8. Forecast Wholesale'!$P$117*N25), "", '8. Forecast Wholesale'!$P$117*N25)</f>
        <v>145997.99742500158</v>
      </c>
      <c r="R25" s="63">
        <f t="shared" ref="R25:R46" si="2">IF(D25="","",IF(D25="kWh",IF(H25&lt;&gt;0,P25/H25,),IF(J25&lt;&gt;0,P25/J25,0)))</f>
        <v>5.575649118684068E-3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4.5415688310083248E-3</v>
      </c>
      <c r="G26" s="57"/>
      <c r="H26" s="64">
        <f>VLOOKUP('9. Adj Network to Current WS'!$B26, '4. RRR Data'!$B$27:$M$49,11,0)</f>
        <v>15022825.5987</v>
      </c>
      <c r="I26" s="71"/>
      <c r="J26" s="64">
        <f>VLOOKUP('9. Adj Network to Current WS'!$B26, '4. RRR Data'!$B$27:$M$49,12,0)</f>
        <v>0</v>
      </c>
      <c r="K26" s="59"/>
      <c r="L26" s="60">
        <f t="shared" si="0"/>
        <v>68227.196492729898</v>
      </c>
      <c r="M26" s="55"/>
      <c r="N26" s="61">
        <f t="shared" si="1"/>
        <v>9.6061900722190341E-2</v>
      </c>
      <c r="P26" s="62">
        <f>IF(ISERROR('8. Forecast Wholesale'!$P$117*N26), "", '8. Forecast Wholesale'!$P$117*N26)</f>
        <v>73475.442376786072</v>
      </c>
      <c r="R26" s="63">
        <f t="shared" si="2"/>
        <v>4.8909202795474286E-3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69">
        <f>VLOOKUP($B27, '10. Adj Conn. to Current WS'!$B$25:$R$47, 17,0)</f>
        <v>1.823712379779703</v>
      </c>
      <c r="G27" s="57"/>
      <c r="H27" s="64">
        <f>VLOOKUP('9. Adj Network to Current WS'!$B27, '4. RRR Data'!$B$27:$M$49,11,0)</f>
        <v>21134564</v>
      </c>
      <c r="I27" s="71"/>
      <c r="J27" s="64">
        <f>VLOOKUP('9. Adj Network to Current WS'!$B27, '4. RRR Data'!$B$27:$M$49,12,0)</f>
        <v>66361</v>
      </c>
      <c r="K27" s="59"/>
      <c r="L27" s="60">
        <f t="shared" si="0"/>
        <v>121023.37723456087</v>
      </c>
      <c r="M27" s="55"/>
      <c r="N27" s="61">
        <f t="shared" si="1"/>
        <v>0.17039738178615302</v>
      </c>
      <c r="P27" s="62">
        <f>IF(ISERROR('8. Forecast Wholesale'!$P$117*N27), "", '8. Forecast Wholesale'!$P$117*N27)</f>
        <v>130332.8677910656</v>
      </c>
      <c r="R27" s="63">
        <f t="shared" si="2"/>
        <v>1.9639979474550655</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69">
        <f>VLOOKUP($B28, '10. Adj Conn. to Current WS'!$B$25:$R$47, 17,0)</f>
        <v>1.9993802621631049</v>
      </c>
      <c r="G28" s="57"/>
      <c r="H28" s="64">
        <f>VLOOKUP('9. Adj Network to Current WS'!$B28, '4. RRR Data'!$B$27:$M$49,11,0)</f>
        <v>14360826</v>
      </c>
      <c r="I28" s="71"/>
      <c r="J28" s="64">
        <f>VLOOKUP('9. Adj Network to Current WS'!$B28, '4. RRR Data'!$B$27:$M$49,12,0)</f>
        <v>31229</v>
      </c>
      <c r="K28" s="59"/>
      <c r="L28" s="60">
        <f t="shared" si="0"/>
        <v>62438.646207091602</v>
      </c>
      <c r="M28" s="55"/>
      <c r="N28" s="61">
        <f t="shared" si="1"/>
        <v>8.791179092068846E-2</v>
      </c>
      <c r="P28" s="62">
        <f>IF(ISERROR('8. Forecast Wholesale'!$P$117*N28), "", '8. Forecast Wholesale'!$P$117*N28)</f>
        <v>67241.618992252523</v>
      </c>
      <c r="R28" s="63">
        <f t="shared" si="2"/>
        <v>2.1531787438679602</v>
      </c>
    </row>
    <row r="29" spans="2:18" ht="25.5" customHeight="1" thickBot="1" x14ac:dyDescent="0.25">
      <c r="B29" s="15" t="str">
        <f>IF('3. Rate Classes'!Q28=1,'3. Rate Classes'!C28, 0)</f>
        <v>Large Use</v>
      </c>
      <c r="C29" s="8"/>
      <c r="D29" s="16" t="str">
        <f>IF(ISERROR(VLOOKUP($B29, '3. Rate Classes'!$C$24:$H$45,6,0)), "", VLOOKUP($B29, '3. Rate Classes'!$C$24:$H$45,6,0))</f>
        <v>kW</v>
      </c>
      <c r="F29" s="69">
        <f>VLOOKUP($B29, '10. Adj Conn. to Current WS'!$B$25:$R$47, 17,0)</f>
        <v>2.2861349181529702</v>
      </c>
      <c r="G29" s="57"/>
      <c r="H29" s="64">
        <f>VLOOKUP('9. Adj Network to Current WS'!$B29, '4. RRR Data'!$B$27:$M$49,11,0)</f>
        <v>62587915</v>
      </c>
      <c r="I29" s="71"/>
      <c r="J29" s="64">
        <f>VLOOKUP('9. Adj Network to Current WS'!$B29, '4. RRR Data'!$B$27:$M$49,12,0)</f>
        <v>139356</v>
      </c>
      <c r="K29" s="59"/>
      <c r="L29" s="60">
        <f t="shared" si="0"/>
        <v>318586.61765412532</v>
      </c>
      <c r="M29" s="55"/>
      <c r="N29" s="61">
        <f t="shared" si="1"/>
        <v>0.44856065630323944</v>
      </c>
      <c r="P29" s="62">
        <f>IF(ISERROR('8. Forecast Wholesale'!$P$117*N29), "", '8. Forecast Wholesale'!$P$117*N29)</f>
        <v>343093.2805505966</v>
      </c>
      <c r="R29" s="63">
        <f t="shared" si="2"/>
        <v>2.461991450318584</v>
      </c>
    </row>
    <row r="30" spans="2:18" ht="25.5" customHeight="1" thickBot="1" x14ac:dyDescent="0.25">
      <c r="B30" s="15" t="str">
        <f>IF('3. Rate Classes'!Q29=1,'3. Rate Classes'!C29, 0)</f>
        <v>Street Lighting</v>
      </c>
      <c r="C30" s="8"/>
      <c r="D30" s="16" t="str">
        <f>IF(ISERROR(VLOOKUP($B30, '3. Rate Classes'!$C$24:$H$45,6,0)), "", VLOOKUP($B30, '3. Rate Classes'!$C$24:$H$45,6,0))</f>
        <v>kW</v>
      </c>
      <c r="F30" s="69">
        <f>VLOOKUP($B30, '10. Adj Conn. to Current WS'!$B$25:$R$47, 17,0)</f>
        <v>1.4392231625465381</v>
      </c>
      <c r="G30" s="57"/>
      <c r="H30" s="64">
        <f>VLOOKUP('9. Adj Network to Current WS'!$B30, '4. RRR Data'!$B$27:$M$49,11,0)</f>
        <v>1031789</v>
      </c>
      <c r="I30" s="71"/>
      <c r="J30" s="64">
        <f>VLOOKUP('9. Adj Network to Current WS'!$B30, '4. RRR Data'!$B$27:$M$49,12,0)</f>
        <v>2774</v>
      </c>
      <c r="K30" s="59"/>
      <c r="L30" s="60">
        <f t="shared" si="0"/>
        <v>3992.4050529040969</v>
      </c>
      <c r="M30" s="55"/>
      <c r="N30" s="61">
        <f t="shared" si="1"/>
        <v>5.6211897534982408E-3</v>
      </c>
      <c r="P30" s="62">
        <f>IF(ISERROR('8. Forecast Wholesale'!$P$117*N30), "", '8. Forecast Wholesale'!$P$117*N30)</f>
        <v>4299.5131338967212</v>
      </c>
      <c r="R30" s="63">
        <f t="shared" si="2"/>
        <v>1.5499326365885802</v>
      </c>
    </row>
    <row r="31" spans="2:18" ht="25.5" customHeight="1" thickBot="1" x14ac:dyDescent="0.25">
      <c r="B31" s="15" t="str">
        <f>IF('3. Rate Classes'!Q30=1,'3. Rate Classes'!C30, 0)</f>
        <v>Sentinel Lighting</v>
      </c>
      <c r="C31" s="8"/>
      <c r="D31" s="16" t="str">
        <f>IF(ISERROR(VLOOKUP($B31, '3. Rate Classes'!$C$24:$H$45,6,0)), "", VLOOKUP($B31, '3. Rate Classes'!$C$24:$H$45,6,0))</f>
        <v>kW</v>
      </c>
      <c r="F31" s="69">
        <f>VLOOKUP($B31, '10. Adj Conn. to Current WS'!$B$25:$R$47, 17,0)</f>
        <v>1.4392231625465381</v>
      </c>
      <c r="G31" s="57"/>
      <c r="H31" s="64">
        <f>VLOOKUP('9. Adj Network to Current WS'!$B31, '4. RRR Data'!$B$27:$M$49,11,0)</f>
        <v>15224</v>
      </c>
      <c r="I31" s="71"/>
      <c r="J31" s="64">
        <f>VLOOKUP('9. Adj Network to Current WS'!$B31, '4. RRR Data'!$B$27:$M$49,12,0)</f>
        <v>1</v>
      </c>
      <c r="K31" s="59"/>
      <c r="L31" s="60">
        <f t="shared" si="0"/>
        <v>1.4392231625465381</v>
      </c>
      <c r="M31" s="55"/>
      <c r="N31" s="61">
        <f t="shared" si="1"/>
        <v>2.0263841937628844E-6</v>
      </c>
      <c r="P31" s="62">
        <f>IF(ISERROR('8. Forecast Wholesale'!$P$117*N31), "", '8. Forecast Wholesale'!$P$117*N31)</f>
        <v>1.5499326365885802</v>
      </c>
      <c r="R31" s="63">
        <f t="shared" si="2"/>
        <v>1.5499326365885802</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VLOOKUP($B32, '10. Adj Conn. to Current WS'!$B$25:$R$47, 17,0)</f>
        <v>4.5415688310083248E-3</v>
      </c>
      <c r="G32" s="57"/>
      <c r="H32" s="64">
        <f>VLOOKUP('9. Adj Network to Current WS'!$B32, '4. RRR Data'!$B$27:$M$49,11,0)</f>
        <v>88680.610799999995</v>
      </c>
      <c r="I32" s="71"/>
      <c r="J32" s="64">
        <f>VLOOKUP('9. Adj Network to Current WS'!$B32, '4. RRR Data'!$B$27:$M$49,12,0)</f>
        <v>0</v>
      </c>
      <c r="K32" s="59"/>
      <c r="L32" s="60">
        <f t="shared" si="0"/>
        <v>402.74909792406021</v>
      </c>
      <c r="M32" s="55"/>
      <c r="N32" s="61">
        <f t="shared" si="1"/>
        <v>5.6705897134224715E-4</v>
      </c>
      <c r="P32" s="62">
        <f>IF(ISERROR('8. Forecast Wholesale'!$P$117*N32), "", '8. Forecast Wholesale'!$P$117*N32)</f>
        <v>433.72979776437268</v>
      </c>
      <c r="R32" s="63">
        <f t="shared" si="2"/>
        <v>4.8909202795474286E-3</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710241.99999999988</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67"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opLeftCell="B1" workbookViewId="0">
      <pane ySplit="24" topLeftCell="A28" activePane="bottomLeft" state="frozenSplit"/>
      <selection pane="bottomLeft" activeCell="L29" sqref="L2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7" t="s">
        <v>257</v>
      </c>
      <c r="C13" s="197"/>
      <c r="D13" s="197"/>
      <c r="E13" s="197"/>
      <c r="F13" s="197"/>
      <c r="G13" s="197"/>
      <c r="H13" s="197"/>
      <c r="I13" s="197"/>
      <c r="J13" s="197"/>
      <c r="K13" s="197"/>
      <c r="L13" s="197"/>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6.9569170436426572E-3</v>
      </c>
      <c r="G26" s="57"/>
      <c r="H26" s="69">
        <f>VLOOKUP($B26, '12. Adj Conn. to Forecast WS'!$B$25:$R$48,17,0)</f>
        <v>5.575649118684068E-3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6.3851156427953155E-3</v>
      </c>
      <c r="G27" s="57"/>
      <c r="H27" s="69">
        <f>VLOOKUP($B27, '12. Adj Conn. to Forecast WS'!$B$25:$R$48,17,0)</f>
        <v>4.8909202795474286E-3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 kW</v>
      </c>
      <c r="C28" s="8"/>
      <c r="D28" s="16" t="str">
        <f>IF(ISERROR(VLOOKUP($B28, '3. Rate Classes'!$C$24:$H$45,6,0)), "", VLOOKUP($B28, '3. Rate Classes'!$C$24:$H$45,6,0))</f>
        <v>kW</v>
      </c>
      <c r="F28" s="69">
        <f>VLOOKUP($B28, '11. Adj Network to Forecast WS'!$B$25:$R$48,17,0)</f>
        <v>2.5501389475456686</v>
      </c>
      <c r="G28" s="57"/>
      <c r="H28" s="69">
        <f>VLOOKUP($B28, '12. Adj Conn. to Forecast WS'!$B$25:$R$48,17,0)</f>
        <v>1.9639979474550655</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500 to 4,999 kW</v>
      </c>
      <c r="C29" s="8"/>
      <c r="D29" s="16" t="str">
        <f>IF(ISERROR(VLOOKUP($B29, '3. Rate Classes'!$C$24:$H$45,6,0)), "", VLOOKUP($B29, '3. Rate Classes'!$C$24:$H$45,6,0))</f>
        <v>kW</v>
      </c>
      <c r="F29" s="69">
        <f>VLOOKUP($B29, '11. Adj Network to Forecast WS'!$B$25:$R$48,17,0)</f>
        <v>2.7085279355803822</v>
      </c>
      <c r="G29" s="57"/>
      <c r="H29" s="69">
        <f>VLOOKUP($B29, '12. Adj Conn. to Forecast WS'!$B$25:$R$48,17,0)</f>
        <v>2.1531787438679602</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Large Use</v>
      </c>
      <c r="C30" s="8"/>
      <c r="D30" s="16" t="str">
        <f>IF(ISERROR(VLOOKUP($B30, '3. Rate Classes'!$C$24:$H$45,6,0)), "", VLOOKUP($B30, '3. Rate Classes'!$C$24:$H$45,6,0))</f>
        <v>kW</v>
      </c>
      <c r="F30" s="69">
        <f>VLOOKUP($B30, '11. Adj Network to Forecast WS'!$B$25:$R$48,17,0)</f>
        <v>2.9992889479112557</v>
      </c>
      <c r="G30" s="57"/>
      <c r="H30" s="69">
        <f>VLOOKUP($B30, '12. Adj Conn. to Forecast WS'!$B$25:$R$48,17,0)</f>
        <v>2.461991450318584</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Street Lighting</v>
      </c>
      <c r="C31" s="8"/>
      <c r="D31" s="16" t="str">
        <f>IF(ISERROR(VLOOKUP($B31, '3. Rate Classes'!$C$24:$H$45,6,0)), "", VLOOKUP($B31, '3. Rate Classes'!$C$24:$H$45,6,0))</f>
        <v>kW</v>
      </c>
      <c r="F31" s="69">
        <f>VLOOKUP($B31, '11. Adj Network to Forecast WS'!$B$25:$R$48,17,0)</f>
        <v>1.9232540117500334</v>
      </c>
      <c r="G31" s="57"/>
      <c r="H31" s="69">
        <f>VLOOKUP($B31, '12. Adj Conn. to Forecast WS'!$B$25:$R$48,17,0)</f>
        <v>1.5499326365885802</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Sentinel Lighting</v>
      </c>
      <c r="C32" s="8"/>
      <c r="D32" s="16" t="str">
        <f>IF(ISERROR(VLOOKUP($B32, '3. Rate Classes'!$C$24:$H$45,6,0)), "", VLOOKUP($B32, '3. Rate Classes'!$C$24:$H$45,6,0))</f>
        <v>kW</v>
      </c>
      <c r="F32" s="69">
        <f>VLOOKUP($B32, '11. Adj Network to Forecast WS'!$B$25:$R$48,17,0)</f>
        <v>1.9332605362648618</v>
      </c>
      <c r="G32" s="57"/>
      <c r="H32" s="69">
        <f>VLOOKUP($B32, '12. Adj Conn. to Forecast WS'!$B$25:$R$48,17,0)</f>
        <v>1.5499326365885802</v>
      </c>
      <c r="I32" s="68"/>
      <c r="J32" s="79"/>
      <c r="K32" s="80"/>
      <c r="L32" s="81"/>
      <c r="M32" s="82"/>
      <c r="N32" s="83"/>
      <c r="O32" s="78"/>
      <c r="P32" s="81"/>
      <c r="Q32" s="78"/>
      <c r="R32" s="75"/>
      <c r="S32" s="78"/>
      <c r="T32" s="78"/>
      <c r="U32" s="85"/>
      <c r="V32" s="85"/>
      <c r="W32" s="85"/>
      <c r="X32" s="85"/>
    </row>
    <row r="33" spans="2:24" ht="25.5" customHeight="1" thickBot="1" x14ac:dyDescent="0.25">
      <c r="B33" s="15" t="str">
        <f>IF('3. Rate Classes'!Q31=1,'3. Rate Classes'!C31, 0)</f>
        <v>Unmetered Scattered Load</v>
      </c>
      <c r="C33" s="8"/>
      <c r="D33" s="16" t="str">
        <f>IF(ISERROR(VLOOKUP($B33, '3. Rate Classes'!$C$24:$H$45,6,0)), "", VLOOKUP($B33, '3. Rate Classes'!$C$24:$H$45,6,0))</f>
        <v>kWh</v>
      </c>
      <c r="F33" s="69">
        <f>VLOOKUP($B33, '11. Adj Network to Forecast WS'!$B$25:$R$48,17,0)</f>
        <v>6.3851156427953163E-3</v>
      </c>
      <c r="G33" s="57"/>
      <c r="H33" s="69">
        <f>VLOOKUP($B33, '12. Adj Conn. to Forecast WS'!$B$25:$R$48,17,0)</f>
        <v>4.8909202795474286E-3</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35433070866141736" right="0.35433070866141736" top="0.59055118110236227" bottom="0.59055118110236227" header="0.51181102362204722" footer="0.51181102362204722"/>
  <pageSetup scale="5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 kW</v>
      </c>
      <c r="B3" s="4">
        <v>3</v>
      </c>
    </row>
    <row r="4" spans="1:4" x14ac:dyDescent="0.2">
      <c r="A4" s="4" t="str">
        <f>IF('3. Rate Classes'!Q27=1, '3. Rate Classes'!C27, "")</f>
        <v>General Service 500 to 4,999 kW</v>
      </c>
      <c r="B4" s="4">
        <v>4</v>
      </c>
    </row>
    <row r="5" spans="1:4" x14ac:dyDescent="0.2">
      <c r="A5" s="4" t="str">
        <f>IF('3. Rate Classes'!Q28=1, '3. Rate Classes'!C28, "")</f>
        <v>Large Use</v>
      </c>
      <c r="B5" s="4">
        <v>5</v>
      </c>
    </row>
    <row r="6" spans="1:4" x14ac:dyDescent="0.2">
      <c r="A6" s="4" t="str">
        <f>IF('3. Rate Classes'!Q29=1, '3. Rate Classes'!C29, "")</f>
        <v>Street Lighting</v>
      </c>
      <c r="B6" s="4">
        <v>6</v>
      </c>
    </row>
    <row r="7" spans="1:4" x14ac:dyDescent="0.2">
      <c r="A7" s="4" t="str">
        <f>IF('3. Rate Classes'!Q30=1, '3. Rate Classes'!C30, "")</f>
        <v>Sentinel Lighting</v>
      </c>
      <c r="B7" s="4">
        <v>7</v>
      </c>
    </row>
    <row r="8" spans="1:4" x14ac:dyDescent="0.2">
      <c r="A8" s="4" t="str">
        <f>IF('3. Rate Classes'!Q31=1, '3. Rate Classes'!C31, "")</f>
        <v>Unmetered Scattered Load</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I32" sqref="I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6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M32" sqref="M32:N32"/>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7" t="s">
        <v>242</v>
      </c>
      <c r="D13" s="197"/>
      <c r="E13" s="197"/>
      <c r="F13" s="197"/>
      <c r="G13" s="197"/>
      <c r="H13" s="197"/>
      <c r="I13" s="197"/>
      <c r="J13" s="197"/>
      <c r="K13" s="197"/>
      <c r="L13" s="197"/>
      <c r="M13" s="197"/>
      <c r="N13" s="197"/>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6" t="s">
        <v>29</v>
      </c>
      <c r="D24" s="196"/>
      <c r="E24" s="196"/>
      <c r="F24" s="196"/>
      <c r="G24" s="10"/>
      <c r="H24" s="3" t="s">
        <v>266</v>
      </c>
      <c r="I24" s="14"/>
      <c r="J24" s="195">
        <v>7.3000000000000001E-3</v>
      </c>
      <c r="K24" s="195"/>
      <c r="L24" s="7"/>
      <c r="M24" s="195">
        <v>5.7000000000000002E-3</v>
      </c>
      <c r="N24" s="195"/>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6" t="s">
        <v>31</v>
      </c>
      <c r="D25" s="196"/>
      <c r="E25" s="196"/>
      <c r="F25" s="196"/>
      <c r="G25" s="10"/>
      <c r="H25" s="151" t="s">
        <v>266</v>
      </c>
      <c r="I25" s="6"/>
      <c r="J25" s="194">
        <v>6.7000000000000002E-3</v>
      </c>
      <c r="K25" s="194"/>
      <c r="L25" s="8"/>
      <c r="M25" s="194">
        <v>5.0000000000000001E-3</v>
      </c>
      <c r="N25" s="194"/>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6" t="s">
        <v>59</v>
      </c>
      <c r="D26" s="196"/>
      <c r="E26" s="196"/>
      <c r="F26" s="196"/>
      <c r="G26" s="10"/>
      <c r="H26" s="151" t="s">
        <v>113</v>
      </c>
      <c r="I26" s="6"/>
      <c r="J26" s="194">
        <v>2.6758999999999999</v>
      </c>
      <c r="K26" s="194"/>
      <c r="L26" s="8"/>
      <c r="M26" s="194">
        <v>2.0078</v>
      </c>
      <c r="N26" s="194"/>
      <c r="Q26">
        <f t="shared" si="0"/>
        <v>1</v>
      </c>
      <c r="R26" t="str">
        <f t="shared" si="1"/>
        <v>C26</v>
      </c>
      <c r="S26" t="str">
        <f t="shared" si="2"/>
        <v/>
      </c>
      <c r="AB26" t="s">
        <v>33</v>
      </c>
    </row>
    <row r="27" spans="3:28" x14ac:dyDescent="0.2">
      <c r="C27" s="196" t="s">
        <v>75</v>
      </c>
      <c r="D27" s="196"/>
      <c r="E27" s="196"/>
      <c r="F27" s="196"/>
      <c r="G27" s="10"/>
      <c r="H27" s="151" t="s">
        <v>113</v>
      </c>
      <c r="I27" s="6"/>
      <c r="J27" s="194">
        <v>2.8420999999999998</v>
      </c>
      <c r="K27" s="194"/>
      <c r="L27" s="8"/>
      <c r="M27" s="194">
        <v>2.2012</v>
      </c>
      <c r="N27" s="194"/>
      <c r="Q27">
        <f t="shared" si="0"/>
        <v>1</v>
      </c>
      <c r="R27" t="str">
        <f t="shared" si="1"/>
        <v>C27</v>
      </c>
      <c r="S27" t="str">
        <f t="shared" si="2"/>
        <v/>
      </c>
      <c r="AB27" t="s">
        <v>35</v>
      </c>
    </row>
    <row r="28" spans="3:28" x14ac:dyDescent="0.2">
      <c r="C28" s="196" t="s">
        <v>36</v>
      </c>
      <c r="D28" s="196"/>
      <c r="E28" s="196"/>
      <c r="F28" s="196"/>
      <c r="G28" s="10"/>
      <c r="H28" s="151" t="s">
        <v>113</v>
      </c>
      <c r="I28" s="6"/>
      <c r="J28" s="194">
        <v>3.1472000000000002</v>
      </c>
      <c r="K28" s="194"/>
      <c r="L28" s="8"/>
      <c r="M28" s="194">
        <v>2.5169000000000001</v>
      </c>
      <c r="N28" s="194"/>
      <c r="Q28">
        <f t="shared" si="0"/>
        <v>1</v>
      </c>
      <c r="R28" t="str">
        <f t="shared" si="1"/>
        <v>C28</v>
      </c>
      <c r="S28" t="str">
        <f t="shared" si="2"/>
        <v/>
      </c>
      <c r="AB28" t="s">
        <v>37</v>
      </c>
    </row>
    <row r="29" spans="3:28" x14ac:dyDescent="0.2">
      <c r="C29" s="196" t="s">
        <v>42</v>
      </c>
      <c r="D29" s="196"/>
      <c r="E29" s="196"/>
      <c r="F29" s="196"/>
      <c r="G29" s="10"/>
      <c r="H29" s="151" t="s">
        <v>113</v>
      </c>
      <c r="I29" s="6"/>
      <c r="J29" s="194">
        <v>2.0181</v>
      </c>
      <c r="K29" s="194"/>
      <c r="L29" s="8"/>
      <c r="M29" s="194">
        <v>1.5845</v>
      </c>
      <c r="N29" s="194"/>
      <c r="Q29">
        <f t="shared" si="0"/>
        <v>1</v>
      </c>
      <c r="R29" t="str">
        <f t="shared" si="1"/>
        <v>C29</v>
      </c>
      <c r="S29" t="str">
        <f t="shared" si="2"/>
        <v/>
      </c>
      <c r="AB29" t="s">
        <v>39</v>
      </c>
    </row>
    <row r="30" spans="3:28" x14ac:dyDescent="0.2">
      <c r="C30" s="196" t="s">
        <v>40</v>
      </c>
      <c r="D30" s="196"/>
      <c r="E30" s="196"/>
      <c r="F30" s="196"/>
      <c r="G30" s="10"/>
      <c r="H30" s="151" t="s">
        <v>113</v>
      </c>
      <c r="I30" s="6"/>
      <c r="J30" s="194">
        <v>2.0286</v>
      </c>
      <c r="K30" s="194"/>
      <c r="L30" s="8"/>
      <c r="M30" s="194">
        <v>1.5845</v>
      </c>
      <c r="N30" s="194"/>
      <c r="Q30">
        <f t="shared" si="0"/>
        <v>1</v>
      </c>
      <c r="R30" t="str">
        <f t="shared" si="1"/>
        <v>C30</v>
      </c>
      <c r="S30" t="str">
        <f t="shared" si="2"/>
        <v/>
      </c>
      <c r="AB30" t="s">
        <v>41</v>
      </c>
    </row>
    <row r="31" spans="3:28" x14ac:dyDescent="0.2">
      <c r="C31" s="196" t="s">
        <v>38</v>
      </c>
      <c r="D31" s="196"/>
      <c r="E31" s="196"/>
      <c r="F31" s="196"/>
      <c r="G31" s="10"/>
      <c r="H31" s="151" t="s">
        <v>266</v>
      </c>
      <c r="I31" s="6"/>
      <c r="J31" s="194">
        <v>6.7000000000000002E-3</v>
      </c>
      <c r="K31" s="194"/>
      <c r="L31" s="8"/>
      <c r="M31" s="194">
        <v>5.0000000000000001E-3</v>
      </c>
      <c r="N31" s="194"/>
      <c r="Q31">
        <f t="shared" si="0"/>
        <v>1</v>
      </c>
      <c r="R31" t="str">
        <f t="shared" si="1"/>
        <v>C31</v>
      </c>
      <c r="S31" t="str">
        <f t="shared" si="2"/>
        <v/>
      </c>
      <c r="AB31" t="s">
        <v>43</v>
      </c>
    </row>
    <row r="32" spans="3:28" x14ac:dyDescent="0.2">
      <c r="C32" s="196" t="s">
        <v>30</v>
      </c>
      <c r="D32" s="196"/>
      <c r="E32" s="196"/>
      <c r="F32" s="196"/>
      <c r="G32" s="10"/>
      <c r="H32" s="151"/>
      <c r="I32" s="6"/>
      <c r="J32" s="194"/>
      <c r="K32" s="194"/>
      <c r="L32" s="8"/>
      <c r="M32" s="194"/>
      <c r="N32" s="194"/>
      <c r="Q32">
        <f t="shared" si="0"/>
        <v>0</v>
      </c>
      <c r="R32" t="str">
        <f t="shared" si="1"/>
        <v>C32</v>
      </c>
      <c r="S32" t="str">
        <f t="shared" si="2"/>
        <v/>
      </c>
      <c r="AB32" t="s">
        <v>44</v>
      </c>
    </row>
    <row r="33" spans="3:28" x14ac:dyDescent="0.2">
      <c r="C33" s="196" t="s">
        <v>30</v>
      </c>
      <c r="D33" s="196"/>
      <c r="E33" s="196"/>
      <c r="F33" s="196"/>
      <c r="G33" s="10"/>
      <c r="H33" s="152"/>
      <c r="I33" s="6"/>
      <c r="J33" s="194"/>
      <c r="K33" s="194"/>
      <c r="L33" s="8"/>
      <c r="M33" s="194"/>
      <c r="N33" s="194"/>
      <c r="Q33">
        <f t="shared" si="0"/>
        <v>0</v>
      </c>
      <c r="R33" t="str">
        <f t="shared" si="1"/>
        <v>C33</v>
      </c>
      <c r="S33" t="str">
        <f t="shared" si="2"/>
        <v/>
      </c>
      <c r="AB33" t="s">
        <v>45</v>
      </c>
    </row>
    <row r="34" spans="3:28" x14ac:dyDescent="0.2">
      <c r="C34" s="196" t="s">
        <v>30</v>
      </c>
      <c r="D34" s="196"/>
      <c r="E34" s="196"/>
      <c r="F34" s="196"/>
      <c r="G34" s="10"/>
      <c r="H34" s="152"/>
      <c r="I34" s="6"/>
      <c r="J34" s="194"/>
      <c r="K34" s="194"/>
      <c r="L34" s="8"/>
      <c r="M34" s="194"/>
      <c r="N34" s="194"/>
      <c r="Q34">
        <f t="shared" si="0"/>
        <v>0</v>
      </c>
      <c r="R34" t="str">
        <f t="shared" si="1"/>
        <v>C34</v>
      </c>
      <c r="S34" t="str">
        <f t="shared" si="2"/>
        <v/>
      </c>
      <c r="AB34" t="s">
        <v>46</v>
      </c>
    </row>
    <row r="35" spans="3:28" x14ac:dyDescent="0.2">
      <c r="C35" s="196" t="s">
        <v>30</v>
      </c>
      <c r="D35" s="196"/>
      <c r="E35" s="196"/>
      <c r="F35" s="196"/>
      <c r="G35" s="10"/>
      <c r="H35" s="152"/>
      <c r="I35" s="6"/>
      <c r="J35" s="194"/>
      <c r="K35" s="194"/>
      <c r="L35" s="8"/>
      <c r="M35" s="194"/>
      <c r="N35" s="194"/>
      <c r="Q35">
        <f t="shared" si="0"/>
        <v>0</v>
      </c>
      <c r="R35" t="str">
        <f t="shared" si="1"/>
        <v>C35</v>
      </c>
      <c r="S35" t="str">
        <f t="shared" si="2"/>
        <v/>
      </c>
      <c r="AB35" t="s">
        <v>47</v>
      </c>
    </row>
    <row r="36" spans="3:28" x14ac:dyDescent="0.2">
      <c r="C36" s="196" t="s">
        <v>30</v>
      </c>
      <c r="D36" s="196"/>
      <c r="E36" s="196"/>
      <c r="F36" s="196"/>
      <c r="G36" s="10"/>
      <c r="H36" s="152"/>
      <c r="I36" s="6"/>
      <c r="J36" s="194"/>
      <c r="K36" s="194"/>
      <c r="L36" s="8"/>
      <c r="M36" s="194"/>
      <c r="N36" s="194"/>
      <c r="Q36">
        <f t="shared" si="0"/>
        <v>0</v>
      </c>
      <c r="R36" t="str">
        <f t="shared" si="1"/>
        <v>C36</v>
      </c>
      <c r="S36" t="str">
        <f t="shared" si="2"/>
        <v/>
      </c>
      <c r="AB36" t="s">
        <v>48</v>
      </c>
    </row>
    <row r="37" spans="3:28" x14ac:dyDescent="0.2">
      <c r="C37" s="196" t="s">
        <v>30</v>
      </c>
      <c r="D37" s="196"/>
      <c r="E37" s="196"/>
      <c r="F37" s="196"/>
      <c r="G37" s="10"/>
      <c r="H37" s="152"/>
      <c r="I37" s="6"/>
      <c r="J37" s="194"/>
      <c r="K37" s="194"/>
      <c r="L37" s="8"/>
      <c r="M37" s="194"/>
      <c r="N37" s="194"/>
      <c r="Q37">
        <f t="shared" si="0"/>
        <v>0</v>
      </c>
      <c r="R37" t="str">
        <f t="shared" si="1"/>
        <v>C37</v>
      </c>
      <c r="S37" t="str">
        <f t="shared" si="2"/>
        <v/>
      </c>
      <c r="AB37" t="s">
        <v>49</v>
      </c>
    </row>
    <row r="38" spans="3:28" x14ac:dyDescent="0.2">
      <c r="C38" s="196" t="s">
        <v>30</v>
      </c>
      <c r="D38" s="196"/>
      <c r="E38" s="196"/>
      <c r="F38" s="196"/>
      <c r="G38" s="10"/>
      <c r="H38" s="152"/>
      <c r="I38" s="6"/>
      <c r="J38" s="194"/>
      <c r="K38" s="194"/>
      <c r="L38" s="8"/>
      <c r="M38" s="194"/>
      <c r="N38" s="194"/>
      <c r="Q38">
        <f t="shared" si="0"/>
        <v>0</v>
      </c>
      <c r="R38" t="str">
        <f t="shared" si="1"/>
        <v>C38</v>
      </c>
      <c r="S38" t="str">
        <f t="shared" si="2"/>
        <v/>
      </c>
      <c r="AB38" t="s">
        <v>50</v>
      </c>
    </row>
    <row r="39" spans="3:28" x14ac:dyDescent="0.2">
      <c r="C39" s="196" t="s">
        <v>30</v>
      </c>
      <c r="D39" s="196"/>
      <c r="E39" s="196"/>
      <c r="F39" s="196"/>
      <c r="G39" s="10"/>
      <c r="H39" s="152"/>
      <c r="I39" s="6"/>
      <c r="J39" s="194"/>
      <c r="K39" s="194"/>
      <c r="L39" s="8"/>
      <c r="M39" s="194"/>
      <c r="N39" s="194"/>
      <c r="Q39">
        <f t="shared" si="0"/>
        <v>0</v>
      </c>
      <c r="R39" t="str">
        <f t="shared" si="1"/>
        <v>C39</v>
      </c>
      <c r="S39" t="str">
        <f t="shared" si="2"/>
        <v/>
      </c>
    </row>
    <row r="40" spans="3:28" x14ac:dyDescent="0.2">
      <c r="C40" s="196" t="s">
        <v>30</v>
      </c>
      <c r="D40" s="196"/>
      <c r="E40" s="196"/>
      <c r="F40" s="196"/>
      <c r="G40" s="10"/>
      <c r="H40" s="152"/>
      <c r="I40" s="6"/>
      <c r="J40" s="194"/>
      <c r="K40" s="194"/>
      <c r="L40" s="8"/>
      <c r="M40" s="194"/>
      <c r="N40" s="194"/>
      <c r="Q40">
        <f t="shared" si="0"/>
        <v>0</v>
      </c>
      <c r="R40" t="str">
        <f t="shared" si="1"/>
        <v>C40</v>
      </c>
      <c r="S40" t="str">
        <f t="shared" si="2"/>
        <v/>
      </c>
      <c r="AB40" t="s">
        <v>31</v>
      </c>
    </row>
    <row r="41" spans="3:28" x14ac:dyDescent="0.2">
      <c r="C41" s="196" t="s">
        <v>30</v>
      </c>
      <c r="D41" s="196"/>
      <c r="E41" s="196"/>
      <c r="F41" s="196"/>
      <c r="G41" s="10"/>
      <c r="H41" s="152"/>
      <c r="I41" s="6"/>
      <c r="J41" s="194"/>
      <c r="K41" s="194"/>
      <c r="L41" s="8"/>
      <c r="M41" s="194"/>
      <c r="N41" s="194"/>
      <c r="Q41">
        <f t="shared" si="0"/>
        <v>0</v>
      </c>
      <c r="R41" t="str">
        <f t="shared" si="1"/>
        <v>C41</v>
      </c>
      <c r="S41" t="str">
        <f t="shared" si="2"/>
        <v/>
      </c>
      <c r="AB41" t="s">
        <v>51</v>
      </c>
    </row>
    <row r="42" spans="3:28" x14ac:dyDescent="0.2">
      <c r="C42" s="196" t="s">
        <v>30</v>
      </c>
      <c r="D42" s="196"/>
      <c r="E42" s="196"/>
      <c r="F42" s="196"/>
      <c r="G42" s="10"/>
      <c r="H42" s="152"/>
      <c r="I42" s="6"/>
      <c r="J42" s="194"/>
      <c r="K42" s="194"/>
      <c r="L42" s="8"/>
      <c r="M42" s="194"/>
      <c r="N42" s="194"/>
      <c r="Q42">
        <f t="shared" si="0"/>
        <v>0</v>
      </c>
      <c r="R42" t="str">
        <f t="shared" si="1"/>
        <v>C42</v>
      </c>
      <c r="S42" t="str">
        <f t="shared" si="2"/>
        <v/>
      </c>
      <c r="AB42" t="s">
        <v>52</v>
      </c>
    </row>
    <row r="43" spans="3:28" x14ac:dyDescent="0.2">
      <c r="C43" s="196" t="s">
        <v>30</v>
      </c>
      <c r="D43" s="196"/>
      <c r="E43" s="196"/>
      <c r="F43" s="196"/>
      <c r="G43" s="10"/>
      <c r="H43" s="152"/>
      <c r="I43" s="6"/>
      <c r="J43" s="194"/>
      <c r="K43" s="194"/>
      <c r="L43" s="8"/>
      <c r="M43" s="194"/>
      <c r="N43" s="194"/>
      <c r="Q43">
        <f t="shared" si="0"/>
        <v>0</v>
      </c>
      <c r="R43" t="str">
        <f t="shared" si="1"/>
        <v>C43</v>
      </c>
      <c r="S43" t="str">
        <f t="shared" si="2"/>
        <v/>
      </c>
      <c r="AB43" t="s">
        <v>53</v>
      </c>
    </row>
    <row r="44" spans="3:28" x14ac:dyDescent="0.2">
      <c r="C44" s="196" t="s">
        <v>30</v>
      </c>
      <c r="D44" s="196"/>
      <c r="E44" s="196"/>
      <c r="F44" s="196"/>
      <c r="G44" s="10"/>
      <c r="H44" s="152"/>
      <c r="I44" s="6"/>
      <c r="J44" s="194"/>
      <c r="K44" s="194"/>
      <c r="L44" s="8"/>
      <c r="M44" s="194"/>
      <c r="N44" s="194"/>
      <c r="Q44">
        <f t="shared" si="0"/>
        <v>0</v>
      </c>
      <c r="R44" t="str">
        <f t="shared" si="1"/>
        <v>C44</v>
      </c>
      <c r="S44" t="str">
        <f t="shared" si="2"/>
        <v/>
      </c>
      <c r="AB44" t="s">
        <v>54</v>
      </c>
    </row>
    <row r="45" spans="3:28" x14ac:dyDescent="0.2">
      <c r="C45" s="196" t="s">
        <v>30</v>
      </c>
      <c r="D45" s="196"/>
      <c r="E45" s="196"/>
      <c r="F45" s="196"/>
      <c r="G45" s="10"/>
      <c r="H45" s="152"/>
      <c r="I45" s="6"/>
      <c r="J45" s="194"/>
      <c r="K45" s="194"/>
      <c r="L45" s="8"/>
      <c r="M45" s="194"/>
      <c r="N45" s="194"/>
      <c r="Q45">
        <f t="shared" si="0"/>
        <v>0</v>
      </c>
      <c r="R45" t="str">
        <f t="shared" si="1"/>
        <v>C45</v>
      </c>
      <c r="S45" t="str">
        <f t="shared" si="2"/>
        <v/>
      </c>
      <c r="AB45" t="s">
        <v>55</v>
      </c>
    </row>
    <row r="46" spans="3:28" x14ac:dyDescent="0.2">
      <c r="C46" s="198"/>
      <c r="D46" s="198"/>
      <c r="E46" s="198"/>
      <c r="F46" s="198"/>
      <c r="G46" s="10"/>
      <c r="H46" s="10"/>
      <c r="S46">
        <f>COUNTIF(S24:S45, "x")</f>
        <v>0</v>
      </c>
      <c r="AB46" t="s">
        <v>56</v>
      </c>
    </row>
    <row r="47" spans="3:28" x14ac:dyDescent="0.2">
      <c r="C47" s="198"/>
      <c r="D47" s="198"/>
      <c r="E47" s="198"/>
      <c r="F47" s="198"/>
      <c r="G47" s="10"/>
      <c r="H47" s="10"/>
      <c r="AB47" t="s">
        <v>57</v>
      </c>
    </row>
    <row r="48" spans="3:28" x14ac:dyDescent="0.2">
      <c r="C48" s="198"/>
      <c r="D48" s="198"/>
      <c r="E48" s="198"/>
      <c r="F48" s="198"/>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8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3" t="s">
        <v>241</v>
      </c>
      <c r="C13" s="203"/>
      <c r="D13" s="203"/>
      <c r="E13" s="203"/>
      <c r="F13" s="203"/>
      <c r="G13" s="203"/>
      <c r="H13" s="203"/>
      <c r="I13" s="203"/>
      <c r="J13" s="203"/>
      <c r="K13" s="203"/>
      <c r="L13" s="203"/>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2"/>
      <c r="K21" s="202"/>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2" t="s">
        <v>239</v>
      </c>
      <c r="K24" s="202"/>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25016655</v>
      </c>
      <c r="G27" s="149"/>
      <c r="H27" s="200">
        <v>1.0467</v>
      </c>
      <c r="I27" s="200"/>
      <c r="J27" s="201" t="str">
        <f t="shared" ref="J27:J32" si="0">IF(ISERROR(F27/(G27*30.4*24)), "", IF(D27="kW", F27/(G27*30.4*24), ""))</f>
        <v/>
      </c>
      <c r="K27" s="201"/>
      <c r="L27" s="97">
        <f>IF(OR(H27=0, OR(ISBLANK(H27), TRIM(H27)="")), F27, F27*H27)</f>
        <v>26184932.7885</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14352561</v>
      </c>
      <c r="G28" s="150"/>
      <c r="H28" s="200">
        <v>1.0467</v>
      </c>
      <c r="I28" s="200"/>
      <c r="J28" s="201" t="str">
        <f t="shared" si="0"/>
        <v/>
      </c>
      <c r="K28" s="201"/>
      <c r="L28" s="97">
        <f t="shared" ref="L28:L48" si="1">IF(OR(H28=0, OR(ISBLANK(H28), TRIM(H28)="")), F28, F28*H28)</f>
        <v>15022825.5987</v>
      </c>
      <c r="M28" s="97">
        <f t="shared" ref="M28:M48" si="2">IF(OR(H28=0, OR(ISBLANK(H28), TRIM(H28)="")), G28, G28)</f>
        <v>0</v>
      </c>
    </row>
    <row r="29" spans="2:14" ht="25.5" customHeight="1" thickBot="1" x14ac:dyDescent="0.25">
      <c r="B29" s="94" t="str">
        <f>IF('3. Rate Classes'!Q26=1,'3. Rate Classes'!C26, 0)</f>
        <v>General Service 50 to 499 kW</v>
      </c>
      <c r="C29" s="95"/>
      <c r="D29" s="96" t="str">
        <f>IF(OR(VLOOKUP($B29, '3. Rate Classes'!$C$24:$H$45,6,0)=0, ISERROR(VLOOKUP($B29, '3. Rate Classes'!$C$24:$H$45,6,0))), "", VLOOKUP($B29, '3. Rate Classes'!$C$24:$H$45,6,0))</f>
        <v>kW</v>
      </c>
      <c r="F29" s="150">
        <v>21134564</v>
      </c>
      <c r="G29" s="149">
        <v>66361</v>
      </c>
      <c r="H29" s="199"/>
      <c r="I29" s="199"/>
      <c r="J29" s="201">
        <f t="shared" si="0"/>
        <v>0.43651135522158574</v>
      </c>
      <c r="K29" s="201"/>
      <c r="L29" s="97">
        <f t="shared" si="1"/>
        <v>21134564</v>
      </c>
      <c r="M29" s="97">
        <f t="shared" si="2"/>
        <v>66361</v>
      </c>
    </row>
    <row r="30" spans="2:14" ht="25.5" customHeight="1" thickBot="1" x14ac:dyDescent="0.25">
      <c r="B30" s="94" t="str">
        <f>IF('3. Rate Classes'!Q27=1,'3. Rate Classes'!C27, 0)</f>
        <v>General Service 500 to 4,999 kW</v>
      </c>
      <c r="C30" s="95"/>
      <c r="D30" s="96" t="str">
        <f>IF(OR(VLOOKUP($B30, '3. Rate Classes'!$C$24:$H$45,6,0)=0, ISERROR(VLOOKUP($B30, '3. Rate Classes'!$C$24:$H$45,6,0))), "", VLOOKUP($B30, '3. Rate Classes'!$C$24:$H$45,6,0))</f>
        <v>kW</v>
      </c>
      <c r="F30" s="150">
        <v>14360826</v>
      </c>
      <c r="G30" s="150">
        <v>31229</v>
      </c>
      <c r="H30" s="199"/>
      <c r="I30" s="199"/>
      <c r="J30" s="201">
        <f t="shared" si="0"/>
        <v>0.63028434055053417</v>
      </c>
      <c r="K30" s="201"/>
      <c r="L30" s="97">
        <f t="shared" si="1"/>
        <v>14360826</v>
      </c>
      <c r="M30" s="97">
        <f t="shared" si="2"/>
        <v>31229</v>
      </c>
    </row>
    <row r="31" spans="2:14" ht="25.5" customHeight="1" thickBot="1" x14ac:dyDescent="0.25">
      <c r="B31" s="94" t="str">
        <f>IF('3. Rate Classes'!Q28=1,'3. Rate Classes'!C28, 0)</f>
        <v>Large Use</v>
      </c>
      <c r="C31" s="95"/>
      <c r="D31" s="96" t="str">
        <f>IF(OR(VLOOKUP($B31, '3. Rate Classes'!$C$24:$H$45,6,0)=0, ISERROR(VLOOKUP($B31, '3. Rate Classes'!$C$24:$H$45,6,0))), "", VLOOKUP($B31, '3. Rate Classes'!$C$24:$H$45,6,0))</f>
        <v>kW</v>
      </c>
      <c r="F31" s="150">
        <v>62587915</v>
      </c>
      <c r="G31" s="149">
        <v>139356</v>
      </c>
      <c r="H31" s="199"/>
      <c r="I31" s="199"/>
      <c r="J31" s="201">
        <f t="shared" si="0"/>
        <v>0.61557360089179658</v>
      </c>
      <c r="K31" s="201"/>
      <c r="L31" s="97">
        <f t="shared" si="1"/>
        <v>62587915</v>
      </c>
      <c r="M31" s="97">
        <f t="shared" si="2"/>
        <v>139356</v>
      </c>
    </row>
    <row r="32" spans="2:14" ht="25.5" customHeight="1" thickBot="1" x14ac:dyDescent="0.25">
      <c r="B32" s="94" t="str">
        <f>IF('3. Rate Classes'!Q29=1,'3. Rate Classes'!C29, 0)</f>
        <v>Street Lighting</v>
      </c>
      <c r="C32" s="95"/>
      <c r="D32" s="96" t="str">
        <f>IF(OR(VLOOKUP($B32, '3. Rate Classes'!$C$24:$H$45,6,0)=0, ISERROR(VLOOKUP($B32, '3. Rate Classes'!$C$24:$H$45,6,0))), "", VLOOKUP($B32, '3. Rate Classes'!$C$24:$H$45,6,0))</f>
        <v>kW</v>
      </c>
      <c r="F32" s="150">
        <v>1031789</v>
      </c>
      <c r="G32" s="150">
        <v>2774</v>
      </c>
      <c r="H32" s="199"/>
      <c r="I32" s="199"/>
      <c r="J32" s="201">
        <f t="shared" si="0"/>
        <v>0.50979974212297152</v>
      </c>
      <c r="K32" s="201"/>
      <c r="L32" s="97">
        <f t="shared" si="1"/>
        <v>1031789</v>
      </c>
      <c r="M32" s="97">
        <f t="shared" si="2"/>
        <v>2774</v>
      </c>
    </row>
    <row r="33" spans="2:13" ht="25.5" customHeight="1" thickBot="1" x14ac:dyDescent="0.25">
      <c r="B33" s="94" t="str">
        <f>IF('3. Rate Classes'!Q30=1,'3. Rate Classes'!C30, 0)</f>
        <v>Sentinel Lighting</v>
      </c>
      <c r="C33" s="95"/>
      <c r="D33" s="96" t="str">
        <f>IF(OR(VLOOKUP($B33, '3. Rate Classes'!$C$24:$H$45,6,0)=0, ISERROR(VLOOKUP($B33, '3. Rate Classes'!$C$24:$H$45,6,0))), "", VLOOKUP($B33, '3. Rate Classes'!$C$24:$H$45,6,0))</f>
        <v>kW</v>
      </c>
      <c r="F33" s="150">
        <v>15224</v>
      </c>
      <c r="G33" s="149">
        <v>1</v>
      </c>
      <c r="H33" s="199"/>
      <c r="I33" s="199"/>
      <c r="J33" s="201">
        <f t="shared" ref="J33:J48" si="3">IF(ISERROR(F33/(G33*30.4*24)), "", IF(D33="kW", F33/(G33*30.4*24), ""))</f>
        <v>20.866228070175442</v>
      </c>
      <c r="K33" s="201"/>
      <c r="L33" s="97">
        <f t="shared" si="1"/>
        <v>15224</v>
      </c>
      <c r="M33" s="97">
        <f t="shared" si="2"/>
        <v>1</v>
      </c>
    </row>
    <row r="34" spans="2:13" ht="25.5" customHeight="1" thickBot="1" x14ac:dyDescent="0.25">
      <c r="B34" s="94" t="str">
        <f>IF('3. Rate Classes'!Q31=1,'3. Rate Classes'!C31, 0)</f>
        <v>Unmetered Scattered Load</v>
      </c>
      <c r="C34" s="95"/>
      <c r="D34" s="96" t="str">
        <f>IF(OR(VLOOKUP($B34, '3. Rate Classes'!$C$24:$H$45,6,0)=0, ISERROR(VLOOKUP($B34, '3. Rate Classes'!$C$24:$H$45,6,0))), "", VLOOKUP($B34, '3. Rate Classes'!$C$24:$H$45,6,0))</f>
        <v>kWh</v>
      </c>
      <c r="F34" s="150">
        <v>84724</v>
      </c>
      <c r="G34" s="150"/>
      <c r="H34" s="200">
        <v>1.0467</v>
      </c>
      <c r="I34" s="200"/>
      <c r="J34" s="201" t="str">
        <f t="shared" si="3"/>
        <v/>
      </c>
      <c r="K34" s="201"/>
      <c r="L34" s="97">
        <f t="shared" si="1"/>
        <v>88680.610799999995</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0"/>
      <c r="G35" s="149"/>
      <c r="H35" s="199"/>
      <c r="I35" s="199"/>
      <c r="J35" s="201" t="str">
        <f t="shared" si="3"/>
        <v/>
      </c>
      <c r="K35" s="201"/>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199"/>
      <c r="I36" s="199"/>
      <c r="J36" s="201" t="str">
        <f t="shared" si="3"/>
        <v/>
      </c>
      <c r="K36" s="201"/>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199"/>
      <c r="I37" s="199"/>
      <c r="J37" s="201" t="str">
        <f t="shared" si="3"/>
        <v/>
      </c>
      <c r="K37" s="201"/>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199"/>
      <c r="I38" s="199"/>
      <c r="J38" s="201" t="str">
        <f t="shared" si="3"/>
        <v/>
      </c>
      <c r="K38" s="201"/>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199"/>
      <c r="I39" s="199"/>
      <c r="J39" s="201" t="str">
        <f t="shared" si="3"/>
        <v/>
      </c>
      <c r="K39" s="201"/>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199"/>
      <c r="I40" s="199"/>
      <c r="J40" s="201" t="str">
        <f t="shared" si="3"/>
        <v/>
      </c>
      <c r="K40" s="201"/>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199"/>
      <c r="I41" s="199"/>
      <c r="J41" s="201" t="str">
        <f t="shared" si="3"/>
        <v/>
      </c>
      <c r="K41" s="201"/>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199"/>
      <c r="I42" s="199"/>
      <c r="J42" s="201" t="str">
        <f t="shared" si="3"/>
        <v/>
      </c>
      <c r="K42" s="201"/>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199"/>
      <c r="I43" s="199"/>
      <c r="J43" s="201" t="str">
        <f t="shared" si="3"/>
        <v/>
      </c>
      <c r="K43" s="201"/>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199"/>
      <c r="I44" s="199"/>
      <c r="J44" s="201" t="str">
        <f t="shared" si="3"/>
        <v/>
      </c>
      <c r="K44" s="201"/>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199"/>
      <c r="I45" s="199"/>
      <c r="J45" s="201" t="str">
        <f t="shared" si="3"/>
        <v/>
      </c>
      <c r="K45" s="201"/>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199"/>
      <c r="I46" s="199"/>
      <c r="J46" s="201" t="str">
        <f t="shared" si="3"/>
        <v/>
      </c>
      <c r="K46" s="201"/>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199"/>
      <c r="I47" s="199"/>
      <c r="J47" s="201" t="str">
        <f t="shared" si="3"/>
        <v/>
      </c>
      <c r="K47" s="201"/>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199"/>
      <c r="I48" s="199"/>
      <c r="J48" s="201" t="str">
        <f t="shared" si="3"/>
        <v/>
      </c>
      <c r="K48" s="201"/>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zoomScale="90" zoomScaleNormal="90" workbookViewId="0">
      <pane ySplit="16" topLeftCell="A17" activePane="bottomLeft" state="frozenSplit"/>
      <selection activeCell="I48" sqref="I48"/>
      <selection pane="bottomLeft" activeCell="K37" sqref="K37"/>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4" t="s">
        <v>263</v>
      </c>
      <c r="C44" s="173" t="s">
        <v>209</v>
      </c>
      <c r="E44" s="173" t="s">
        <v>233</v>
      </c>
      <c r="G44" s="173" t="s">
        <v>234</v>
      </c>
      <c r="I44" s="173"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264</v>
      </c>
      <c r="C59" s="173" t="s">
        <v>209</v>
      </c>
      <c r="E59" s="173" t="s">
        <v>233</v>
      </c>
      <c r="G59" s="173" t="s">
        <v>234</v>
      </c>
      <c r="I59" s="173"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259</v>
      </c>
      <c r="F94" s="171"/>
      <c r="G94" s="171" t="s">
        <v>260</v>
      </c>
      <c r="H94" s="171"/>
      <c r="I94" s="171" t="s">
        <v>261</v>
      </c>
    </row>
    <row r="95" spans="2:9" ht="34.5" x14ac:dyDescent="0.3">
      <c r="B95" s="175" t="s">
        <v>265</v>
      </c>
      <c r="C95" s="33" t="s">
        <v>256</v>
      </c>
      <c r="E95" s="187"/>
      <c r="F95" s="38"/>
      <c r="G95" s="187"/>
      <c r="H95" s="38"/>
      <c r="I95" s="187"/>
    </row>
  </sheetData>
  <sheetProtection password="F8BD" sheet="1" objects="1" scenarios="1"/>
  <phoneticPr fontId="21" type="noConversion"/>
  <pageMargins left="0.35433070866141736" right="0.35433070866141736" top="0.59055118110236227" bottom="0.59055118110236227" header="0.51181102362204722" footer="0.51181102362204722"/>
  <pageSetup scale="5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topLeftCell="B1" zoomScaleNormal="100" workbookViewId="0">
      <pane ySplit="16" topLeftCell="A17" activePane="bottomLeft" state="frozenSplit"/>
      <selection activeCell="I48" sqref="I48"/>
      <selection pane="bottomLeft" activeCell="Q18" sqref="Q18"/>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5" t="s">
        <v>227</v>
      </c>
      <c r="E21" s="205"/>
      <c r="F21" s="205"/>
      <c r="G21" s="140"/>
      <c r="H21" s="205" t="s">
        <v>230</v>
      </c>
      <c r="I21" s="205"/>
      <c r="J21" s="205"/>
      <c r="K21" s="140"/>
      <c r="L21" s="205" t="s">
        <v>229</v>
      </c>
      <c r="M21" s="205"/>
      <c r="N21" s="205"/>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v>21429</v>
      </c>
      <c r="E24" s="155">
        <f t="shared" ref="E24" si="0">IF(D24&lt;&gt;0,F24/D24,0)</f>
        <v>3.5700219328946754</v>
      </c>
      <c r="F24" s="156">
        <v>76502</v>
      </c>
      <c r="G24" s="17"/>
      <c r="H24" s="154">
        <v>24028</v>
      </c>
      <c r="I24" s="155">
        <f t="shared" ref="I24" si="1">IF(H24&lt;&gt;0,J24/H24,0)</f>
        <v>0.799983352755119</v>
      </c>
      <c r="J24" s="157">
        <v>19222</v>
      </c>
      <c r="K24" s="17"/>
      <c r="L24" s="154">
        <v>24028</v>
      </c>
      <c r="M24" s="155">
        <f t="shared" ref="M24" si="2">IF(L24&lt;&gt;0,N24/L24,0)</f>
        <v>1.8983685700016648</v>
      </c>
      <c r="N24" s="156">
        <v>45614</v>
      </c>
      <c r="O24" s="17"/>
      <c r="P24" s="47">
        <f t="shared" ref="P24:P35" si="3">J24+N24</f>
        <v>64836</v>
      </c>
      <c r="Q24" s="17"/>
    </row>
    <row r="25" spans="2:17" ht="15.75" x14ac:dyDescent="0.25">
      <c r="B25" s="48" t="s">
        <v>128</v>
      </c>
      <c r="C25" s="17"/>
      <c r="D25" s="154">
        <v>21845</v>
      </c>
      <c r="E25" s="155">
        <f t="shared" ref="E25:E35" si="4">IF(D25&lt;&gt;0,F25/D25,0)</f>
        <v>3.5700160219729917</v>
      </c>
      <c r="F25" s="156">
        <v>77987</v>
      </c>
      <c r="G25" s="17"/>
      <c r="H25" s="154">
        <v>23853</v>
      </c>
      <c r="I25" s="155">
        <f t="shared" ref="I25:I35" si="5">IF(H25&lt;&gt;0,J25/H25,0)</f>
        <v>0.79998323062088628</v>
      </c>
      <c r="J25" s="157">
        <v>19082</v>
      </c>
      <c r="K25" s="17"/>
      <c r="L25" s="154">
        <v>23853</v>
      </c>
      <c r="M25" s="155">
        <f t="shared" ref="M25:M35" si="6">IF(L25&lt;&gt;0,N25/L25,0)</f>
        <v>1.8599337609525006</v>
      </c>
      <c r="N25" s="156">
        <v>44365</v>
      </c>
      <c r="O25" s="17"/>
      <c r="P25" s="47">
        <f t="shared" si="3"/>
        <v>63447</v>
      </c>
      <c r="Q25" s="17"/>
    </row>
    <row r="26" spans="2:17" ht="15.75" x14ac:dyDescent="0.25">
      <c r="B26" s="48" t="s">
        <v>129</v>
      </c>
      <c r="C26" s="17"/>
      <c r="D26" s="154">
        <v>21782</v>
      </c>
      <c r="E26" s="155">
        <f t="shared" si="4"/>
        <v>3.5700119364612983</v>
      </c>
      <c r="F26" s="156">
        <v>77762</v>
      </c>
      <c r="G26" s="17"/>
      <c r="H26" s="154">
        <v>23281</v>
      </c>
      <c r="I26" s="155">
        <f t="shared" si="5"/>
        <v>0.80000859069627595</v>
      </c>
      <c r="J26" s="157">
        <v>18625</v>
      </c>
      <c r="K26" s="17"/>
      <c r="L26" s="154">
        <v>23281</v>
      </c>
      <c r="M26" s="155">
        <f t="shared" si="6"/>
        <v>1.8600146041836692</v>
      </c>
      <c r="N26" s="156">
        <v>43303</v>
      </c>
      <c r="O26" s="17"/>
      <c r="P26" s="47">
        <f t="shared" si="3"/>
        <v>61928</v>
      </c>
      <c r="Q26" s="17"/>
    </row>
    <row r="27" spans="2:17" ht="15.75" x14ac:dyDescent="0.25">
      <c r="B27" s="48" t="s">
        <v>130</v>
      </c>
      <c r="C27" s="17"/>
      <c r="D27" s="154">
        <v>19914</v>
      </c>
      <c r="E27" s="155">
        <f t="shared" si="4"/>
        <v>3.5700010043185699</v>
      </c>
      <c r="F27" s="156">
        <v>71093</v>
      </c>
      <c r="G27" s="17"/>
      <c r="H27" s="154">
        <v>22118</v>
      </c>
      <c r="I27" s="155">
        <f t="shared" si="5"/>
        <v>0.79998191518220452</v>
      </c>
      <c r="J27" s="157">
        <v>17694</v>
      </c>
      <c r="K27" s="17"/>
      <c r="L27" s="154">
        <v>22118</v>
      </c>
      <c r="M27" s="155">
        <f t="shared" si="6"/>
        <v>1.8599330861741568</v>
      </c>
      <c r="N27" s="156">
        <v>41138</v>
      </c>
      <c r="O27" s="17"/>
      <c r="P27" s="47">
        <f t="shared" si="3"/>
        <v>58832</v>
      </c>
      <c r="Q27" s="17"/>
    </row>
    <row r="28" spans="2:17" ht="15.75" x14ac:dyDescent="0.25">
      <c r="B28" s="48" t="s">
        <v>131</v>
      </c>
      <c r="C28" s="17"/>
      <c r="D28" s="154">
        <v>19067</v>
      </c>
      <c r="E28" s="155">
        <f t="shared" si="4"/>
        <v>3.569990035139246</v>
      </c>
      <c r="F28" s="156">
        <v>68069</v>
      </c>
      <c r="G28" s="17"/>
      <c r="H28" s="154">
        <v>22390</v>
      </c>
      <c r="I28" s="155">
        <f t="shared" si="5"/>
        <v>0.8</v>
      </c>
      <c r="J28" s="157">
        <v>17912</v>
      </c>
      <c r="K28" s="17"/>
      <c r="L28" s="154">
        <v>22390</v>
      </c>
      <c r="M28" s="155">
        <f t="shared" si="6"/>
        <v>1.8599821348816437</v>
      </c>
      <c r="N28" s="156">
        <v>41645</v>
      </c>
      <c r="O28" s="17"/>
      <c r="P28" s="47">
        <f t="shared" si="3"/>
        <v>59557</v>
      </c>
      <c r="Q28" s="17"/>
    </row>
    <row r="29" spans="2:17" ht="15.75" x14ac:dyDescent="0.25">
      <c r="B29" s="48" t="s">
        <v>132</v>
      </c>
      <c r="C29" s="17"/>
      <c r="D29" s="154">
        <v>17564</v>
      </c>
      <c r="E29" s="155">
        <f t="shared" si="4"/>
        <v>3.5699726713732636</v>
      </c>
      <c r="F29" s="156">
        <v>62703</v>
      </c>
      <c r="G29" s="17"/>
      <c r="H29" s="154">
        <v>19063</v>
      </c>
      <c r="I29" s="155">
        <f t="shared" si="5"/>
        <v>0.7999790169438179</v>
      </c>
      <c r="J29" s="157">
        <v>15250</v>
      </c>
      <c r="K29" s="17"/>
      <c r="L29" s="154">
        <v>19063</v>
      </c>
      <c r="M29" s="155">
        <f t="shared" si="6"/>
        <v>1.859990557624718</v>
      </c>
      <c r="N29" s="156">
        <v>35457</v>
      </c>
      <c r="O29" s="17"/>
      <c r="P29" s="47">
        <f t="shared" si="3"/>
        <v>50707</v>
      </c>
      <c r="Q29" s="17"/>
    </row>
    <row r="30" spans="2:17" ht="15.75" x14ac:dyDescent="0.25">
      <c r="B30" s="48" t="s">
        <v>133</v>
      </c>
      <c r="C30" s="17"/>
      <c r="D30" s="154">
        <v>23995</v>
      </c>
      <c r="E30" s="155">
        <f t="shared" si="4"/>
        <v>3.5699937486976454</v>
      </c>
      <c r="F30" s="156">
        <v>85662</v>
      </c>
      <c r="G30" s="17"/>
      <c r="H30" s="154">
        <v>24638</v>
      </c>
      <c r="I30" s="155">
        <f t="shared" si="5"/>
        <v>0.79998376491598344</v>
      </c>
      <c r="J30" s="157">
        <v>19710</v>
      </c>
      <c r="K30" s="17"/>
      <c r="L30" s="154">
        <v>24638</v>
      </c>
      <c r="M30" s="155">
        <f t="shared" si="6"/>
        <v>1.8600129880672132</v>
      </c>
      <c r="N30" s="156">
        <v>45827</v>
      </c>
      <c r="O30" s="17"/>
      <c r="P30" s="47">
        <f t="shared" si="3"/>
        <v>65537</v>
      </c>
      <c r="Q30" s="17"/>
    </row>
    <row r="31" spans="2:17" ht="15.75" x14ac:dyDescent="0.25">
      <c r="B31" s="48" t="s">
        <v>134</v>
      </c>
      <c r="C31" s="17"/>
      <c r="D31" s="154">
        <v>21512</v>
      </c>
      <c r="E31" s="155">
        <f t="shared" si="4"/>
        <v>3.5700074377091857</v>
      </c>
      <c r="F31" s="156">
        <v>76798</v>
      </c>
      <c r="G31" s="17"/>
      <c r="H31" s="154">
        <v>23832</v>
      </c>
      <c r="I31" s="155">
        <f t="shared" si="5"/>
        <v>0.80001678415575694</v>
      </c>
      <c r="J31" s="157">
        <v>19066</v>
      </c>
      <c r="K31" s="17"/>
      <c r="L31" s="154">
        <v>23832</v>
      </c>
      <c r="M31" s="155">
        <f t="shared" si="6"/>
        <v>1.859978180597516</v>
      </c>
      <c r="N31" s="156">
        <v>44327</v>
      </c>
      <c r="O31" s="17"/>
      <c r="P31" s="47">
        <f t="shared" si="3"/>
        <v>63393</v>
      </c>
      <c r="Q31" s="17"/>
    </row>
    <row r="32" spans="2:17" ht="15.75" x14ac:dyDescent="0.25">
      <c r="B32" s="48" t="s">
        <v>135</v>
      </c>
      <c r="C32" s="17"/>
      <c r="D32" s="154">
        <v>18215</v>
      </c>
      <c r="E32" s="155">
        <f t="shared" si="4"/>
        <v>3.570024704913533</v>
      </c>
      <c r="F32" s="156">
        <v>65028</v>
      </c>
      <c r="G32" s="17"/>
      <c r="H32" s="154">
        <v>20763</v>
      </c>
      <c r="I32" s="155">
        <f t="shared" si="5"/>
        <v>0.79998073496122912</v>
      </c>
      <c r="J32" s="157">
        <v>16610</v>
      </c>
      <c r="K32" s="17"/>
      <c r="L32" s="154">
        <v>20763</v>
      </c>
      <c r="M32" s="155">
        <f t="shared" si="6"/>
        <v>1.8598950055386987</v>
      </c>
      <c r="N32" s="156">
        <v>38617</v>
      </c>
      <c r="O32" s="17"/>
      <c r="P32" s="47">
        <f t="shared" si="3"/>
        <v>55227</v>
      </c>
      <c r="Q32" s="17"/>
    </row>
    <row r="33" spans="2:17" ht="15.75" x14ac:dyDescent="0.25">
      <c r="B33" s="48" t="s">
        <v>136</v>
      </c>
      <c r="C33" s="17"/>
      <c r="D33" s="154">
        <v>19783</v>
      </c>
      <c r="E33" s="155">
        <f t="shared" si="4"/>
        <v>3.569984329980286</v>
      </c>
      <c r="F33" s="156">
        <v>70625</v>
      </c>
      <c r="G33" s="17"/>
      <c r="H33" s="154">
        <v>21463</v>
      </c>
      <c r="I33" s="155">
        <f t="shared" si="5"/>
        <v>0.79998136327633607</v>
      </c>
      <c r="J33" s="157">
        <v>17170</v>
      </c>
      <c r="K33" s="17"/>
      <c r="L33" s="154">
        <v>21463</v>
      </c>
      <c r="M33" s="155">
        <f t="shared" si="6"/>
        <v>1.8599916134743513</v>
      </c>
      <c r="N33" s="156">
        <v>39921</v>
      </c>
      <c r="O33" s="17"/>
      <c r="P33" s="47">
        <f t="shared" si="3"/>
        <v>57091</v>
      </c>
      <c r="Q33" s="17"/>
    </row>
    <row r="34" spans="2:17" ht="15.75" x14ac:dyDescent="0.25">
      <c r="B34" s="48" t="s">
        <v>137</v>
      </c>
      <c r="C34" s="17"/>
      <c r="D34" s="154">
        <v>23750</v>
      </c>
      <c r="E34" s="155">
        <f t="shared" si="4"/>
        <v>3.5699789473684209</v>
      </c>
      <c r="F34" s="156">
        <v>84787</v>
      </c>
      <c r="G34" s="17"/>
      <c r="H34" s="154">
        <v>23750</v>
      </c>
      <c r="I34" s="155">
        <f t="shared" si="5"/>
        <v>0.8</v>
      </c>
      <c r="J34" s="157">
        <v>19000</v>
      </c>
      <c r="K34" s="17"/>
      <c r="L34" s="154">
        <v>23750</v>
      </c>
      <c r="M34" s="155">
        <f t="shared" si="6"/>
        <v>1.86</v>
      </c>
      <c r="N34" s="156">
        <v>44175</v>
      </c>
      <c r="O34" s="17"/>
      <c r="P34" s="47">
        <f t="shared" si="3"/>
        <v>63175</v>
      </c>
      <c r="Q34" s="17"/>
    </row>
    <row r="35" spans="2:17" ht="15.75" x14ac:dyDescent="0.25">
      <c r="B35" s="48" t="s">
        <v>138</v>
      </c>
      <c r="C35" s="17"/>
      <c r="D35" s="154">
        <v>21347</v>
      </c>
      <c r="E35" s="155">
        <f t="shared" si="4"/>
        <v>3.570009837447885</v>
      </c>
      <c r="F35" s="156">
        <v>76209</v>
      </c>
      <c r="G35" s="17"/>
      <c r="H35" s="154">
        <v>23991</v>
      </c>
      <c r="I35" s="155">
        <f t="shared" si="5"/>
        <v>0.80000833645950564</v>
      </c>
      <c r="J35" s="157">
        <v>19193</v>
      </c>
      <c r="K35" s="17"/>
      <c r="L35" s="154">
        <v>23991</v>
      </c>
      <c r="M35" s="155">
        <f t="shared" si="6"/>
        <v>1.8599891626026426</v>
      </c>
      <c r="N35" s="156">
        <v>44623</v>
      </c>
      <c r="O35" s="17"/>
      <c r="P35" s="47">
        <f t="shared" si="3"/>
        <v>63816</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250203</v>
      </c>
      <c r="E37" s="51">
        <f>IF(D37&lt;&gt;0,F37/D37,0)</f>
        <v>3.5700011590588443</v>
      </c>
      <c r="F37" s="52">
        <f>SUM(F24:F35)</f>
        <v>893225</v>
      </c>
      <c r="G37" s="17"/>
      <c r="H37" s="50">
        <f>SUM(H24:H35)</f>
        <v>273170</v>
      </c>
      <c r="I37" s="51">
        <f>IF(H37&lt;&gt;0,J37/H37,0)</f>
        <v>0.79999267855181755</v>
      </c>
      <c r="J37" s="52">
        <f>SUM(J24:J35)</f>
        <v>218534</v>
      </c>
      <c r="K37" s="17"/>
      <c r="L37" s="50">
        <f>SUM(L24:L35)</f>
        <v>273170</v>
      </c>
      <c r="M37" s="51">
        <f>IF(L37&lt;&gt;0,N37/L37,0)</f>
        <v>1.8633524911227441</v>
      </c>
      <c r="N37" s="52">
        <f>SUM(N24:N35)</f>
        <v>509012</v>
      </c>
      <c r="O37" s="17"/>
      <c r="P37" s="52">
        <f>SUM(P24:P35)</f>
        <v>727546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c r="E43" s="155">
        <f t="shared" ref="E43" si="7">IF(D43&lt;&gt;0,F43/D43,0)</f>
        <v>0</v>
      </c>
      <c r="F43" s="156"/>
      <c r="G43" s="17"/>
      <c r="H43" s="154"/>
      <c r="I43" s="155">
        <f t="shared" ref="I43" si="8">IF(H43&lt;&gt;0,J43/H43,0)</f>
        <v>0</v>
      </c>
      <c r="J43" s="157"/>
      <c r="K43" s="17"/>
      <c r="L43" s="154"/>
      <c r="M43" s="155">
        <f t="shared" ref="M43" si="9">IF(L43&lt;&gt;0,N43/L43,0)</f>
        <v>0</v>
      </c>
      <c r="N43" s="156"/>
      <c r="O43" s="17"/>
      <c r="P43" s="47">
        <f t="shared" ref="P43:P54" si="10">J43+N43</f>
        <v>0</v>
      </c>
      <c r="Q43" s="17"/>
    </row>
    <row r="44" spans="2:17" ht="15.75" x14ac:dyDescent="0.25">
      <c r="B44" s="48" t="s">
        <v>128</v>
      </c>
      <c r="C44" s="17"/>
      <c r="D44" s="154"/>
      <c r="E44" s="155">
        <f t="shared" ref="E44:E54" si="11">IF(D44&lt;&gt;0,F44/D44,0)</f>
        <v>0</v>
      </c>
      <c r="F44" s="156"/>
      <c r="G44" s="17"/>
      <c r="H44" s="154"/>
      <c r="I44" s="155">
        <f t="shared" ref="I44:I54" si="12">IF(H44&lt;&gt;0,J44/H44,0)</f>
        <v>0</v>
      </c>
      <c r="J44" s="157"/>
      <c r="K44" s="17"/>
      <c r="L44" s="154"/>
      <c r="M44" s="155">
        <f t="shared" ref="M44:M54" si="13">IF(L44&lt;&gt;0,N44/L44,0)</f>
        <v>0</v>
      </c>
      <c r="N44" s="156"/>
      <c r="O44" s="17"/>
      <c r="P44" s="47">
        <f t="shared" si="10"/>
        <v>0</v>
      </c>
      <c r="Q44" s="17"/>
    </row>
    <row r="45" spans="2:17" ht="15.75" x14ac:dyDescent="0.25">
      <c r="B45" s="48" t="s">
        <v>129</v>
      </c>
      <c r="C45" s="17"/>
      <c r="D45" s="154"/>
      <c r="E45" s="155">
        <f t="shared" si="11"/>
        <v>0</v>
      </c>
      <c r="F45" s="156"/>
      <c r="G45" s="17"/>
      <c r="H45" s="154"/>
      <c r="I45" s="155">
        <f t="shared" si="12"/>
        <v>0</v>
      </c>
      <c r="J45" s="157"/>
      <c r="K45" s="17"/>
      <c r="L45" s="154"/>
      <c r="M45" s="155">
        <f t="shared" si="13"/>
        <v>0</v>
      </c>
      <c r="N45" s="156"/>
      <c r="O45" s="17"/>
      <c r="P45" s="47">
        <f t="shared" si="10"/>
        <v>0</v>
      </c>
      <c r="Q45" s="17"/>
    </row>
    <row r="46" spans="2:17" ht="15.75" x14ac:dyDescent="0.25">
      <c r="B46" s="48" t="s">
        <v>130</v>
      </c>
      <c r="C46" s="17"/>
      <c r="D46" s="154"/>
      <c r="E46" s="155">
        <f t="shared" si="11"/>
        <v>0</v>
      </c>
      <c r="F46" s="156"/>
      <c r="G46" s="17"/>
      <c r="H46" s="154"/>
      <c r="I46" s="155">
        <f t="shared" si="12"/>
        <v>0</v>
      </c>
      <c r="J46" s="157"/>
      <c r="K46" s="17"/>
      <c r="L46" s="154"/>
      <c r="M46" s="155">
        <f t="shared" si="13"/>
        <v>0</v>
      </c>
      <c r="N46" s="156"/>
      <c r="O46" s="17"/>
      <c r="P46" s="47">
        <f t="shared" si="10"/>
        <v>0</v>
      </c>
      <c r="Q46" s="17"/>
    </row>
    <row r="47" spans="2:17" ht="15.75" x14ac:dyDescent="0.25">
      <c r="B47" s="48" t="s">
        <v>131</v>
      </c>
      <c r="C47" s="17"/>
      <c r="D47" s="154"/>
      <c r="E47" s="155">
        <f t="shared" si="11"/>
        <v>0</v>
      </c>
      <c r="F47" s="156"/>
      <c r="G47" s="17"/>
      <c r="H47" s="154"/>
      <c r="I47" s="155">
        <f t="shared" si="12"/>
        <v>0</v>
      </c>
      <c r="J47" s="157"/>
      <c r="K47" s="17"/>
      <c r="L47" s="154"/>
      <c r="M47" s="155">
        <f t="shared" si="13"/>
        <v>0</v>
      </c>
      <c r="N47" s="156"/>
      <c r="O47" s="17"/>
      <c r="P47" s="47">
        <f t="shared" si="10"/>
        <v>0</v>
      </c>
      <c r="Q47" s="17"/>
    </row>
    <row r="48" spans="2:17" ht="15.75" x14ac:dyDescent="0.25">
      <c r="B48" s="48" t="s">
        <v>132</v>
      </c>
      <c r="C48" s="17"/>
      <c r="D48" s="154"/>
      <c r="E48" s="155">
        <f t="shared" si="11"/>
        <v>0</v>
      </c>
      <c r="F48" s="156"/>
      <c r="G48" s="17"/>
      <c r="H48" s="154"/>
      <c r="I48" s="155">
        <f t="shared" si="12"/>
        <v>0</v>
      </c>
      <c r="J48" s="157"/>
      <c r="K48" s="17"/>
      <c r="L48" s="154"/>
      <c r="M48" s="155">
        <f t="shared" si="13"/>
        <v>0</v>
      </c>
      <c r="N48" s="156"/>
      <c r="O48" s="17"/>
      <c r="P48" s="47">
        <f t="shared" si="10"/>
        <v>0</v>
      </c>
      <c r="Q48" s="17"/>
    </row>
    <row r="49" spans="2:17" ht="15.75" x14ac:dyDescent="0.25">
      <c r="B49" s="48" t="s">
        <v>133</v>
      </c>
      <c r="C49" s="17"/>
      <c r="D49" s="154"/>
      <c r="E49" s="155">
        <f t="shared" si="11"/>
        <v>0</v>
      </c>
      <c r="F49" s="156"/>
      <c r="G49" s="17"/>
      <c r="H49" s="154"/>
      <c r="I49" s="155">
        <f t="shared" si="12"/>
        <v>0</v>
      </c>
      <c r="J49" s="157"/>
      <c r="K49" s="17"/>
      <c r="L49" s="154"/>
      <c r="M49" s="155">
        <f t="shared" si="13"/>
        <v>0</v>
      </c>
      <c r="N49" s="156"/>
      <c r="O49" s="17"/>
      <c r="P49" s="47">
        <f t="shared" si="10"/>
        <v>0</v>
      </c>
      <c r="Q49" s="17"/>
    </row>
    <row r="50" spans="2:17" ht="15.75" x14ac:dyDescent="0.25">
      <c r="B50" s="48" t="s">
        <v>134</v>
      </c>
      <c r="C50" s="17"/>
      <c r="D50" s="154"/>
      <c r="E50" s="155">
        <f t="shared" si="11"/>
        <v>0</v>
      </c>
      <c r="F50" s="156"/>
      <c r="G50" s="17"/>
      <c r="H50" s="154"/>
      <c r="I50" s="155">
        <f t="shared" si="12"/>
        <v>0</v>
      </c>
      <c r="J50" s="157"/>
      <c r="K50" s="17"/>
      <c r="L50" s="154"/>
      <c r="M50" s="155">
        <f t="shared" si="13"/>
        <v>0</v>
      </c>
      <c r="N50" s="156"/>
      <c r="O50" s="17"/>
      <c r="P50" s="47">
        <f t="shared" si="10"/>
        <v>0</v>
      </c>
      <c r="Q50" s="17"/>
    </row>
    <row r="51" spans="2:17" ht="15.75" x14ac:dyDescent="0.25">
      <c r="B51" s="48" t="s">
        <v>135</v>
      </c>
      <c r="C51" s="17"/>
      <c r="D51" s="154"/>
      <c r="E51" s="155">
        <f t="shared" si="11"/>
        <v>0</v>
      </c>
      <c r="F51" s="156"/>
      <c r="G51" s="17"/>
      <c r="H51" s="154"/>
      <c r="I51" s="155">
        <f t="shared" si="12"/>
        <v>0</v>
      </c>
      <c r="J51" s="157"/>
      <c r="K51" s="17"/>
      <c r="L51" s="154"/>
      <c r="M51" s="155">
        <f t="shared" si="13"/>
        <v>0</v>
      </c>
      <c r="N51" s="156"/>
      <c r="O51" s="17"/>
      <c r="P51" s="47">
        <f t="shared" si="10"/>
        <v>0</v>
      </c>
      <c r="Q51" s="17"/>
    </row>
    <row r="52" spans="2:17" ht="15.75" x14ac:dyDescent="0.25">
      <c r="B52" s="48" t="s">
        <v>136</v>
      </c>
      <c r="C52" s="17"/>
      <c r="D52" s="154"/>
      <c r="E52" s="155">
        <f t="shared" si="11"/>
        <v>0</v>
      </c>
      <c r="F52" s="156"/>
      <c r="G52" s="17"/>
      <c r="H52" s="154"/>
      <c r="I52" s="155">
        <f t="shared" si="12"/>
        <v>0</v>
      </c>
      <c r="J52" s="157"/>
      <c r="K52" s="17"/>
      <c r="L52" s="154"/>
      <c r="M52" s="155">
        <f t="shared" si="13"/>
        <v>0</v>
      </c>
      <c r="N52" s="156"/>
      <c r="O52" s="17"/>
      <c r="P52" s="47">
        <f t="shared" si="10"/>
        <v>0</v>
      </c>
      <c r="Q52" s="17"/>
    </row>
    <row r="53" spans="2:17" ht="15.75" x14ac:dyDescent="0.25">
      <c r="B53" s="48" t="s">
        <v>137</v>
      </c>
      <c r="C53" s="17"/>
      <c r="D53" s="154"/>
      <c r="E53" s="155">
        <f t="shared" si="11"/>
        <v>0</v>
      </c>
      <c r="F53" s="156"/>
      <c r="G53" s="17"/>
      <c r="H53" s="154"/>
      <c r="I53" s="155">
        <f t="shared" si="12"/>
        <v>0</v>
      </c>
      <c r="J53" s="157"/>
      <c r="K53" s="17"/>
      <c r="L53" s="154"/>
      <c r="M53" s="155">
        <f t="shared" si="13"/>
        <v>0</v>
      </c>
      <c r="N53" s="156"/>
      <c r="O53" s="17"/>
      <c r="P53" s="47">
        <f t="shared" si="10"/>
        <v>0</v>
      </c>
      <c r="Q53" s="17"/>
    </row>
    <row r="54" spans="2:17" ht="15.75" x14ac:dyDescent="0.25">
      <c r="B54" s="48" t="s">
        <v>138</v>
      </c>
      <c r="C54" s="17"/>
      <c r="D54" s="154"/>
      <c r="E54" s="155">
        <f t="shared" si="11"/>
        <v>0</v>
      </c>
      <c r="F54" s="156"/>
      <c r="G54" s="17"/>
      <c r="H54" s="154"/>
      <c r="I54" s="155">
        <f t="shared" si="12"/>
        <v>0</v>
      </c>
      <c r="J54" s="157"/>
      <c r="K54" s="17"/>
      <c r="L54" s="154"/>
      <c r="M54" s="155">
        <f t="shared" si="13"/>
        <v>0</v>
      </c>
      <c r="N54" s="156"/>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5" t="s">
        <v>227</v>
      </c>
      <c r="E58" s="205"/>
      <c r="F58" s="205"/>
      <c r="G58" s="140"/>
      <c r="H58" s="205" t="s">
        <v>230</v>
      </c>
      <c r="I58" s="205"/>
      <c r="J58" s="205"/>
      <c r="K58" s="140"/>
      <c r="L58" s="205" t="s">
        <v>229</v>
      </c>
      <c r="M58" s="205"/>
      <c r="N58" s="205"/>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4">IF(D62&lt;&gt;0,F62/D62,0)</f>
        <v>0</v>
      </c>
      <c r="F62" s="156"/>
      <c r="G62" s="17"/>
      <c r="H62" s="154"/>
      <c r="I62" s="155">
        <f t="shared" ref="I62:I73" si="15">IF(H62&lt;&gt;0,J62/H62,0)</f>
        <v>0</v>
      </c>
      <c r="J62" s="157"/>
      <c r="K62" s="17"/>
      <c r="L62" s="154"/>
      <c r="M62" s="155">
        <f t="shared" ref="M62:M73" si="16">IF(L62&lt;&gt;0,N62/L62,0)</f>
        <v>0</v>
      </c>
      <c r="N62" s="156"/>
      <c r="O62" s="17"/>
      <c r="P62" s="47">
        <f t="shared" ref="P62:P73" si="17">J62+N62</f>
        <v>0</v>
      </c>
      <c r="Q62" s="17"/>
    </row>
    <row r="63" spans="2:17" ht="15.75" x14ac:dyDescent="0.25">
      <c r="B63" s="48" t="s">
        <v>128</v>
      </c>
      <c r="C63" s="17"/>
      <c r="D63" s="154"/>
      <c r="E63" s="155">
        <f t="shared" si="14"/>
        <v>0</v>
      </c>
      <c r="F63" s="156"/>
      <c r="G63" s="17"/>
      <c r="H63" s="154"/>
      <c r="I63" s="155">
        <f t="shared" si="15"/>
        <v>0</v>
      </c>
      <c r="J63" s="157"/>
      <c r="K63" s="17"/>
      <c r="L63" s="154"/>
      <c r="M63" s="155">
        <f t="shared" si="16"/>
        <v>0</v>
      </c>
      <c r="N63" s="156"/>
      <c r="O63" s="17"/>
      <c r="P63" s="47">
        <f t="shared" si="17"/>
        <v>0</v>
      </c>
      <c r="Q63" s="17"/>
    </row>
    <row r="64" spans="2:17" ht="15.75" x14ac:dyDescent="0.25">
      <c r="B64" s="48" t="s">
        <v>129</v>
      </c>
      <c r="C64" s="17"/>
      <c r="D64" s="154"/>
      <c r="E64" s="155">
        <f t="shared" si="14"/>
        <v>0</v>
      </c>
      <c r="F64" s="156"/>
      <c r="G64" s="17"/>
      <c r="H64" s="154"/>
      <c r="I64" s="155">
        <f t="shared" si="15"/>
        <v>0</v>
      </c>
      <c r="J64" s="157"/>
      <c r="K64" s="17"/>
      <c r="L64" s="154"/>
      <c r="M64" s="155">
        <f t="shared" si="16"/>
        <v>0</v>
      </c>
      <c r="N64" s="156"/>
      <c r="O64" s="17"/>
      <c r="P64" s="47">
        <f t="shared" si="17"/>
        <v>0</v>
      </c>
      <c r="Q64" s="17"/>
    </row>
    <row r="65" spans="2:17" ht="15.75" x14ac:dyDescent="0.25">
      <c r="B65" s="48" t="s">
        <v>130</v>
      </c>
      <c r="C65" s="17"/>
      <c r="D65" s="154"/>
      <c r="E65" s="155">
        <f t="shared" si="14"/>
        <v>0</v>
      </c>
      <c r="F65" s="156"/>
      <c r="G65" s="17"/>
      <c r="H65" s="154"/>
      <c r="I65" s="155">
        <f t="shared" si="15"/>
        <v>0</v>
      </c>
      <c r="J65" s="157"/>
      <c r="K65" s="17"/>
      <c r="L65" s="154"/>
      <c r="M65" s="155">
        <f t="shared" si="16"/>
        <v>0</v>
      </c>
      <c r="N65" s="156"/>
      <c r="O65" s="17"/>
      <c r="P65" s="47">
        <f t="shared" si="17"/>
        <v>0</v>
      </c>
      <c r="Q65" s="17"/>
    </row>
    <row r="66" spans="2:17" ht="15.75" x14ac:dyDescent="0.25">
      <c r="B66" s="48" t="s">
        <v>131</v>
      </c>
      <c r="C66" s="17"/>
      <c r="D66" s="154"/>
      <c r="E66" s="155">
        <f t="shared" si="14"/>
        <v>0</v>
      </c>
      <c r="F66" s="156"/>
      <c r="G66" s="17"/>
      <c r="H66" s="154"/>
      <c r="I66" s="155">
        <f t="shared" si="15"/>
        <v>0</v>
      </c>
      <c r="J66" s="157"/>
      <c r="K66" s="17"/>
      <c r="L66" s="154"/>
      <c r="M66" s="155">
        <f t="shared" si="16"/>
        <v>0</v>
      </c>
      <c r="N66" s="156"/>
      <c r="O66" s="17"/>
      <c r="P66" s="47">
        <f t="shared" si="17"/>
        <v>0</v>
      </c>
      <c r="Q66" s="17"/>
    </row>
    <row r="67" spans="2:17" ht="15.75" x14ac:dyDescent="0.25">
      <c r="B67" s="48" t="s">
        <v>132</v>
      </c>
      <c r="C67" s="17"/>
      <c r="D67" s="154"/>
      <c r="E67" s="155">
        <f t="shared" si="14"/>
        <v>0</v>
      </c>
      <c r="F67" s="156"/>
      <c r="G67" s="17"/>
      <c r="H67" s="154"/>
      <c r="I67" s="155">
        <f t="shared" si="15"/>
        <v>0</v>
      </c>
      <c r="J67" s="157"/>
      <c r="K67" s="17"/>
      <c r="L67" s="154"/>
      <c r="M67" s="155">
        <f t="shared" si="16"/>
        <v>0</v>
      </c>
      <c r="N67" s="156"/>
      <c r="O67" s="17"/>
      <c r="P67" s="47">
        <f t="shared" si="17"/>
        <v>0</v>
      </c>
      <c r="Q67" s="17"/>
    </row>
    <row r="68" spans="2:17" ht="15.75" x14ac:dyDescent="0.25">
      <c r="B68" s="48" t="s">
        <v>133</v>
      </c>
      <c r="C68" s="17"/>
      <c r="D68" s="154"/>
      <c r="E68" s="155">
        <f t="shared" si="14"/>
        <v>0</v>
      </c>
      <c r="F68" s="156"/>
      <c r="G68" s="17"/>
      <c r="H68" s="154"/>
      <c r="I68" s="155">
        <f t="shared" si="15"/>
        <v>0</v>
      </c>
      <c r="J68" s="157"/>
      <c r="K68" s="17"/>
      <c r="L68" s="154"/>
      <c r="M68" s="155">
        <f t="shared" si="16"/>
        <v>0</v>
      </c>
      <c r="N68" s="156"/>
      <c r="O68" s="17"/>
      <c r="P68" s="47">
        <f t="shared" si="17"/>
        <v>0</v>
      </c>
      <c r="Q68" s="17"/>
    </row>
    <row r="69" spans="2:17" ht="15.75" x14ac:dyDescent="0.25">
      <c r="B69" s="48" t="s">
        <v>134</v>
      </c>
      <c r="C69" s="17"/>
      <c r="D69" s="154"/>
      <c r="E69" s="155">
        <f t="shared" si="14"/>
        <v>0</v>
      </c>
      <c r="F69" s="156"/>
      <c r="G69" s="17"/>
      <c r="H69" s="154"/>
      <c r="I69" s="155">
        <f t="shared" si="15"/>
        <v>0</v>
      </c>
      <c r="J69" s="157"/>
      <c r="K69" s="17"/>
      <c r="L69" s="154"/>
      <c r="M69" s="155">
        <f t="shared" si="16"/>
        <v>0</v>
      </c>
      <c r="N69" s="156"/>
      <c r="O69" s="17"/>
      <c r="P69" s="47">
        <f t="shared" si="17"/>
        <v>0</v>
      </c>
      <c r="Q69" s="17"/>
    </row>
    <row r="70" spans="2:17" ht="15.75" x14ac:dyDescent="0.25">
      <c r="B70" s="48" t="s">
        <v>135</v>
      </c>
      <c r="C70" s="17"/>
      <c r="D70" s="154"/>
      <c r="E70" s="155">
        <f t="shared" si="14"/>
        <v>0</v>
      </c>
      <c r="F70" s="156"/>
      <c r="G70" s="17"/>
      <c r="H70" s="154"/>
      <c r="I70" s="155">
        <f t="shared" si="15"/>
        <v>0</v>
      </c>
      <c r="J70" s="157"/>
      <c r="K70" s="17"/>
      <c r="L70" s="154"/>
      <c r="M70" s="155">
        <f t="shared" si="16"/>
        <v>0</v>
      </c>
      <c r="N70" s="156"/>
      <c r="O70" s="17"/>
      <c r="P70" s="47">
        <f t="shared" si="17"/>
        <v>0</v>
      </c>
      <c r="Q70" s="17"/>
    </row>
    <row r="71" spans="2:17" ht="15.75" x14ac:dyDescent="0.25">
      <c r="B71" s="48" t="s">
        <v>136</v>
      </c>
      <c r="C71" s="17"/>
      <c r="D71" s="154"/>
      <c r="E71" s="155">
        <f t="shared" si="14"/>
        <v>0</v>
      </c>
      <c r="F71" s="156"/>
      <c r="G71" s="17"/>
      <c r="H71" s="154"/>
      <c r="I71" s="155">
        <f t="shared" si="15"/>
        <v>0</v>
      </c>
      <c r="J71" s="157"/>
      <c r="K71" s="17"/>
      <c r="L71" s="154"/>
      <c r="M71" s="155">
        <f t="shared" si="16"/>
        <v>0</v>
      </c>
      <c r="N71" s="156"/>
      <c r="O71" s="17"/>
      <c r="P71" s="47">
        <f t="shared" si="17"/>
        <v>0</v>
      </c>
      <c r="Q71" s="17"/>
    </row>
    <row r="72" spans="2:17" ht="15.75" x14ac:dyDescent="0.25">
      <c r="B72" s="48" t="s">
        <v>137</v>
      </c>
      <c r="C72" s="17"/>
      <c r="D72" s="154"/>
      <c r="E72" s="155">
        <f t="shared" si="14"/>
        <v>0</v>
      </c>
      <c r="F72" s="156"/>
      <c r="G72" s="17"/>
      <c r="H72" s="154"/>
      <c r="I72" s="155">
        <f t="shared" si="15"/>
        <v>0</v>
      </c>
      <c r="J72" s="157"/>
      <c r="K72" s="17"/>
      <c r="L72" s="154"/>
      <c r="M72" s="155">
        <f t="shared" si="16"/>
        <v>0</v>
      </c>
      <c r="N72" s="156"/>
      <c r="O72" s="17"/>
      <c r="P72" s="47">
        <f t="shared" si="17"/>
        <v>0</v>
      </c>
      <c r="Q72" s="17"/>
    </row>
    <row r="73" spans="2:17" ht="15.75" x14ac:dyDescent="0.25">
      <c r="B73" s="48" t="s">
        <v>138</v>
      </c>
      <c r="C73" s="17"/>
      <c r="D73" s="154"/>
      <c r="E73" s="155">
        <f t="shared" si="14"/>
        <v>0</v>
      </c>
      <c r="F73" s="156"/>
      <c r="G73" s="17"/>
      <c r="H73" s="154"/>
      <c r="I73" s="155">
        <f t="shared" si="15"/>
        <v>0</v>
      </c>
      <c r="J73" s="157"/>
      <c r="K73" s="17"/>
      <c r="L73" s="154"/>
      <c r="M73" s="155">
        <f t="shared" si="16"/>
        <v>0</v>
      </c>
      <c r="N73" s="156"/>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5" t="s">
        <v>227</v>
      </c>
      <c r="E77" s="205"/>
      <c r="F77" s="205"/>
      <c r="G77" s="140"/>
      <c r="H77" s="205" t="s">
        <v>230</v>
      </c>
      <c r="I77" s="205"/>
      <c r="J77" s="205"/>
      <c r="K77" s="140"/>
      <c r="L77" s="205" t="s">
        <v>229</v>
      </c>
      <c r="M77" s="205"/>
      <c r="N77" s="205"/>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8">IF(D81&lt;&gt;0,F81/D81,0)</f>
        <v>0</v>
      </c>
      <c r="F81" s="156"/>
      <c r="G81" s="17"/>
      <c r="H81" s="154"/>
      <c r="I81" s="155">
        <f t="shared" ref="I81:I92" si="19">IF(H81&lt;&gt;0,J81/H81,0)</f>
        <v>0</v>
      </c>
      <c r="J81" s="157"/>
      <c r="K81" s="17"/>
      <c r="L81" s="154"/>
      <c r="M81" s="155">
        <f t="shared" ref="M81:M92" si="20">IF(L81&lt;&gt;0,N81/L81,0)</f>
        <v>0</v>
      </c>
      <c r="N81" s="156"/>
      <c r="O81" s="17"/>
      <c r="P81" s="47">
        <f t="shared" ref="P81:P92" si="21">J81+N81</f>
        <v>0</v>
      </c>
      <c r="Q81" s="17"/>
    </row>
    <row r="82" spans="2:17" ht="15.75" x14ac:dyDescent="0.25">
      <c r="B82" s="48" t="s">
        <v>128</v>
      </c>
      <c r="C82" s="17"/>
      <c r="D82" s="154"/>
      <c r="E82" s="155">
        <f t="shared" si="18"/>
        <v>0</v>
      </c>
      <c r="F82" s="156"/>
      <c r="G82" s="17"/>
      <c r="H82" s="154"/>
      <c r="I82" s="155">
        <f t="shared" si="19"/>
        <v>0</v>
      </c>
      <c r="J82" s="157"/>
      <c r="K82" s="17"/>
      <c r="L82" s="154"/>
      <c r="M82" s="155">
        <f t="shared" si="20"/>
        <v>0</v>
      </c>
      <c r="N82" s="156"/>
      <c r="O82" s="17"/>
      <c r="P82" s="47">
        <f t="shared" si="21"/>
        <v>0</v>
      </c>
      <c r="Q82" s="17"/>
    </row>
    <row r="83" spans="2:17" ht="15.75" x14ac:dyDescent="0.25">
      <c r="B83" s="48" t="s">
        <v>129</v>
      </c>
      <c r="C83" s="17"/>
      <c r="D83" s="154"/>
      <c r="E83" s="155">
        <f t="shared" si="18"/>
        <v>0</v>
      </c>
      <c r="F83" s="156"/>
      <c r="G83" s="17"/>
      <c r="H83" s="154"/>
      <c r="I83" s="155">
        <f t="shared" si="19"/>
        <v>0</v>
      </c>
      <c r="J83" s="157"/>
      <c r="K83" s="17"/>
      <c r="L83" s="154"/>
      <c r="M83" s="155">
        <f t="shared" si="20"/>
        <v>0</v>
      </c>
      <c r="N83" s="156"/>
      <c r="O83" s="17"/>
      <c r="P83" s="47">
        <f t="shared" si="21"/>
        <v>0</v>
      </c>
      <c r="Q83" s="17"/>
    </row>
    <row r="84" spans="2:17" ht="15.75" x14ac:dyDescent="0.25">
      <c r="B84" s="48" t="s">
        <v>130</v>
      </c>
      <c r="C84" s="17"/>
      <c r="D84" s="154"/>
      <c r="E84" s="155">
        <f t="shared" si="18"/>
        <v>0</v>
      </c>
      <c r="F84" s="156"/>
      <c r="G84" s="17"/>
      <c r="H84" s="154"/>
      <c r="I84" s="155">
        <f t="shared" si="19"/>
        <v>0</v>
      </c>
      <c r="J84" s="157"/>
      <c r="K84" s="17"/>
      <c r="L84" s="154"/>
      <c r="M84" s="155">
        <f t="shared" si="20"/>
        <v>0</v>
      </c>
      <c r="N84" s="156"/>
      <c r="O84" s="17"/>
      <c r="P84" s="47">
        <f t="shared" si="21"/>
        <v>0</v>
      </c>
      <c r="Q84" s="17"/>
    </row>
    <row r="85" spans="2:17" ht="15.75" x14ac:dyDescent="0.25">
      <c r="B85" s="48" t="s">
        <v>131</v>
      </c>
      <c r="C85" s="17"/>
      <c r="D85" s="154"/>
      <c r="E85" s="155">
        <f t="shared" si="18"/>
        <v>0</v>
      </c>
      <c r="F85" s="156"/>
      <c r="G85" s="17"/>
      <c r="H85" s="154"/>
      <c r="I85" s="155">
        <f t="shared" si="19"/>
        <v>0</v>
      </c>
      <c r="J85" s="157"/>
      <c r="K85" s="17"/>
      <c r="L85" s="154"/>
      <c r="M85" s="155">
        <f t="shared" si="20"/>
        <v>0</v>
      </c>
      <c r="N85" s="156"/>
      <c r="O85" s="17"/>
      <c r="P85" s="47">
        <f t="shared" si="21"/>
        <v>0</v>
      </c>
      <c r="Q85" s="17"/>
    </row>
    <row r="86" spans="2:17" ht="15.75" x14ac:dyDescent="0.25">
      <c r="B86" s="48" t="s">
        <v>132</v>
      </c>
      <c r="C86" s="17"/>
      <c r="D86" s="154"/>
      <c r="E86" s="155">
        <f t="shared" si="18"/>
        <v>0</v>
      </c>
      <c r="F86" s="156"/>
      <c r="G86" s="17"/>
      <c r="H86" s="154"/>
      <c r="I86" s="155">
        <f t="shared" si="19"/>
        <v>0</v>
      </c>
      <c r="J86" s="157"/>
      <c r="K86" s="17"/>
      <c r="L86" s="154"/>
      <c r="M86" s="155">
        <f t="shared" si="20"/>
        <v>0</v>
      </c>
      <c r="N86" s="156"/>
      <c r="O86" s="17"/>
      <c r="P86" s="47">
        <f t="shared" si="21"/>
        <v>0</v>
      </c>
      <c r="Q86" s="17"/>
    </row>
    <row r="87" spans="2:17" ht="15.75" x14ac:dyDescent="0.25">
      <c r="B87" s="48" t="s">
        <v>133</v>
      </c>
      <c r="C87" s="17"/>
      <c r="D87" s="154"/>
      <c r="E87" s="155">
        <f t="shared" si="18"/>
        <v>0</v>
      </c>
      <c r="F87" s="156"/>
      <c r="G87" s="17"/>
      <c r="H87" s="154"/>
      <c r="I87" s="155">
        <f t="shared" si="19"/>
        <v>0</v>
      </c>
      <c r="J87" s="157"/>
      <c r="K87" s="17"/>
      <c r="L87" s="154"/>
      <c r="M87" s="155">
        <f t="shared" si="20"/>
        <v>0</v>
      </c>
      <c r="N87" s="156"/>
      <c r="O87" s="17"/>
      <c r="P87" s="47">
        <f t="shared" si="21"/>
        <v>0</v>
      </c>
      <c r="Q87" s="17"/>
    </row>
    <row r="88" spans="2:17" ht="15.75" x14ac:dyDescent="0.25">
      <c r="B88" s="48" t="s">
        <v>134</v>
      </c>
      <c r="C88" s="17"/>
      <c r="D88" s="154"/>
      <c r="E88" s="155">
        <f t="shared" si="18"/>
        <v>0</v>
      </c>
      <c r="F88" s="156"/>
      <c r="G88" s="17"/>
      <c r="H88" s="154"/>
      <c r="I88" s="155">
        <f t="shared" si="19"/>
        <v>0</v>
      </c>
      <c r="J88" s="157"/>
      <c r="K88" s="17"/>
      <c r="L88" s="154"/>
      <c r="M88" s="155">
        <f t="shared" si="20"/>
        <v>0</v>
      </c>
      <c r="N88" s="156"/>
      <c r="O88" s="17"/>
      <c r="P88" s="47">
        <f t="shared" si="21"/>
        <v>0</v>
      </c>
      <c r="Q88" s="17"/>
    </row>
    <row r="89" spans="2:17" ht="15.75" x14ac:dyDescent="0.25">
      <c r="B89" s="48" t="s">
        <v>135</v>
      </c>
      <c r="C89" s="17"/>
      <c r="D89" s="154"/>
      <c r="E89" s="155">
        <f t="shared" si="18"/>
        <v>0</v>
      </c>
      <c r="F89" s="156"/>
      <c r="G89" s="17"/>
      <c r="H89" s="154"/>
      <c r="I89" s="155">
        <f t="shared" si="19"/>
        <v>0</v>
      </c>
      <c r="J89" s="157"/>
      <c r="K89" s="17"/>
      <c r="L89" s="154"/>
      <c r="M89" s="155">
        <f t="shared" si="20"/>
        <v>0</v>
      </c>
      <c r="N89" s="156"/>
      <c r="O89" s="17"/>
      <c r="P89" s="47">
        <f t="shared" si="21"/>
        <v>0</v>
      </c>
      <c r="Q89" s="17"/>
    </row>
    <row r="90" spans="2:17" ht="15.75" x14ac:dyDescent="0.25">
      <c r="B90" s="48" t="s">
        <v>136</v>
      </c>
      <c r="C90" s="17"/>
      <c r="D90" s="154"/>
      <c r="E90" s="155">
        <f t="shared" si="18"/>
        <v>0</v>
      </c>
      <c r="F90" s="156"/>
      <c r="G90" s="17"/>
      <c r="H90" s="154"/>
      <c r="I90" s="155">
        <f t="shared" si="19"/>
        <v>0</v>
      </c>
      <c r="J90" s="157"/>
      <c r="K90" s="17"/>
      <c r="L90" s="154"/>
      <c r="M90" s="155">
        <f t="shared" si="20"/>
        <v>0</v>
      </c>
      <c r="N90" s="156"/>
      <c r="O90" s="17"/>
      <c r="P90" s="47">
        <f t="shared" si="21"/>
        <v>0</v>
      </c>
      <c r="Q90" s="17"/>
    </row>
    <row r="91" spans="2:17" ht="15.75" x14ac:dyDescent="0.25">
      <c r="B91" s="48" t="s">
        <v>137</v>
      </c>
      <c r="C91" s="17"/>
      <c r="D91" s="154"/>
      <c r="E91" s="155">
        <f t="shared" si="18"/>
        <v>0</v>
      </c>
      <c r="F91" s="156"/>
      <c r="G91" s="17"/>
      <c r="H91" s="154"/>
      <c r="I91" s="155">
        <f t="shared" si="19"/>
        <v>0</v>
      </c>
      <c r="J91" s="157"/>
      <c r="K91" s="17"/>
      <c r="L91" s="154"/>
      <c r="M91" s="155">
        <f t="shared" si="20"/>
        <v>0</v>
      </c>
      <c r="N91" s="156"/>
      <c r="O91" s="17"/>
      <c r="P91" s="47">
        <f t="shared" si="21"/>
        <v>0</v>
      </c>
      <c r="Q91" s="17"/>
    </row>
    <row r="92" spans="2:17" ht="15.75" x14ac:dyDescent="0.25">
      <c r="B92" s="48" t="s">
        <v>138</v>
      </c>
      <c r="C92" s="17"/>
      <c r="D92" s="154"/>
      <c r="E92" s="155">
        <f t="shared" si="18"/>
        <v>0</v>
      </c>
      <c r="F92" s="156"/>
      <c r="G92" s="17"/>
      <c r="H92" s="154"/>
      <c r="I92" s="155">
        <f t="shared" si="19"/>
        <v>0</v>
      </c>
      <c r="J92" s="157"/>
      <c r="K92" s="17"/>
      <c r="L92" s="154"/>
      <c r="M92" s="155">
        <f t="shared" si="20"/>
        <v>0</v>
      </c>
      <c r="N92" s="156"/>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4"/>
      <c r="E97" s="204"/>
      <c r="F97" s="204"/>
      <c r="G97" s="44"/>
      <c r="H97" s="204"/>
      <c r="I97" s="204"/>
      <c r="J97" s="204"/>
      <c r="K97" s="44"/>
      <c r="L97" s="204"/>
      <c r="M97" s="204"/>
      <c r="N97" s="204"/>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21429</v>
      </c>
      <c r="E100" s="86">
        <f t="shared" ref="E100:E111" si="22">IF(D100&lt;&gt;0,F100/D100,0)</f>
        <v>3.5700219328946754</v>
      </c>
      <c r="F100" s="47">
        <f>F24+F43+F62+F81</f>
        <v>76502</v>
      </c>
      <c r="G100" s="17"/>
      <c r="H100" s="53">
        <f>H24+H43+H62+H81</f>
        <v>24028</v>
      </c>
      <c r="I100" s="86">
        <f t="shared" ref="I100:I111" si="23">IF(H100&lt;&gt;0,J100/H100,0)</f>
        <v>0.799983352755119</v>
      </c>
      <c r="J100" s="47">
        <f>J24+J43+J62+J81</f>
        <v>19222</v>
      </c>
      <c r="K100" s="17"/>
      <c r="L100" s="53">
        <f>L24+L43+L62+L81</f>
        <v>24028</v>
      </c>
      <c r="M100" s="86">
        <f t="shared" ref="M100:M111" si="24">IF(L100&lt;&gt;0,N100/L100,0)</f>
        <v>1.8983685700016648</v>
      </c>
      <c r="N100" s="47">
        <f>N24+N43+N62+N81</f>
        <v>45614</v>
      </c>
      <c r="O100" s="17"/>
      <c r="P100" s="47">
        <f t="shared" ref="P100:P111" si="25">J100+N100</f>
        <v>64836</v>
      </c>
      <c r="Q100" s="17"/>
    </row>
    <row r="101" spans="2:17" ht="15.75" x14ac:dyDescent="0.25">
      <c r="B101" s="48" t="s">
        <v>128</v>
      </c>
      <c r="C101" s="17"/>
      <c r="D101" s="53">
        <f t="shared" ref="D101:D111" si="26">D25+D44+D63+D82</f>
        <v>21845</v>
      </c>
      <c r="E101" s="86">
        <f t="shared" si="22"/>
        <v>3.5700160219729917</v>
      </c>
      <c r="F101" s="47">
        <f t="shared" ref="F101:F111" si="27">F25+F44+F63+F82</f>
        <v>77987</v>
      </c>
      <c r="G101" s="17"/>
      <c r="H101" s="53">
        <f t="shared" ref="H101:H111" si="28">H25+H44+H63+H82</f>
        <v>23853</v>
      </c>
      <c r="I101" s="86">
        <f t="shared" si="23"/>
        <v>0.79998323062088628</v>
      </c>
      <c r="J101" s="47">
        <f t="shared" ref="J101:J111" si="29">J25+J44+J63+J82</f>
        <v>19082</v>
      </c>
      <c r="K101" s="17"/>
      <c r="L101" s="53">
        <f t="shared" ref="L101:L111" si="30">L25+L44+L63+L82</f>
        <v>23853</v>
      </c>
      <c r="M101" s="86">
        <f t="shared" si="24"/>
        <v>1.8599337609525006</v>
      </c>
      <c r="N101" s="47">
        <f t="shared" ref="N101:N111" si="31">N25+N44+N63+N82</f>
        <v>44365</v>
      </c>
      <c r="O101" s="17"/>
      <c r="P101" s="47">
        <f t="shared" si="25"/>
        <v>63447</v>
      </c>
      <c r="Q101" s="17"/>
    </row>
    <row r="102" spans="2:17" ht="15.75" x14ac:dyDescent="0.25">
      <c r="B102" s="48" t="s">
        <v>129</v>
      </c>
      <c r="C102" s="17"/>
      <c r="D102" s="53">
        <f t="shared" si="26"/>
        <v>21782</v>
      </c>
      <c r="E102" s="86">
        <f t="shared" si="22"/>
        <v>3.5700119364612983</v>
      </c>
      <c r="F102" s="47">
        <f t="shared" si="27"/>
        <v>77762</v>
      </c>
      <c r="G102" s="17"/>
      <c r="H102" s="53">
        <f t="shared" si="28"/>
        <v>23281</v>
      </c>
      <c r="I102" s="86">
        <f t="shared" si="23"/>
        <v>0.80000859069627595</v>
      </c>
      <c r="J102" s="47">
        <f t="shared" si="29"/>
        <v>18625</v>
      </c>
      <c r="K102" s="17"/>
      <c r="L102" s="53">
        <f t="shared" si="30"/>
        <v>23281</v>
      </c>
      <c r="M102" s="86">
        <f t="shared" si="24"/>
        <v>1.8600146041836692</v>
      </c>
      <c r="N102" s="47">
        <f t="shared" si="31"/>
        <v>43303</v>
      </c>
      <c r="O102" s="17"/>
      <c r="P102" s="47">
        <f t="shared" si="25"/>
        <v>61928</v>
      </c>
      <c r="Q102" s="17"/>
    </row>
    <row r="103" spans="2:17" ht="15.75" x14ac:dyDescent="0.25">
      <c r="B103" s="48" t="s">
        <v>130</v>
      </c>
      <c r="C103" s="17"/>
      <c r="D103" s="53">
        <f t="shared" si="26"/>
        <v>19914</v>
      </c>
      <c r="E103" s="86">
        <f t="shared" si="22"/>
        <v>3.5700010043185699</v>
      </c>
      <c r="F103" s="47">
        <f t="shared" si="27"/>
        <v>71093</v>
      </c>
      <c r="G103" s="17"/>
      <c r="H103" s="53">
        <f t="shared" si="28"/>
        <v>22118</v>
      </c>
      <c r="I103" s="86">
        <f t="shared" si="23"/>
        <v>0.79998191518220452</v>
      </c>
      <c r="J103" s="47">
        <f t="shared" si="29"/>
        <v>17694</v>
      </c>
      <c r="K103" s="17"/>
      <c r="L103" s="53">
        <f t="shared" si="30"/>
        <v>22118</v>
      </c>
      <c r="M103" s="86">
        <f t="shared" si="24"/>
        <v>1.8599330861741568</v>
      </c>
      <c r="N103" s="47">
        <f t="shared" si="31"/>
        <v>41138</v>
      </c>
      <c r="O103" s="17"/>
      <c r="P103" s="47">
        <f t="shared" si="25"/>
        <v>58832</v>
      </c>
      <c r="Q103" s="17"/>
    </row>
    <row r="104" spans="2:17" ht="15.75" x14ac:dyDescent="0.25">
      <c r="B104" s="48" t="s">
        <v>131</v>
      </c>
      <c r="C104" s="17"/>
      <c r="D104" s="53">
        <f t="shared" si="26"/>
        <v>19067</v>
      </c>
      <c r="E104" s="86">
        <f t="shared" si="22"/>
        <v>3.569990035139246</v>
      </c>
      <c r="F104" s="47">
        <f t="shared" si="27"/>
        <v>68069</v>
      </c>
      <c r="G104" s="17"/>
      <c r="H104" s="53">
        <f t="shared" si="28"/>
        <v>22390</v>
      </c>
      <c r="I104" s="86">
        <f t="shared" si="23"/>
        <v>0.8</v>
      </c>
      <c r="J104" s="47">
        <f t="shared" si="29"/>
        <v>17912</v>
      </c>
      <c r="K104" s="17"/>
      <c r="L104" s="53">
        <f t="shared" si="30"/>
        <v>22390</v>
      </c>
      <c r="M104" s="86">
        <f t="shared" si="24"/>
        <v>1.8599821348816437</v>
      </c>
      <c r="N104" s="47">
        <f t="shared" si="31"/>
        <v>41645</v>
      </c>
      <c r="O104" s="17"/>
      <c r="P104" s="47">
        <f t="shared" si="25"/>
        <v>59557</v>
      </c>
      <c r="Q104" s="17"/>
    </row>
    <row r="105" spans="2:17" ht="15.75" x14ac:dyDescent="0.25">
      <c r="B105" s="48" t="s">
        <v>132</v>
      </c>
      <c r="C105" s="17"/>
      <c r="D105" s="53">
        <f t="shared" si="26"/>
        <v>17564</v>
      </c>
      <c r="E105" s="86">
        <f t="shared" si="22"/>
        <v>3.5699726713732636</v>
      </c>
      <c r="F105" s="47">
        <f t="shared" si="27"/>
        <v>62703</v>
      </c>
      <c r="G105" s="17"/>
      <c r="H105" s="53">
        <f t="shared" si="28"/>
        <v>19063</v>
      </c>
      <c r="I105" s="86">
        <f t="shared" si="23"/>
        <v>0.7999790169438179</v>
      </c>
      <c r="J105" s="47">
        <f t="shared" si="29"/>
        <v>15250</v>
      </c>
      <c r="K105" s="17"/>
      <c r="L105" s="53">
        <f t="shared" si="30"/>
        <v>19063</v>
      </c>
      <c r="M105" s="86">
        <f t="shared" si="24"/>
        <v>1.859990557624718</v>
      </c>
      <c r="N105" s="47">
        <f t="shared" si="31"/>
        <v>35457</v>
      </c>
      <c r="O105" s="17"/>
      <c r="P105" s="47">
        <f t="shared" si="25"/>
        <v>50707</v>
      </c>
      <c r="Q105" s="17"/>
    </row>
    <row r="106" spans="2:17" ht="15.75" x14ac:dyDescent="0.25">
      <c r="B106" s="48" t="s">
        <v>133</v>
      </c>
      <c r="C106" s="17"/>
      <c r="D106" s="53">
        <f t="shared" si="26"/>
        <v>23995</v>
      </c>
      <c r="E106" s="86">
        <f t="shared" si="22"/>
        <v>3.5699937486976454</v>
      </c>
      <c r="F106" s="47">
        <f t="shared" si="27"/>
        <v>85662</v>
      </c>
      <c r="G106" s="17"/>
      <c r="H106" s="53">
        <f t="shared" si="28"/>
        <v>24638</v>
      </c>
      <c r="I106" s="86">
        <f t="shared" si="23"/>
        <v>0.79998376491598344</v>
      </c>
      <c r="J106" s="47">
        <f t="shared" si="29"/>
        <v>19710</v>
      </c>
      <c r="K106" s="17"/>
      <c r="L106" s="53">
        <f t="shared" si="30"/>
        <v>24638</v>
      </c>
      <c r="M106" s="86">
        <f t="shared" si="24"/>
        <v>1.8600129880672132</v>
      </c>
      <c r="N106" s="47">
        <f t="shared" si="31"/>
        <v>45827</v>
      </c>
      <c r="O106" s="17"/>
      <c r="P106" s="47">
        <f t="shared" si="25"/>
        <v>65537</v>
      </c>
      <c r="Q106" s="17"/>
    </row>
    <row r="107" spans="2:17" ht="15.75" x14ac:dyDescent="0.25">
      <c r="B107" s="48" t="s">
        <v>134</v>
      </c>
      <c r="C107" s="17"/>
      <c r="D107" s="53">
        <f t="shared" si="26"/>
        <v>21512</v>
      </c>
      <c r="E107" s="86">
        <f t="shared" si="22"/>
        <v>3.5700074377091857</v>
      </c>
      <c r="F107" s="47">
        <f t="shared" si="27"/>
        <v>76798</v>
      </c>
      <c r="G107" s="17"/>
      <c r="H107" s="53">
        <f t="shared" si="28"/>
        <v>23832</v>
      </c>
      <c r="I107" s="86">
        <f t="shared" si="23"/>
        <v>0.80001678415575694</v>
      </c>
      <c r="J107" s="47">
        <f t="shared" si="29"/>
        <v>19066</v>
      </c>
      <c r="K107" s="17"/>
      <c r="L107" s="53">
        <f t="shared" si="30"/>
        <v>23832</v>
      </c>
      <c r="M107" s="86">
        <f t="shared" si="24"/>
        <v>1.859978180597516</v>
      </c>
      <c r="N107" s="47">
        <f t="shared" si="31"/>
        <v>44327</v>
      </c>
      <c r="O107" s="17"/>
      <c r="P107" s="47">
        <f t="shared" si="25"/>
        <v>63393</v>
      </c>
      <c r="Q107" s="17"/>
    </row>
    <row r="108" spans="2:17" ht="15.75" x14ac:dyDescent="0.25">
      <c r="B108" s="48" t="s">
        <v>135</v>
      </c>
      <c r="C108" s="17"/>
      <c r="D108" s="53">
        <f t="shared" si="26"/>
        <v>18215</v>
      </c>
      <c r="E108" s="86">
        <f t="shared" si="22"/>
        <v>3.570024704913533</v>
      </c>
      <c r="F108" s="47">
        <f t="shared" si="27"/>
        <v>65028</v>
      </c>
      <c r="G108" s="17"/>
      <c r="H108" s="53">
        <f t="shared" si="28"/>
        <v>20763</v>
      </c>
      <c r="I108" s="86">
        <f t="shared" si="23"/>
        <v>0.79998073496122912</v>
      </c>
      <c r="J108" s="47">
        <f t="shared" si="29"/>
        <v>16610</v>
      </c>
      <c r="K108" s="17"/>
      <c r="L108" s="53">
        <f t="shared" si="30"/>
        <v>20763</v>
      </c>
      <c r="M108" s="86">
        <f t="shared" si="24"/>
        <v>1.8598950055386987</v>
      </c>
      <c r="N108" s="47">
        <f t="shared" si="31"/>
        <v>38617</v>
      </c>
      <c r="O108" s="17"/>
      <c r="P108" s="47">
        <f t="shared" si="25"/>
        <v>55227</v>
      </c>
      <c r="Q108" s="17"/>
    </row>
    <row r="109" spans="2:17" ht="15.75" x14ac:dyDescent="0.25">
      <c r="B109" s="48" t="s">
        <v>136</v>
      </c>
      <c r="C109" s="17"/>
      <c r="D109" s="53">
        <f t="shared" si="26"/>
        <v>19783</v>
      </c>
      <c r="E109" s="86">
        <f t="shared" si="22"/>
        <v>3.569984329980286</v>
      </c>
      <c r="F109" s="47">
        <f t="shared" si="27"/>
        <v>70625</v>
      </c>
      <c r="G109" s="17"/>
      <c r="H109" s="53">
        <f t="shared" si="28"/>
        <v>21463</v>
      </c>
      <c r="I109" s="86">
        <f t="shared" si="23"/>
        <v>0.79998136327633607</v>
      </c>
      <c r="J109" s="47">
        <f t="shared" si="29"/>
        <v>17170</v>
      </c>
      <c r="K109" s="17"/>
      <c r="L109" s="53">
        <f t="shared" si="30"/>
        <v>21463</v>
      </c>
      <c r="M109" s="86">
        <f t="shared" si="24"/>
        <v>1.8599916134743513</v>
      </c>
      <c r="N109" s="47">
        <f t="shared" si="31"/>
        <v>39921</v>
      </c>
      <c r="O109" s="17"/>
      <c r="P109" s="47">
        <f t="shared" si="25"/>
        <v>57091</v>
      </c>
      <c r="Q109" s="17"/>
    </row>
    <row r="110" spans="2:17" ht="15.75" x14ac:dyDescent="0.25">
      <c r="B110" s="48" t="s">
        <v>137</v>
      </c>
      <c r="C110" s="17"/>
      <c r="D110" s="53">
        <f t="shared" si="26"/>
        <v>23750</v>
      </c>
      <c r="E110" s="86">
        <f t="shared" si="22"/>
        <v>3.5699789473684209</v>
      </c>
      <c r="F110" s="47">
        <f t="shared" si="27"/>
        <v>84787</v>
      </c>
      <c r="G110" s="17"/>
      <c r="H110" s="53">
        <f t="shared" si="28"/>
        <v>23750</v>
      </c>
      <c r="I110" s="86">
        <f t="shared" si="23"/>
        <v>0.8</v>
      </c>
      <c r="J110" s="47">
        <f t="shared" si="29"/>
        <v>19000</v>
      </c>
      <c r="K110" s="17"/>
      <c r="L110" s="53">
        <f t="shared" si="30"/>
        <v>23750</v>
      </c>
      <c r="M110" s="86">
        <f t="shared" si="24"/>
        <v>1.86</v>
      </c>
      <c r="N110" s="47">
        <f t="shared" si="31"/>
        <v>44175</v>
      </c>
      <c r="O110" s="17"/>
      <c r="P110" s="47">
        <f t="shared" si="25"/>
        <v>63175</v>
      </c>
      <c r="Q110" s="17"/>
    </row>
    <row r="111" spans="2:17" ht="15.75" x14ac:dyDescent="0.25">
      <c r="B111" s="48" t="s">
        <v>138</v>
      </c>
      <c r="C111" s="17"/>
      <c r="D111" s="53">
        <f t="shared" si="26"/>
        <v>21347</v>
      </c>
      <c r="E111" s="86">
        <f t="shared" si="22"/>
        <v>3.570009837447885</v>
      </c>
      <c r="F111" s="47">
        <f t="shared" si="27"/>
        <v>76209</v>
      </c>
      <c r="G111" s="17"/>
      <c r="H111" s="53">
        <f t="shared" si="28"/>
        <v>23991</v>
      </c>
      <c r="I111" s="86">
        <f t="shared" si="23"/>
        <v>0.80000833645950564</v>
      </c>
      <c r="J111" s="47">
        <f t="shared" si="29"/>
        <v>19193</v>
      </c>
      <c r="K111" s="17"/>
      <c r="L111" s="53">
        <f t="shared" si="30"/>
        <v>23991</v>
      </c>
      <c r="M111" s="86">
        <f t="shared" si="24"/>
        <v>1.8599891626026426</v>
      </c>
      <c r="N111" s="47">
        <f t="shared" si="31"/>
        <v>44623</v>
      </c>
      <c r="O111" s="17"/>
      <c r="P111" s="47">
        <f t="shared" si="25"/>
        <v>63816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250203</v>
      </c>
      <c r="E113" s="51">
        <f>IF(D113&lt;&gt;0,F113/D113,0)</f>
        <v>3.5700011590588443</v>
      </c>
      <c r="F113" s="52">
        <f>SUM(F100:F111)</f>
        <v>893225</v>
      </c>
      <c r="G113" s="17"/>
      <c r="H113" s="50">
        <f>SUM(H100:H111)</f>
        <v>273170</v>
      </c>
      <c r="I113" s="51">
        <f>IF(H113&lt;&gt;0,J113/H113,0)</f>
        <v>0.79999267855181755</v>
      </c>
      <c r="J113" s="52">
        <f>SUM(J100:J111)</f>
        <v>218534</v>
      </c>
      <c r="K113" s="17"/>
      <c r="L113" s="50">
        <f>SUM(L100:L111)</f>
        <v>273170</v>
      </c>
      <c r="M113" s="51">
        <f>IF(L113&lt;&gt;0,N113/L113,0)</f>
        <v>1.8633524911227441</v>
      </c>
      <c r="N113" s="52">
        <f>SUM(N100:N111)</f>
        <v>509012</v>
      </c>
      <c r="O113" s="17"/>
      <c r="P113" s="52">
        <f>SUM(P100:P111)</f>
        <v>727546</v>
      </c>
      <c r="Q113" s="17"/>
    </row>
    <row r="114" spans="2:17" x14ac:dyDescent="0.2">
      <c r="P114" s="47"/>
    </row>
    <row r="115" spans="2:17" x14ac:dyDescent="0.2">
      <c r="M115" s="168"/>
      <c r="N115" s="169" t="s">
        <v>255</v>
      </c>
      <c r="P115" s="172">
        <f>'5. UTRs and Sub-Transmission'!E95</f>
        <v>0</v>
      </c>
    </row>
    <row r="117" spans="2:17" ht="13.5" thickBot="1" x14ac:dyDescent="0.25">
      <c r="N117" s="170" t="s">
        <v>258</v>
      </c>
      <c r="P117" s="52">
        <f>P113+P115</f>
        <v>727546</v>
      </c>
    </row>
  </sheetData>
  <sheetProtection password="F8BD" sheet="1" objects="1" scenarios="1"/>
  <mergeCells count="18">
    <mergeCell ref="H96:J96"/>
    <mergeCell ref="L96:N96"/>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s>
  <phoneticPr fontId="21" type="noConversion"/>
  <pageMargins left="0.55118110236220474" right="0.55118110236220474" top="0.98425196850393704" bottom="0.35433070866141736" header="0.51181102362204722" footer="0.15748031496062992"/>
  <pageSetup paperSize="5" scale="50"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117"/>
  <sheetViews>
    <sheetView showGridLines="0" topLeftCell="B1" zoomScaleNormal="100" workbookViewId="0">
      <pane ySplit="16" topLeftCell="A17" activePane="bottomLeft" state="frozenSplit"/>
      <selection activeCell="I48" sqref="I48"/>
      <selection pane="bottomLeft" activeCell="E108" sqref="E108"/>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6" t="s">
        <v>250</v>
      </c>
      <c r="C13" s="206"/>
      <c r="D13" s="206"/>
      <c r="E13" s="206"/>
      <c r="F13" s="206"/>
      <c r="G13" s="206"/>
      <c r="H13" s="206"/>
      <c r="I13" s="206"/>
      <c r="J13" s="206"/>
      <c r="K13" s="206"/>
      <c r="L13" s="206"/>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4"/>
      <c r="E21" s="204"/>
      <c r="F21" s="204"/>
      <c r="G21" s="44"/>
      <c r="H21" s="204"/>
      <c r="I21" s="204"/>
      <c r="J21" s="204"/>
      <c r="K21" s="44"/>
      <c r="L21" s="204"/>
      <c r="M21" s="204"/>
      <c r="N21" s="204"/>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21429</v>
      </c>
      <c r="E24" s="88">
        <f>'5. UTRs and Sub-Transmission'!G22</f>
        <v>3.63</v>
      </c>
      <c r="F24" s="89">
        <f>D24*E24</f>
        <v>77787.27</v>
      </c>
      <c r="G24" s="17"/>
      <c r="H24" s="87">
        <f>'6. Historical Wholesale'!H24</f>
        <v>24028</v>
      </c>
      <c r="I24" s="88">
        <f>'5. UTRs and Sub-Transmission'!G24</f>
        <v>0.75</v>
      </c>
      <c r="J24" s="89">
        <f>H24*I24</f>
        <v>18021</v>
      </c>
      <c r="K24" s="17"/>
      <c r="L24" s="87">
        <f>'6. Historical Wholesale'!L24</f>
        <v>24028</v>
      </c>
      <c r="M24" s="88">
        <f>'5. UTRs and Sub-Transmission'!G26</f>
        <v>1.85</v>
      </c>
      <c r="N24" s="89">
        <f>L24*M24</f>
        <v>44451.8</v>
      </c>
      <c r="O24" s="17"/>
      <c r="P24" s="47">
        <f t="shared" ref="P24:P35" si="0">J24+N24</f>
        <v>62472.800000000003</v>
      </c>
      <c r="Q24" s="17"/>
    </row>
    <row r="25" spans="2:17" ht="15.75" x14ac:dyDescent="0.25">
      <c r="B25" s="48" t="s">
        <v>128</v>
      </c>
      <c r="C25" s="17"/>
      <c r="D25" s="87">
        <f>'6. Historical Wholesale'!D25</f>
        <v>21845</v>
      </c>
      <c r="E25" s="88">
        <f>E24</f>
        <v>3.63</v>
      </c>
      <c r="F25" s="89">
        <f t="shared" ref="F25:F35" si="1">D25*E25</f>
        <v>79297.349999999991</v>
      </c>
      <c r="G25" s="17"/>
      <c r="H25" s="87">
        <f>'6. Historical Wholesale'!H25</f>
        <v>23853</v>
      </c>
      <c r="I25" s="88">
        <f>I24</f>
        <v>0.75</v>
      </c>
      <c r="J25" s="89">
        <f t="shared" ref="J25:J35" si="2">H25*I25</f>
        <v>17889.75</v>
      </c>
      <c r="K25" s="17"/>
      <c r="L25" s="87">
        <f>'6. Historical Wholesale'!L25</f>
        <v>23853</v>
      </c>
      <c r="M25" s="88">
        <f>M24</f>
        <v>1.85</v>
      </c>
      <c r="N25" s="89">
        <f t="shared" ref="N25:N35" si="3">L25*M25</f>
        <v>44128.05</v>
      </c>
      <c r="O25" s="17"/>
      <c r="P25" s="47">
        <f t="shared" si="0"/>
        <v>62017.8</v>
      </c>
      <c r="Q25" s="17"/>
    </row>
    <row r="26" spans="2:17" ht="15.75" x14ac:dyDescent="0.25">
      <c r="B26" s="48" t="s">
        <v>129</v>
      </c>
      <c r="C26" s="17"/>
      <c r="D26" s="87">
        <f>'6. Historical Wholesale'!D26</f>
        <v>21782</v>
      </c>
      <c r="E26" s="88">
        <f t="shared" ref="E26:E35" si="4">E25</f>
        <v>3.63</v>
      </c>
      <c r="F26" s="89">
        <f t="shared" si="1"/>
        <v>79068.66</v>
      </c>
      <c r="G26" s="17"/>
      <c r="H26" s="87">
        <f>'6. Historical Wholesale'!H26</f>
        <v>23281</v>
      </c>
      <c r="I26" s="88">
        <f t="shared" ref="I26:I35" si="5">I25</f>
        <v>0.75</v>
      </c>
      <c r="J26" s="89">
        <f t="shared" si="2"/>
        <v>17460.75</v>
      </c>
      <c r="K26" s="17"/>
      <c r="L26" s="87">
        <f>'6. Historical Wholesale'!L26</f>
        <v>23281</v>
      </c>
      <c r="M26" s="88">
        <f t="shared" ref="M26:M35" si="6">M25</f>
        <v>1.85</v>
      </c>
      <c r="N26" s="89">
        <f t="shared" si="3"/>
        <v>43069.85</v>
      </c>
      <c r="O26" s="17"/>
      <c r="P26" s="47">
        <f t="shared" si="0"/>
        <v>60530.6</v>
      </c>
      <c r="Q26" s="17"/>
    </row>
    <row r="27" spans="2:17" ht="15.75" x14ac:dyDescent="0.25">
      <c r="B27" s="48" t="s">
        <v>130</v>
      </c>
      <c r="C27" s="17"/>
      <c r="D27" s="87">
        <f>'6. Historical Wholesale'!D27</f>
        <v>19914</v>
      </c>
      <c r="E27" s="88">
        <f t="shared" si="4"/>
        <v>3.63</v>
      </c>
      <c r="F27" s="89">
        <f t="shared" si="1"/>
        <v>72287.819999999992</v>
      </c>
      <c r="G27" s="17"/>
      <c r="H27" s="87">
        <f>'6. Historical Wholesale'!H27</f>
        <v>22118</v>
      </c>
      <c r="I27" s="88">
        <f t="shared" si="5"/>
        <v>0.75</v>
      </c>
      <c r="J27" s="89">
        <f t="shared" si="2"/>
        <v>16588.5</v>
      </c>
      <c r="K27" s="17"/>
      <c r="L27" s="87">
        <f>'6. Historical Wholesale'!L27</f>
        <v>22118</v>
      </c>
      <c r="M27" s="88">
        <f t="shared" si="6"/>
        <v>1.85</v>
      </c>
      <c r="N27" s="89">
        <f t="shared" si="3"/>
        <v>40918.300000000003</v>
      </c>
      <c r="O27" s="17"/>
      <c r="P27" s="47">
        <f t="shared" si="0"/>
        <v>57506.8</v>
      </c>
      <c r="Q27" s="17"/>
    </row>
    <row r="28" spans="2:17" ht="15.75" x14ac:dyDescent="0.25">
      <c r="B28" s="48" t="s">
        <v>131</v>
      </c>
      <c r="C28" s="17"/>
      <c r="D28" s="87">
        <f>'6. Historical Wholesale'!D28</f>
        <v>19067</v>
      </c>
      <c r="E28" s="88">
        <f t="shared" si="4"/>
        <v>3.63</v>
      </c>
      <c r="F28" s="89">
        <f t="shared" si="1"/>
        <v>69213.209999999992</v>
      </c>
      <c r="G28" s="17"/>
      <c r="H28" s="87">
        <f>'6. Historical Wholesale'!H28</f>
        <v>22390</v>
      </c>
      <c r="I28" s="88">
        <f t="shared" si="5"/>
        <v>0.75</v>
      </c>
      <c r="J28" s="89">
        <f t="shared" si="2"/>
        <v>16792.5</v>
      </c>
      <c r="K28" s="17"/>
      <c r="L28" s="87">
        <f>'6. Historical Wholesale'!L28</f>
        <v>22390</v>
      </c>
      <c r="M28" s="88">
        <f t="shared" si="6"/>
        <v>1.85</v>
      </c>
      <c r="N28" s="89">
        <f t="shared" si="3"/>
        <v>41421.5</v>
      </c>
      <c r="O28" s="17"/>
      <c r="P28" s="47">
        <f t="shared" si="0"/>
        <v>58214</v>
      </c>
      <c r="Q28" s="17"/>
    </row>
    <row r="29" spans="2:17" ht="15.75" x14ac:dyDescent="0.25">
      <c r="B29" s="48" t="s">
        <v>132</v>
      </c>
      <c r="C29" s="17"/>
      <c r="D29" s="87">
        <f>'6. Historical Wholesale'!D29</f>
        <v>17564</v>
      </c>
      <c r="E29" s="88">
        <f t="shared" si="4"/>
        <v>3.63</v>
      </c>
      <c r="F29" s="89">
        <f t="shared" si="1"/>
        <v>63757.32</v>
      </c>
      <c r="G29" s="17"/>
      <c r="H29" s="87">
        <f>'6. Historical Wholesale'!H29</f>
        <v>19063</v>
      </c>
      <c r="I29" s="88">
        <f t="shared" si="5"/>
        <v>0.75</v>
      </c>
      <c r="J29" s="89">
        <f t="shared" si="2"/>
        <v>14297.25</v>
      </c>
      <c r="K29" s="17"/>
      <c r="L29" s="87">
        <f>'6. Historical Wholesale'!L29</f>
        <v>19063</v>
      </c>
      <c r="M29" s="88">
        <f t="shared" si="6"/>
        <v>1.85</v>
      </c>
      <c r="N29" s="89">
        <f t="shared" si="3"/>
        <v>35266.550000000003</v>
      </c>
      <c r="O29" s="17"/>
      <c r="P29" s="47">
        <f t="shared" si="0"/>
        <v>49563.8</v>
      </c>
      <c r="Q29" s="17"/>
    </row>
    <row r="30" spans="2:17" ht="15.75" x14ac:dyDescent="0.25">
      <c r="B30" s="48" t="s">
        <v>133</v>
      </c>
      <c r="C30" s="17"/>
      <c r="D30" s="87">
        <f>'6. Historical Wholesale'!D30</f>
        <v>23995</v>
      </c>
      <c r="E30" s="88">
        <f t="shared" si="4"/>
        <v>3.63</v>
      </c>
      <c r="F30" s="89">
        <f t="shared" si="1"/>
        <v>87101.849999999991</v>
      </c>
      <c r="G30" s="17"/>
      <c r="H30" s="87">
        <f>'6. Historical Wholesale'!H30</f>
        <v>24638</v>
      </c>
      <c r="I30" s="88">
        <f t="shared" si="5"/>
        <v>0.75</v>
      </c>
      <c r="J30" s="89">
        <f t="shared" si="2"/>
        <v>18478.5</v>
      </c>
      <c r="K30" s="17"/>
      <c r="L30" s="87">
        <f>'6. Historical Wholesale'!L30</f>
        <v>24638</v>
      </c>
      <c r="M30" s="88">
        <f t="shared" si="6"/>
        <v>1.85</v>
      </c>
      <c r="N30" s="89">
        <f t="shared" si="3"/>
        <v>45580.3</v>
      </c>
      <c r="O30" s="17"/>
      <c r="P30" s="47">
        <f t="shared" si="0"/>
        <v>64058.8</v>
      </c>
      <c r="Q30" s="17"/>
    </row>
    <row r="31" spans="2:17" ht="15.75" x14ac:dyDescent="0.25">
      <c r="B31" s="48" t="s">
        <v>134</v>
      </c>
      <c r="C31" s="17"/>
      <c r="D31" s="87">
        <f>'6. Historical Wholesale'!D31</f>
        <v>21512</v>
      </c>
      <c r="E31" s="88">
        <f t="shared" si="4"/>
        <v>3.63</v>
      </c>
      <c r="F31" s="89">
        <f t="shared" si="1"/>
        <v>78088.56</v>
      </c>
      <c r="G31" s="17"/>
      <c r="H31" s="87">
        <f>'6. Historical Wholesale'!H31</f>
        <v>23832</v>
      </c>
      <c r="I31" s="88">
        <f t="shared" si="5"/>
        <v>0.75</v>
      </c>
      <c r="J31" s="89">
        <f t="shared" si="2"/>
        <v>17874</v>
      </c>
      <c r="K31" s="17"/>
      <c r="L31" s="87">
        <f>'6. Historical Wholesale'!L31</f>
        <v>23832</v>
      </c>
      <c r="M31" s="88">
        <f t="shared" si="6"/>
        <v>1.85</v>
      </c>
      <c r="N31" s="89">
        <f t="shared" si="3"/>
        <v>44089.200000000004</v>
      </c>
      <c r="O31" s="17"/>
      <c r="P31" s="47">
        <f t="shared" si="0"/>
        <v>61963.200000000004</v>
      </c>
      <c r="Q31" s="17"/>
    </row>
    <row r="32" spans="2:17" ht="15.75" x14ac:dyDescent="0.25">
      <c r="B32" s="48" t="s">
        <v>135</v>
      </c>
      <c r="C32" s="17"/>
      <c r="D32" s="87">
        <f>'6. Historical Wholesale'!D32</f>
        <v>18215</v>
      </c>
      <c r="E32" s="88">
        <f t="shared" si="4"/>
        <v>3.63</v>
      </c>
      <c r="F32" s="89">
        <f t="shared" si="1"/>
        <v>66120.45</v>
      </c>
      <c r="G32" s="17"/>
      <c r="H32" s="87">
        <f>'6. Historical Wholesale'!H32</f>
        <v>20763</v>
      </c>
      <c r="I32" s="88">
        <f t="shared" si="5"/>
        <v>0.75</v>
      </c>
      <c r="J32" s="89">
        <f t="shared" si="2"/>
        <v>15572.25</v>
      </c>
      <c r="K32" s="17"/>
      <c r="L32" s="87">
        <f>'6. Historical Wholesale'!L32</f>
        <v>20763</v>
      </c>
      <c r="M32" s="88">
        <f t="shared" si="6"/>
        <v>1.85</v>
      </c>
      <c r="N32" s="89">
        <f t="shared" si="3"/>
        <v>38411.550000000003</v>
      </c>
      <c r="O32" s="17"/>
      <c r="P32" s="47">
        <f t="shared" si="0"/>
        <v>53983.8</v>
      </c>
      <c r="Q32" s="17"/>
    </row>
    <row r="33" spans="2:17" ht="15.75" x14ac:dyDescent="0.25">
      <c r="B33" s="48" t="s">
        <v>136</v>
      </c>
      <c r="C33" s="17"/>
      <c r="D33" s="87">
        <f>'6. Historical Wholesale'!D33</f>
        <v>19783</v>
      </c>
      <c r="E33" s="88">
        <f t="shared" si="4"/>
        <v>3.63</v>
      </c>
      <c r="F33" s="89">
        <f t="shared" si="1"/>
        <v>71812.289999999994</v>
      </c>
      <c r="G33" s="17"/>
      <c r="H33" s="87">
        <f>'6. Historical Wholesale'!H33</f>
        <v>21463</v>
      </c>
      <c r="I33" s="88">
        <f t="shared" si="5"/>
        <v>0.75</v>
      </c>
      <c r="J33" s="89">
        <f t="shared" si="2"/>
        <v>16097.25</v>
      </c>
      <c r="K33" s="17"/>
      <c r="L33" s="87">
        <f>'6. Historical Wholesale'!L33</f>
        <v>21463</v>
      </c>
      <c r="M33" s="88">
        <f t="shared" si="6"/>
        <v>1.85</v>
      </c>
      <c r="N33" s="89">
        <f t="shared" si="3"/>
        <v>39706.550000000003</v>
      </c>
      <c r="O33" s="17"/>
      <c r="P33" s="47">
        <f t="shared" si="0"/>
        <v>55803.8</v>
      </c>
      <c r="Q33" s="17"/>
    </row>
    <row r="34" spans="2:17" ht="15.75" x14ac:dyDescent="0.25">
      <c r="B34" s="48" t="s">
        <v>137</v>
      </c>
      <c r="C34" s="17"/>
      <c r="D34" s="87">
        <f>'6. Historical Wholesale'!D34</f>
        <v>23750</v>
      </c>
      <c r="E34" s="88">
        <f t="shared" si="4"/>
        <v>3.63</v>
      </c>
      <c r="F34" s="89">
        <f t="shared" si="1"/>
        <v>86212.5</v>
      </c>
      <c r="G34" s="17"/>
      <c r="H34" s="87">
        <f>'6. Historical Wholesale'!H34</f>
        <v>23750</v>
      </c>
      <c r="I34" s="88">
        <f t="shared" si="5"/>
        <v>0.75</v>
      </c>
      <c r="J34" s="89">
        <f t="shared" si="2"/>
        <v>17812.5</v>
      </c>
      <c r="K34" s="17"/>
      <c r="L34" s="87">
        <f>'6. Historical Wholesale'!L34</f>
        <v>23750</v>
      </c>
      <c r="M34" s="88">
        <f t="shared" si="6"/>
        <v>1.85</v>
      </c>
      <c r="N34" s="89">
        <f t="shared" si="3"/>
        <v>43937.5</v>
      </c>
      <c r="O34" s="17"/>
      <c r="P34" s="47">
        <f t="shared" si="0"/>
        <v>61750</v>
      </c>
      <c r="Q34" s="17"/>
    </row>
    <row r="35" spans="2:17" ht="15.75" x14ac:dyDescent="0.25">
      <c r="B35" s="48" t="s">
        <v>138</v>
      </c>
      <c r="C35" s="17"/>
      <c r="D35" s="87">
        <f>'6. Historical Wholesale'!D35</f>
        <v>21347</v>
      </c>
      <c r="E35" s="88">
        <f t="shared" si="4"/>
        <v>3.63</v>
      </c>
      <c r="F35" s="89">
        <f t="shared" si="1"/>
        <v>77489.61</v>
      </c>
      <c r="G35" s="17"/>
      <c r="H35" s="87">
        <f>'6. Historical Wholesale'!H35</f>
        <v>23991</v>
      </c>
      <c r="I35" s="88">
        <f t="shared" si="5"/>
        <v>0.75</v>
      </c>
      <c r="J35" s="89">
        <f t="shared" si="2"/>
        <v>17993.25</v>
      </c>
      <c r="K35" s="17"/>
      <c r="L35" s="87">
        <f>'6. Historical Wholesale'!L35</f>
        <v>23991</v>
      </c>
      <c r="M35" s="88">
        <f t="shared" si="6"/>
        <v>1.85</v>
      </c>
      <c r="N35" s="89">
        <f t="shared" si="3"/>
        <v>44383.35</v>
      </c>
      <c r="O35" s="17"/>
      <c r="P35" s="47">
        <f t="shared" si="0"/>
        <v>62376.6</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250203</v>
      </c>
      <c r="E37" s="51">
        <f>IF(D37&lt;&gt;0,F37/D37,0)</f>
        <v>3.63</v>
      </c>
      <c r="F37" s="52">
        <f>SUM(F24:F35)</f>
        <v>908236.89</v>
      </c>
      <c r="G37" s="17"/>
      <c r="H37" s="50">
        <f>SUM(H24:H35)</f>
        <v>273170</v>
      </c>
      <c r="I37" s="51">
        <f>IF(H37&lt;&gt;0,J37/H37,0)</f>
        <v>0.75</v>
      </c>
      <c r="J37" s="52">
        <f>SUM(J24:J35)</f>
        <v>204877.5</v>
      </c>
      <c r="K37" s="17"/>
      <c r="L37" s="50">
        <f>SUM(L24:L35)</f>
        <v>273170</v>
      </c>
      <c r="M37" s="51">
        <f>IF(L37&lt;&gt;0,N37/L37,0)</f>
        <v>1.8499999999999999</v>
      </c>
      <c r="N37" s="52">
        <f>SUM(N24:N35)</f>
        <v>505364.49999999994</v>
      </c>
      <c r="O37" s="17"/>
      <c r="P37" s="52">
        <f>SUM(P24:P35)</f>
        <v>710242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Sub-Transmission'!G35+'5. UTRs and Sub-Transmission'!G79</f>
        <v>3.3265000000000002</v>
      </c>
      <c r="F43" s="89">
        <f>D43*E43</f>
        <v>0</v>
      </c>
      <c r="G43" s="17"/>
      <c r="H43" s="87">
        <f>'6. Historical Wholesale'!H43</f>
        <v>0</v>
      </c>
      <c r="I43" s="88">
        <f>'5. UTRs and Sub-Transmission'!G37+'5. UTRs and Sub-Transmission'!G81</f>
        <v>0.76669999999999994</v>
      </c>
      <c r="J43" s="89">
        <f>H43*I43</f>
        <v>0</v>
      </c>
      <c r="K43" s="17"/>
      <c r="L43" s="87">
        <f>'6. Historical Wholesale'!L43</f>
        <v>0</v>
      </c>
      <c r="M43" s="88">
        <f>'5. UTRs and Sub-Transmission'!G39</f>
        <v>1.63</v>
      </c>
      <c r="N43" s="89">
        <f>L43*M43</f>
        <v>0</v>
      </c>
      <c r="O43" s="17"/>
      <c r="P43" s="47">
        <f t="shared" ref="P43:P54" si="7">J43+N43</f>
        <v>0</v>
      </c>
      <c r="Q43" s="17"/>
    </row>
    <row r="44" spans="2:17" ht="15.75" x14ac:dyDescent="0.25">
      <c r="B44" s="48" t="s">
        <v>128</v>
      </c>
      <c r="C44" s="17"/>
      <c r="D44" s="87">
        <f>'6. Historical Wholesale'!D44</f>
        <v>0</v>
      </c>
      <c r="E44" s="88">
        <f>E43</f>
        <v>3.3265000000000002</v>
      </c>
      <c r="F44" s="89">
        <f t="shared" ref="F44:F54" si="8">D44*E44</f>
        <v>0</v>
      </c>
      <c r="G44" s="17"/>
      <c r="H44" s="87">
        <f>'6. Historical Wholesale'!H44</f>
        <v>0</v>
      </c>
      <c r="I44" s="88">
        <f>I43</f>
        <v>0.76669999999999994</v>
      </c>
      <c r="J44" s="89">
        <f t="shared" ref="J44:J54" si="9">H44*I44</f>
        <v>0</v>
      </c>
      <c r="K44" s="17"/>
      <c r="L44" s="87">
        <f>'6. Historical Wholesale'!L44</f>
        <v>0</v>
      </c>
      <c r="M44" s="88">
        <f>M43</f>
        <v>1.63</v>
      </c>
      <c r="N44" s="89">
        <f t="shared" ref="N44:N54" si="10">L44*M44</f>
        <v>0</v>
      </c>
      <c r="O44" s="17"/>
      <c r="P44" s="47">
        <f t="shared" si="7"/>
        <v>0</v>
      </c>
      <c r="Q44" s="17"/>
    </row>
    <row r="45" spans="2:17" ht="15.75" x14ac:dyDescent="0.25">
      <c r="B45" s="48" t="s">
        <v>129</v>
      </c>
      <c r="C45" s="17"/>
      <c r="D45" s="87">
        <f>'6. Historical Wholesale'!D45</f>
        <v>0</v>
      </c>
      <c r="E45" s="88">
        <f t="shared" ref="E45:E54" si="11">E44</f>
        <v>3.3265000000000002</v>
      </c>
      <c r="F45" s="89">
        <f t="shared" si="8"/>
        <v>0</v>
      </c>
      <c r="G45" s="17"/>
      <c r="H45" s="87">
        <f>'6. Historical Wholesale'!H45</f>
        <v>0</v>
      </c>
      <c r="I45" s="88">
        <f t="shared" ref="I45:I54" si="12">I44</f>
        <v>0.76669999999999994</v>
      </c>
      <c r="J45" s="89">
        <f t="shared" si="9"/>
        <v>0</v>
      </c>
      <c r="K45" s="17"/>
      <c r="L45" s="87">
        <f>'6. Historical Wholesale'!L45</f>
        <v>0</v>
      </c>
      <c r="M45" s="88">
        <f>M44</f>
        <v>1.63</v>
      </c>
      <c r="N45" s="89">
        <f t="shared" si="10"/>
        <v>0</v>
      </c>
      <c r="O45" s="17"/>
      <c r="P45" s="47">
        <f t="shared" si="7"/>
        <v>0</v>
      </c>
      <c r="Q45" s="17"/>
    </row>
    <row r="46" spans="2:17" ht="15.75" x14ac:dyDescent="0.25">
      <c r="B46" s="48" t="s">
        <v>130</v>
      </c>
      <c r="C46" s="17"/>
      <c r="D46" s="87">
        <f>'6. Historical Wholesale'!D46</f>
        <v>0</v>
      </c>
      <c r="E46" s="88">
        <f t="shared" si="11"/>
        <v>3.3265000000000002</v>
      </c>
      <c r="F46" s="89">
        <f t="shared" si="8"/>
        <v>0</v>
      </c>
      <c r="G46" s="17"/>
      <c r="H46" s="87">
        <f>'6. Historical Wholesale'!H46</f>
        <v>0</v>
      </c>
      <c r="I46" s="88">
        <f t="shared" si="12"/>
        <v>0.76669999999999994</v>
      </c>
      <c r="J46" s="89">
        <f t="shared" si="9"/>
        <v>0</v>
      </c>
      <c r="K46" s="17"/>
      <c r="L46" s="87">
        <f>'6. Historical Wholesale'!L46</f>
        <v>0</v>
      </c>
      <c r="M46" s="88">
        <f t="shared" ref="M46:M54" si="13">M45</f>
        <v>1.63</v>
      </c>
      <c r="N46" s="89">
        <f t="shared" si="10"/>
        <v>0</v>
      </c>
      <c r="O46" s="17"/>
      <c r="P46" s="47">
        <f t="shared" si="7"/>
        <v>0</v>
      </c>
      <c r="Q46" s="17"/>
    </row>
    <row r="47" spans="2:17" ht="15.75" x14ac:dyDescent="0.25">
      <c r="B47" s="48" t="s">
        <v>131</v>
      </c>
      <c r="C47" s="17"/>
      <c r="D47" s="87">
        <f>'6. Historical Wholesale'!D47</f>
        <v>0</v>
      </c>
      <c r="E47" s="88">
        <f t="shared" si="11"/>
        <v>3.3265000000000002</v>
      </c>
      <c r="F47" s="89">
        <f t="shared" si="8"/>
        <v>0</v>
      </c>
      <c r="G47" s="17"/>
      <c r="H47" s="87">
        <f>'6. Historical Wholesale'!H47</f>
        <v>0</v>
      </c>
      <c r="I47" s="88">
        <f t="shared" si="12"/>
        <v>0.76669999999999994</v>
      </c>
      <c r="J47" s="89">
        <f t="shared" si="9"/>
        <v>0</v>
      </c>
      <c r="K47" s="17"/>
      <c r="L47" s="87">
        <f>'6. Historical Wholesale'!L47</f>
        <v>0</v>
      </c>
      <c r="M47" s="88">
        <f t="shared" si="13"/>
        <v>1.63</v>
      </c>
      <c r="N47" s="89">
        <f t="shared" si="10"/>
        <v>0</v>
      </c>
      <c r="O47" s="17"/>
      <c r="P47" s="47">
        <f t="shared" si="7"/>
        <v>0</v>
      </c>
      <c r="Q47" s="17"/>
    </row>
    <row r="48" spans="2:17" ht="15.75" x14ac:dyDescent="0.25">
      <c r="B48" s="48" t="s">
        <v>132</v>
      </c>
      <c r="C48" s="17"/>
      <c r="D48" s="87">
        <f>'6. Historical Wholesale'!D48</f>
        <v>0</v>
      </c>
      <c r="E48" s="88">
        <f t="shared" si="11"/>
        <v>3.3265000000000002</v>
      </c>
      <c r="F48" s="89">
        <f t="shared" si="8"/>
        <v>0</v>
      </c>
      <c r="G48" s="17"/>
      <c r="H48" s="87">
        <f>'6. Historical Wholesale'!H48</f>
        <v>0</v>
      </c>
      <c r="I48" s="88">
        <f t="shared" si="12"/>
        <v>0.76669999999999994</v>
      </c>
      <c r="J48" s="89">
        <f t="shared" si="9"/>
        <v>0</v>
      </c>
      <c r="K48" s="17"/>
      <c r="L48" s="87">
        <f>'6. Historical Wholesale'!L48</f>
        <v>0</v>
      </c>
      <c r="M48" s="88">
        <f t="shared" si="13"/>
        <v>1.63</v>
      </c>
      <c r="N48" s="89">
        <f t="shared" si="10"/>
        <v>0</v>
      </c>
      <c r="O48" s="17"/>
      <c r="P48" s="47">
        <f t="shared" si="7"/>
        <v>0</v>
      </c>
      <c r="Q48" s="17"/>
    </row>
    <row r="49" spans="2:17" ht="15.75" x14ac:dyDescent="0.25">
      <c r="B49" s="48" t="s">
        <v>133</v>
      </c>
      <c r="C49" s="17"/>
      <c r="D49" s="87">
        <f>'6. Historical Wholesale'!D49</f>
        <v>0</v>
      </c>
      <c r="E49" s="88">
        <f t="shared" si="11"/>
        <v>3.3265000000000002</v>
      </c>
      <c r="F49" s="89">
        <f t="shared" si="8"/>
        <v>0</v>
      </c>
      <c r="G49" s="17"/>
      <c r="H49" s="87">
        <f>'6. Historical Wholesale'!H49</f>
        <v>0</v>
      </c>
      <c r="I49" s="88">
        <f t="shared" si="12"/>
        <v>0.76669999999999994</v>
      </c>
      <c r="J49" s="89">
        <f t="shared" si="9"/>
        <v>0</v>
      </c>
      <c r="K49" s="17"/>
      <c r="L49" s="87">
        <f>'6. Historical Wholesale'!L49</f>
        <v>0</v>
      </c>
      <c r="M49" s="88">
        <f t="shared" si="13"/>
        <v>1.63</v>
      </c>
      <c r="N49" s="89">
        <f t="shared" si="10"/>
        <v>0</v>
      </c>
      <c r="O49" s="17"/>
      <c r="P49" s="47">
        <f t="shared" si="7"/>
        <v>0</v>
      </c>
      <c r="Q49" s="17"/>
    </row>
    <row r="50" spans="2:17" ht="15.75" x14ac:dyDescent="0.25">
      <c r="B50" s="48" t="s">
        <v>134</v>
      </c>
      <c r="C50" s="17"/>
      <c r="D50" s="87">
        <f>'6. Historical Wholesale'!D50</f>
        <v>0</v>
      </c>
      <c r="E50" s="88">
        <f t="shared" si="11"/>
        <v>3.3265000000000002</v>
      </c>
      <c r="F50" s="89">
        <f t="shared" si="8"/>
        <v>0</v>
      </c>
      <c r="G50" s="17"/>
      <c r="H50" s="87">
        <f>'6. Historical Wholesale'!H50</f>
        <v>0</v>
      </c>
      <c r="I50" s="88">
        <f t="shared" si="12"/>
        <v>0.76669999999999994</v>
      </c>
      <c r="J50" s="89">
        <f t="shared" si="9"/>
        <v>0</v>
      </c>
      <c r="K50" s="17"/>
      <c r="L50" s="87">
        <f>'6. Historical Wholesale'!L50</f>
        <v>0</v>
      </c>
      <c r="M50" s="88">
        <f t="shared" si="13"/>
        <v>1.63</v>
      </c>
      <c r="N50" s="89">
        <f t="shared" si="10"/>
        <v>0</v>
      </c>
      <c r="O50" s="17"/>
      <c r="P50" s="47">
        <f t="shared" si="7"/>
        <v>0</v>
      </c>
      <c r="Q50" s="17"/>
    </row>
    <row r="51" spans="2:17" ht="15.75" x14ac:dyDescent="0.25">
      <c r="B51" s="48" t="s">
        <v>135</v>
      </c>
      <c r="C51" s="17"/>
      <c r="D51" s="87">
        <f>'6. Historical Wholesale'!D51</f>
        <v>0</v>
      </c>
      <c r="E51" s="88">
        <f t="shared" si="11"/>
        <v>3.3265000000000002</v>
      </c>
      <c r="F51" s="89">
        <f t="shared" si="8"/>
        <v>0</v>
      </c>
      <c r="G51" s="17"/>
      <c r="H51" s="87">
        <f>'6. Historical Wholesale'!H51</f>
        <v>0</v>
      </c>
      <c r="I51" s="88">
        <f t="shared" si="12"/>
        <v>0.76669999999999994</v>
      </c>
      <c r="J51" s="89">
        <f t="shared" si="9"/>
        <v>0</v>
      </c>
      <c r="K51" s="17"/>
      <c r="L51" s="87">
        <f>'6. Historical Wholesale'!L51</f>
        <v>0</v>
      </c>
      <c r="M51" s="88">
        <f t="shared" si="13"/>
        <v>1.63</v>
      </c>
      <c r="N51" s="89">
        <f t="shared" si="10"/>
        <v>0</v>
      </c>
      <c r="O51" s="17"/>
      <c r="P51" s="47">
        <f t="shared" si="7"/>
        <v>0</v>
      </c>
      <c r="Q51" s="17"/>
    </row>
    <row r="52" spans="2:17" ht="15.75" x14ac:dyDescent="0.25">
      <c r="B52" s="48" t="s">
        <v>136</v>
      </c>
      <c r="C52" s="17"/>
      <c r="D52" s="87">
        <f>'6. Historical Wholesale'!D52</f>
        <v>0</v>
      </c>
      <c r="E52" s="88">
        <f t="shared" si="11"/>
        <v>3.3265000000000002</v>
      </c>
      <c r="F52" s="89">
        <f t="shared" si="8"/>
        <v>0</v>
      </c>
      <c r="G52" s="17"/>
      <c r="H52" s="87">
        <f>'6. Historical Wholesale'!H52</f>
        <v>0</v>
      </c>
      <c r="I52" s="88">
        <f t="shared" si="12"/>
        <v>0.76669999999999994</v>
      </c>
      <c r="J52" s="89">
        <f t="shared" si="9"/>
        <v>0</v>
      </c>
      <c r="K52" s="17"/>
      <c r="L52" s="87">
        <f>'6. Historical Wholesale'!L52</f>
        <v>0</v>
      </c>
      <c r="M52" s="88">
        <f t="shared" si="13"/>
        <v>1.63</v>
      </c>
      <c r="N52" s="89">
        <f t="shared" si="10"/>
        <v>0</v>
      </c>
      <c r="O52" s="17"/>
      <c r="P52" s="47">
        <f t="shared" si="7"/>
        <v>0</v>
      </c>
      <c r="Q52" s="17"/>
    </row>
    <row r="53" spans="2:17" ht="15.75" x14ac:dyDescent="0.25">
      <c r="B53" s="48" t="s">
        <v>137</v>
      </c>
      <c r="C53" s="17"/>
      <c r="D53" s="87">
        <f>'6. Historical Wholesale'!D53</f>
        <v>0</v>
      </c>
      <c r="E53" s="88">
        <f t="shared" si="11"/>
        <v>3.3265000000000002</v>
      </c>
      <c r="F53" s="89">
        <f t="shared" si="8"/>
        <v>0</v>
      </c>
      <c r="G53" s="17"/>
      <c r="H53" s="87">
        <f>'6. Historical Wholesale'!H53</f>
        <v>0</v>
      </c>
      <c r="I53" s="88">
        <f t="shared" si="12"/>
        <v>0.76669999999999994</v>
      </c>
      <c r="J53" s="89">
        <f t="shared" si="9"/>
        <v>0</v>
      </c>
      <c r="K53" s="17"/>
      <c r="L53" s="87">
        <f>'6. Historical Wholesale'!L53</f>
        <v>0</v>
      </c>
      <c r="M53" s="88">
        <f t="shared" si="13"/>
        <v>1.63</v>
      </c>
      <c r="N53" s="89">
        <f t="shared" si="10"/>
        <v>0</v>
      </c>
      <c r="O53" s="17"/>
      <c r="P53" s="47">
        <f t="shared" si="7"/>
        <v>0</v>
      </c>
      <c r="Q53" s="17"/>
    </row>
    <row r="54" spans="2:17" ht="15.75" x14ac:dyDescent="0.25">
      <c r="B54" s="48" t="s">
        <v>138</v>
      </c>
      <c r="C54" s="17"/>
      <c r="D54" s="87">
        <f>'6. Historical Wholesale'!D54</f>
        <v>0</v>
      </c>
      <c r="E54" s="88">
        <f t="shared" si="11"/>
        <v>3.3265000000000002</v>
      </c>
      <c r="F54" s="89">
        <f t="shared" si="8"/>
        <v>0</v>
      </c>
      <c r="G54" s="17"/>
      <c r="H54" s="87">
        <f>'6. Historical Wholesale'!H54</f>
        <v>0</v>
      </c>
      <c r="I54" s="88">
        <f t="shared" si="12"/>
        <v>0.76669999999999994</v>
      </c>
      <c r="J54" s="89">
        <f t="shared" si="9"/>
        <v>0</v>
      </c>
      <c r="K54" s="17"/>
      <c r="L54" s="87">
        <f>'6. Historical Wholesale'!L54</f>
        <v>0</v>
      </c>
      <c r="M54" s="88">
        <f t="shared" si="13"/>
        <v>1.63</v>
      </c>
      <c r="N54" s="89">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4"/>
      <c r="E97" s="204"/>
      <c r="F97" s="204"/>
      <c r="G97" s="44"/>
      <c r="H97" s="204"/>
      <c r="I97" s="204"/>
      <c r="J97" s="204"/>
      <c r="K97" s="44"/>
      <c r="L97" s="204"/>
      <c r="M97" s="204"/>
      <c r="N97" s="204"/>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21429</v>
      </c>
      <c r="E100" s="86">
        <f t="shared" ref="E100:E111" si="28">IF(D100&lt;&gt;0,F100/D100,0)</f>
        <v>3.6300000000000003</v>
      </c>
      <c r="F100" s="47">
        <f>F24+F43+F62+F81</f>
        <v>77787.27</v>
      </c>
      <c r="G100" s="17"/>
      <c r="H100" s="53">
        <f>H24+H43+H62+H81</f>
        <v>24028</v>
      </c>
      <c r="I100" s="86">
        <f t="shared" ref="I100:I111" si="29">IF(H100&lt;&gt;0,J100/H100,0)</f>
        <v>0.75</v>
      </c>
      <c r="J100" s="47">
        <f>J24+J43+J62+J81</f>
        <v>18021</v>
      </c>
      <c r="K100" s="17"/>
      <c r="L100" s="53">
        <f>L24+L43+L62+L81</f>
        <v>24028</v>
      </c>
      <c r="M100" s="86">
        <f t="shared" ref="M100:M111" si="30">IF(L100&lt;&gt;0,N100/L100,0)</f>
        <v>1.85</v>
      </c>
      <c r="N100" s="47">
        <f>N24+N43+N62+N81</f>
        <v>44451.8</v>
      </c>
      <c r="O100" s="17"/>
      <c r="P100" s="47">
        <f t="shared" ref="P100:P111" si="31">J100+N100</f>
        <v>62472.800000000003</v>
      </c>
      <c r="Q100" s="17"/>
    </row>
    <row r="101" spans="2:17" ht="15.75" x14ac:dyDescent="0.25">
      <c r="B101" s="48" t="s">
        <v>128</v>
      </c>
      <c r="C101" s="17"/>
      <c r="D101" s="53">
        <f t="shared" ref="D101:D111" si="32">D25+D44+D63+D82</f>
        <v>21845</v>
      </c>
      <c r="E101" s="86">
        <f t="shared" si="28"/>
        <v>3.6299999999999994</v>
      </c>
      <c r="F101" s="47">
        <f t="shared" ref="F101:F111" si="33">F25+F44+F63+F82</f>
        <v>79297.349999999991</v>
      </c>
      <c r="G101" s="17"/>
      <c r="H101" s="53">
        <f t="shared" ref="H101:H111" si="34">H25+H44+H63+H82</f>
        <v>23853</v>
      </c>
      <c r="I101" s="86">
        <f t="shared" si="29"/>
        <v>0.75</v>
      </c>
      <c r="J101" s="47">
        <f t="shared" ref="J101:J111" si="35">J25+J44+J63+J82</f>
        <v>17889.75</v>
      </c>
      <c r="K101" s="17"/>
      <c r="L101" s="53">
        <f t="shared" ref="L101:L111" si="36">L25+L44+L63+L82</f>
        <v>23853</v>
      </c>
      <c r="M101" s="86">
        <f t="shared" si="30"/>
        <v>1.85</v>
      </c>
      <c r="N101" s="47">
        <f t="shared" ref="N101:N111" si="37">N25+N44+N63+N82</f>
        <v>44128.05</v>
      </c>
      <c r="O101" s="17"/>
      <c r="P101" s="47">
        <f t="shared" si="31"/>
        <v>62017.8</v>
      </c>
      <c r="Q101" s="17"/>
    </row>
    <row r="102" spans="2:17" ht="15.75" x14ac:dyDescent="0.25">
      <c r="B102" s="48" t="s">
        <v>129</v>
      </c>
      <c r="C102" s="17"/>
      <c r="D102" s="53">
        <f t="shared" si="32"/>
        <v>21782</v>
      </c>
      <c r="E102" s="86">
        <f t="shared" si="28"/>
        <v>3.6300000000000003</v>
      </c>
      <c r="F102" s="47">
        <f t="shared" si="33"/>
        <v>79068.66</v>
      </c>
      <c r="G102" s="17"/>
      <c r="H102" s="53">
        <f t="shared" si="34"/>
        <v>23281</v>
      </c>
      <c r="I102" s="86">
        <f t="shared" si="29"/>
        <v>0.75</v>
      </c>
      <c r="J102" s="47">
        <f t="shared" si="35"/>
        <v>17460.75</v>
      </c>
      <c r="K102" s="17"/>
      <c r="L102" s="53">
        <f t="shared" si="36"/>
        <v>23281</v>
      </c>
      <c r="M102" s="86">
        <f t="shared" si="30"/>
        <v>1.8499999999999999</v>
      </c>
      <c r="N102" s="47">
        <f t="shared" si="37"/>
        <v>43069.85</v>
      </c>
      <c r="O102" s="17"/>
      <c r="P102" s="47">
        <f t="shared" si="31"/>
        <v>60530.6</v>
      </c>
      <c r="Q102" s="17"/>
    </row>
    <row r="103" spans="2:17" ht="15.75" x14ac:dyDescent="0.25">
      <c r="B103" s="48" t="s">
        <v>130</v>
      </c>
      <c r="C103" s="17"/>
      <c r="D103" s="53">
        <f t="shared" si="32"/>
        <v>19914</v>
      </c>
      <c r="E103" s="86">
        <f t="shared" si="28"/>
        <v>3.6299999999999994</v>
      </c>
      <c r="F103" s="47">
        <f t="shared" si="33"/>
        <v>72287.819999999992</v>
      </c>
      <c r="G103" s="17"/>
      <c r="H103" s="53">
        <f t="shared" si="34"/>
        <v>22118</v>
      </c>
      <c r="I103" s="86">
        <f t="shared" si="29"/>
        <v>0.75</v>
      </c>
      <c r="J103" s="47">
        <f t="shared" si="35"/>
        <v>16588.5</v>
      </c>
      <c r="K103" s="17"/>
      <c r="L103" s="53">
        <f t="shared" si="36"/>
        <v>22118</v>
      </c>
      <c r="M103" s="86">
        <f t="shared" si="30"/>
        <v>1.85</v>
      </c>
      <c r="N103" s="47">
        <f t="shared" si="37"/>
        <v>40918.300000000003</v>
      </c>
      <c r="O103" s="17"/>
      <c r="P103" s="47">
        <f t="shared" si="31"/>
        <v>57506.8</v>
      </c>
      <c r="Q103" s="17"/>
    </row>
    <row r="104" spans="2:17" ht="15.75" x14ac:dyDescent="0.25">
      <c r="B104" s="48" t="s">
        <v>131</v>
      </c>
      <c r="C104" s="17"/>
      <c r="D104" s="53">
        <f t="shared" si="32"/>
        <v>19067</v>
      </c>
      <c r="E104" s="86">
        <f t="shared" si="28"/>
        <v>3.6299999999999994</v>
      </c>
      <c r="F104" s="47">
        <f t="shared" si="33"/>
        <v>69213.209999999992</v>
      </c>
      <c r="G104" s="17"/>
      <c r="H104" s="53">
        <f t="shared" si="34"/>
        <v>22390</v>
      </c>
      <c r="I104" s="86">
        <f t="shared" si="29"/>
        <v>0.75</v>
      </c>
      <c r="J104" s="47">
        <f t="shared" si="35"/>
        <v>16792.5</v>
      </c>
      <c r="K104" s="17"/>
      <c r="L104" s="53">
        <f t="shared" si="36"/>
        <v>22390</v>
      </c>
      <c r="M104" s="86">
        <f t="shared" si="30"/>
        <v>1.85</v>
      </c>
      <c r="N104" s="47">
        <f t="shared" si="37"/>
        <v>41421.5</v>
      </c>
      <c r="O104" s="17"/>
      <c r="P104" s="47">
        <f t="shared" si="31"/>
        <v>58214</v>
      </c>
      <c r="Q104" s="17"/>
    </row>
    <row r="105" spans="2:17" ht="15.75" x14ac:dyDescent="0.25">
      <c r="B105" s="48" t="s">
        <v>132</v>
      </c>
      <c r="C105" s="17"/>
      <c r="D105" s="53">
        <f t="shared" si="32"/>
        <v>17564</v>
      </c>
      <c r="E105" s="86">
        <f t="shared" si="28"/>
        <v>3.63</v>
      </c>
      <c r="F105" s="47">
        <f t="shared" si="33"/>
        <v>63757.32</v>
      </c>
      <c r="G105" s="17"/>
      <c r="H105" s="53">
        <f t="shared" si="34"/>
        <v>19063</v>
      </c>
      <c r="I105" s="86">
        <f t="shared" si="29"/>
        <v>0.75</v>
      </c>
      <c r="J105" s="47">
        <f t="shared" si="35"/>
        <v>14297.25</v>
      </c>
      <c r="K105" s="17"/>
      <c r="L105" s="53">
        <f t="shared" si="36"/>
        <v>19063</v>
      </c>
      <c r="M105" s="86">
        <f t="shared" si="30"/>
        <v>1.85</v>
      </c>
      <c r="N105" s="47">
        <f t="shared" si="37"/>
        <v>35266.550000000003</v>
      </c>
      <c r="O105" s="17"/>
      <c r="P105" s="47">
        <f t="shared" si="31"/>
        <v>49563.8</v>
      </c>
      <c r="Q105" s="17"/>
    </row>
    <row r="106" spans="2:17" ht="15.75" x14ac:dyDescent="0.25">
      <c r="B106" s="48" t="s">
        <v>133</v>
      </c>
      <c r="C106" s="17"/>
      <c r="D106" s="53">
        <f t="shared" si="32"/>
        <v>23995</v>
      </c>
      <c r="E106" s="86">
        <f t="shared" si="28"/>
        <v>3.6299999999999994</v>
      </c>
      <c r="F106" s="47">
        <f t="shared" si="33"/>
        <v>87101.849999999991</v>
      </c>
      <c r="G106" s="17"/>
      <c r="H106" s="53">
        <f t="shared" si="34"/>
        <v>24638</v>
      </c>
      <c r="I106" s="86">
        <f t="shared" si="29"/>
        <v>0.75</v>
      </c>
      <c r="J106" s="47">
        <f t="shared" si="35"/>
        <v>18478.5</v>
      </c>
      <c r="K106" s="17"/>
      <c r="L106" s="53">
        <f t="shared" si="36"/>
        <v>24638</v>
      </c>
      <c r="M106" s="86">
        <f t="shared" si="30"/>
        <v>1.85</v>
      </c>
      <c r="N106" s="47">
        <f t="shared" si="37"/>
        <v>45580.3</v>
      </c>
      <c r="O106" s="17"/>
      <c r="P106" s="47">
        <f t="shared" si="31"/>
        <v>64058.8</v>
      </c>
      <c r="Q106" s="17"/>
    </row>
    <row r="107" spans="2:17" ht="15.75" x14ac:dyDescent="0.25">
      <c r="B107" s="48" t="s">
        <v>134</v>
      </c>
      <c r="C107" s="17"/>
      <c r="D107" s="53">
        <f t="shared" si="32"/>
        <v>21512</v>
      </c>
      <c r="E107" s="86">
        <f t="shared" si="28"/>
        <v>3.63</v>
      </c>
      <c r="F107" s="47">
        <f t="shared" si="33"/>
        <v>78088.56</v>
      </c>
      <c r="G107" s="17"/>
      <c r="H107" s="53">
        <f t="shared" si="34"/>
        <v>23832</v>
      </c>
      <c r="I107" s="86">
        <f t="shared" si="29"/>
        <v>0.75</v>
      </c>
      <c r="J107" s="47">
        <f t="shared" si="35"/>
        <v>17874</v>
      </c>
      <c r="K107" s="17"/>
      <c r="L107" s="53">
        <f t="shared" si="36"/>
        <v>23832</v>
      </c>
      <c r="M107" s="86">
        <f t="shared" si="30"/>
        <v>1.85</v>
      </c>
      <c r="N107" s="47">
        <f t="shared" si="37"/>
        <v>44089.200000000004</v>
      </c>
      <c r="O107" s="17"/>
      <c r="P107" s="47">
        <f t="shared" si="31"/>
        <v>61963.200000000004</v>
      </c>
      <c r="Q107" s="17"/>
    </row>
    <row r="108" spans="2:17" ht="15.75" x14ac:dyDescent="0.25">
      <c r="B108" s="48" t="s">
        <v>135</v>
      </c>
      <c r="C108" s="17"/>
      <c r="D108" s="53">
        <f t="shared" si="32"/>
        <v>18215</v>
      </c>
      <c r="E108" s="86">
        <f t="shared" si="28"/>
        <v>3.63</v>
      </c>
      <c r="F108" s="47">
        <f t="shared" si="33"/>
        <v>66120.45</v>
      </c>
      <c r="G108" s="17"/>
      <c r="H108" s="53">
        <f t="shared" si="34"/>
        <v>20763</v>
      </c>
      <c r="I108" s="86">
        <f t="shared" si="29"/>
        <v>0.75</v>
      </c>
      <c r="J108" s="47">
        <f t="shared" si="35"/>
        <v>15572.25</v>
      </c>
      <c r="K108" s="17"/>
      <c r="L108" s="53">
        <f t="shared" si="36"/>
        <v>20763</v>
      </c>
      <c r="M108" s="86">
        <f t="shared" si="30"/>
        <v>1.85</v>
      </c>
      <c r="N108" s="47">
        <f t="shared" si="37"/>
        <v>38411.550000000003</v>
      </c>
      <c r="O108" s="17"/>
      <c r="P108" s="47">
        <f t="shared" si="31"/>
        <v>53983.8</v>
      </c>
      <c r="Q108" s="17"/>
    </row>
    <row r="109" spans="2:17" ht="15.75" x14ac:dyDescent="0.25">
      <c r="B109" s="48" t="s">
        <v>136</v>
      </c>
      <c r="C109" s="17"/>
      <c r="D109" s="53">
        <f t="shared" si="32"/>
        <v>19783</v>
      </c>
      <c r="E109" s="86">
        <f t="shared" si="28"/>
        <v>3.63</v>
      </c>
      <c r="F109" s="47">
        <f t="shared" si="33"/>
        <v>71812.289999999994</v>
      </c>
      <c r="G109" s="17"/>
      <c r="H109" s="53">
        <f t="shared" si="34"/>
        <v>21463</v>
      </c>
      <c r="I109" s="86">
        <f t="shared" si="29"/>
        <v>0.75</v>
      </c>
      <c r="J109" s="47">
        <f t="shared" si="35"/>
        <v>16097.25</v>
      </c>
      <c r="K109" s="17"/>
      <c r="L109" s="53">
        <f t="shared" si="36"/>
        <v>21463</v>
      </c>
      <c r="M109" s="86">
        <f t="shared" si="30"/>
        <v>1.85</v>
      </c>
      <c r="N109" s="47">
        <f t="shared" si="37"/>
        <v>39706.550000000003</v>
      </c>
      <c r="O109" s="17"/>
      <c r="P109" s="47">
        <f t="shared" si="31"/>
        <v>55803.8</v>
      </c>
      <c r="Q109" s="17"/>
    </row>
    <row r="110" spans="2:17" ht="15.75" x14ac:dyDescent="0.25">
      <c r="B110" s="48" t="s">
        <v>137</v>
      </c>
      <c r="C110" s="17"/>
      <c r="D110" s="53">
        <f t="shared" si="32"/>
        <v>23750</v>
      </c>
      <c r="E110" s="86">
        <f t="shared" si="28"/>
        <v>3.63</v>
      </c>
      <c r="F110" s="47">
        <f t="shared" si="33"/>
        <v>86212.5</v>
      </c>
      <c r="G110" s="17"/>
      <c r="H110" s="53">
        <f t="shared" si="34"/>
        <v>23750</v>
      </c>
      <c r="I110" s="86">
        <f t="shared" si="29"/>
        <v>0.75</v>
      </c>
      <c r="J110" s="47">
        <f t="shared" si="35"/>
        <v>17812.5</v>
      </c>
      <c r="K110" s="17"/>
      <c r="L110" s="53">
        <f t="shared" si="36"/>
        <v>23750</v>
      </c>
      <c r="M110" s="86">
        <f t="shared" si="30"/>
        <v>1.85</v>
      </c>
      <c r="N110" s="47">
        <f t="shared" si="37"/>
        <v>43937.5</v>
      </c>
      <c r="O110" s="17"/>
      <c r="P110" s="47">
        <f t="shared" si="31"/>
        <v>61750</v>
      </c>
      <c r="Q110" s="17"/>
    </row>
    <row r="111" spans="2:17" ht="15.75" x14ac:dyDescent="0.25">
      <c r="B111" s="48" t="s">
        <v>138</v>
      </c>
      <c r="C111" s="17"/>
      <c r="D111" s="53">
        <f t="shared" si="32"/>
        <v>21347</v>
      </c>
      <c r="E111" s="86">
        <f t="shared" si="28"/>
        <v>3.63</v>
      </c>
      <c r="F111" s="47">
        <f t="shared" si="33"/>
        <v>77489.61</v>
      </c>
      <c r="G111" s="17"/>
      <c r="H111" s="53">
        <f t="shared" si="34"/>
        <v>23991</v>
      </c>
      <c r="I111" s="86">
        <f t="shared" si="29"/>
        <v>0.75</v>
      </c>
      <c r="J111" s="47">
        <f t="shared" si="35"/>
        <v>17993.25</v>
      </c>
      <c r="K111" s="17"/>
      <c r="L111" s="53">
        <f t="shared" si="36"/>
        <v>23991</v>
      </c>
      <c r="M111" s="86">
        <f t="shared" si="30"/>
        <v>1.8499999999999999</v>
      </c>
      <c r="N111" s="47">
        <f t="shared" si="37"/>
        <v>44383.35</v>
      </c>
      <c r="O111" s="17"/>
      <c r="P111" s="47">
        <f t="shared" si="31"/>
        <v>62376.6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250203</v>
      </c>
      <c r="E113" s="51">
        <f>IF(D113&lt;&gt;0,F113/D113,0)</f>
        <v>3.63</v>
      </c>
      <c r="F113" s="52">
        <f>SUM(F100:F111)</f>
        <v>908236.89</v>
      </c>
      <c r="G113" s="17"/>
      <c r="H113" s="50">
        <f>SUM(H100:H111)</f>
        <v>273170</v>
      </c>
      <c r="I113" s="51">
        <f>IF(H113&lt;&gt;0,J113/H113,0)</f>
        <v>0.75</v>
      </c>
      <c r="J113" s="52">
        <f>SUM(J100:J111)</f>
        <v>204877.5</v>
      </c>
      <c r="K113" s="17"/>
      <c r="L113" s="50">
        <f>SUM(L100:L111)</f>
        <v>273170</v>
      </c>
      <c r="M113" s="51">
        <f>IF(L113&lt;&gt;0,N113/L113,0)</f>
        <v>1.8499999999999999</v>
      </c>
      <c r="N113" s="52">
        <f>SUM(N100:N111)</f>
        <v>505364.49999999994</v>
      </c>
      <c r="O113" s="17"/>
      <c r="P113" s="52">
        <f>SUM(P100:P111)</f>
        <v>710242</v>
      </c>
      <c r="Q113" s="17"/>
    </row>
    <row r="115" spans="2:17" x14ac:dyDescent="0.2">
      <c r="N115" s="169" t="s">
        <v>255</v>
      </c>
      <c r="P115" s="172">
        <f>'5. UTRs and Sub-Transmission'!G95</f>
        <v>0</v>
      </c>
    </row>
    <row r="117" spans="2:17" ht="13.5" thickBot="1" x14ac:dyDescent="0.25">
      <c r="N117" s="170" t="s">
        <v>258</v>
      </c>
      <c r="P117" s="52">
        <f>P113+P115</f>
        <v>710242</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53" top="1" bottom="0.37" header="0.5" footer="0.17"/>
  <pageSetup paperSize="5"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117"/>
  <sheetViews>
    <sheetView showGridLines="0" topLeftCell="B1" zoomScaleNormal="100" workbookViewId="0">
      <pane ySplit="16" topLeftCell="A17" activePane="bottomLeft" state="frozenSplit"/>
      <selection activeCell="I48" sqref="I48"/>
      <selection pane="bottomLeft" activeCell="M82" sqref="M82"/>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3" t="s">
        <v>251</v>
      </c>
      <c r="C13" s="203"/>
      <c r="D13" s="203"/>
      <c r="E13" s="203"/>
      <c r="F13" s="203"/>
      <c r="G13" s="203"/>
      <c r="H13" s="203"/>
      <c r="I13" s="203"/>
      <c r="J13" s="203"/>
      <c r="K13" s="203"/>
      <c r="L13" s="203"/>
      <c r="M13" s="203"/>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4"/>
      <c r="E21" s="204"/>
      <c r="F21" s="204"/>
      <c r="G21" s="44"/>
      <c r="H21" s="204"/>
      <c r="I21" s="204"/>
      <c r="J21" s="204"/>
      <c r="K21" s="44"/>
      <c r="L21" s="204"/>
      <c r="M21" s="204"/>
      <c r="N21" s="204"/>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21429</v>
      </c>
      <c r="E24" s="88">
        <f>'5. UTRs and Sub-Transmission'!I22</f>
        <v>3.82</v>
      </c>
      <c r="F24" s="89">
        <f t="shared" ref="F24:F35" si="0">D24*E24</f>
        <v>81858.78</v>
      </c>
      <c r="G24" s="17"/>
      <c r="H24" s="87">
        <f>'6. Historical Wholesale'!H24</f>
        <v>24028</v>
      </c>
      <c r="I24" s="88">
        <f>'5. UTRs and Sub-Transmission'!I24</f>
        <v>0.82</v>
      </c>
      <c r="J24" s="89">
        <f t="shared" ref="J24:J35" si="1">H24*I24</f>
        <v>19702.96</v>
      </c>
      <c r="K24" s="17"/>
      <c r="L24" s="87">
        <f>'6. Historical Wholesale'!L24</f>
        <v>24028</v>
      </c>
      <c r="M24" s="88">
        <f>'5. UTRs and Sub-Transmission'!I26</f>
        <v>1.98</v>
      </c>
      <c r="N24" s="89">
        <f t="shared" ref="N24:N35" si="2">L24*M24</f>
        <v>47575.44</v>
      </c>
      <c r="O24" s="17"/>
      <c r="P24" s="47">
        <f t="shared" ref="P24:P35" si="3">J24+N24</f>
        <v>67278.399999999994</v>
      </c>
      <c r="Q24" s="17"/>
    </row>
    <row r="25" spans="2:17" ht="15.75" x14ac:dyDescent="0.25">
      <c r="B25" s="48" t="s">
        <v>128</v>
      </c>
      <c r="C25" s="17"/>
      <c r="D25" s="87">
        <f>'6. Historical Wholesale'!D25</f>
        <v>21845</v>
      </c>
      <c r="E25" s="88">
        <f t="shared" ref="E25:E35" si="4">E24</f>
        <v>3.82</v>
      </c>
      <c r="F25" s="89">
        <f t="shared" si="0"/>
        <v>83447.899999999994</v>
      </c>
      <c r="G25" s="17"/>
      <c r="H25" s="87">
        <f>'6. Historical Wholesale'!H25</f>
        <v>23853</v>
      </c>
      <c r="I25" s="88">
        <f t="shared" ref="I25:I35" si="5">I24</f>
        <v>0.82</v>
      </c>
      <c r="J25" s="89">
        <f t="shared" si="1"/>
        <v>19559.46</v>
      </c>
      <c r="K25" s="17"/>
      <c r="L25" s="87">
        <f>'6. Historical Wholesale'!L25</f>
        <v>23853</v>
      </c>
      <c r="M25" s="88">
        <f t="shared" ref="M25:M35" si="6">M24</f>
        <v>1.98</v>
      </c>
      <c r="N25" s="89">
        <f t="shared" si="2"/>
        <v>47228.94</v>
      </c>
      <c r="O25" s="17"/>
      <c r="P25" s="47">
        <f t="shared" si="3"/>
        <v>66788.399999999994</v>
      </c>
      <c r="Q25" s="17"/>
    </row>
    <row r="26" spans="2:17" ht="15.75" x14ac:dyDescent="0.25">
      <c r="B26" s="48" t="s">
        <v>129</v>
      </c>
      <c r="C26" s="17"/>
      <c r="D26" s="87">
        <f>'6. Historical Wholesale'!D26</f>
        <v>21782</v>
      </c>
      <c r="E26" s="88">
        <f t="shared" si="4"/>
        <v>3.82</v>
      </c>
      <c r="F26" s="89">
        <f t="shared" si="0"/>
        <v>83207.239999999991</v>
      </c>
      <c r="G26" s="17"/>
      <c r="H26" s="87">
        <f>'6. Historical Wholesale'!H26</f>
        <v>23281</v>
      </c>
      <c r="I26" s="88">
        <f t="shared" si="5"/>
        <v>0.82</v>
      </c>
      <c r="J26" s="89">
        <f t="shared" si="1"/>
        <v>19090.419999999998</v>
      </c>
      <c r="K26" s="17"/>
      <c r="L26" s="87">
        <f>'6. Historical Wholesale'!L26</f>
        <v>23281</v>
      </c>
      <c r="M26" s="88">
        <f t="shared" si="6"/>
        <v>1.98</v>
      </c>
      <c r="N26" s="89">
        <f t="shared" si="2"/>
        <v>46096.38</v>
      </c>
      <c r="O26" s="17"/>
      <c r="P26" s="47">
        <f t="shared" si="3"/>
        <v>65186.799999999996</v>
      </c>
      <c r="Q26" s="17"/>
    </row>
    <row r="27" spans="2:17" ht="15.75" x14ac:dyDescent="0.25">
      <c r="B27" s="48" t="s">
        <v>130</v>
      </c>
      <c r="C27" s="17"/>
      <c r="D27" s="87">
        <f>'6. Historical Wholesale'!D27</f>
        <v>19914</v>
      </c>
      <c r="E27" s="88">
        <f t="shared" si="4"/>
        <v>3.82</v>
      </c>
      <c r="F27" s="89">
        <f t="shared" si="0"/>
        <v>76071.48</v>
      </c>
      <c r="G27" s="17"/>
      <c r="H27" s="87">
        <f>'6. Historical Wholesale'!H27</f>
        <v>22118</v>
      </c>
      <c r="I27" s="88">
        <f t="shared" si="5"/>
        <v>0.82</v>
      </c>
      <c r="J27" s="89">
        <f t="shared" si="1"/>
        <v>18136.759999999998</v>
      </c>
      <c r="K27" s="17"/>
      <c r="L27" s="87">
        <f>'6. Historical Wholesale'!L27</f>
        <v>22118</v>
      </c>
      <c r="M27" s="88">
        <f t="shared" si="6"/>
        <v>1.98</v>
      </c>
      <c r="N27" s="89">
        <f t="shared" si="2"/>
        <v>43793.64</v>
      </c>
      <c r="O27" s="17"/>
      <c r="P27" s="47">
        <f t="shared" si="3"/>
        <v>61930.399999999994</v>
      </c>
      <c r="Q27" s="17"/>
    </row>
    <row r="28" spans="2:17" ht="15.75" x14ac:dyDescent="0.25">
      <c r="B28" s="48" t="s">
        <v>131</v>
      </c>
      <c r="C28" s="17"/>
      <c r="D28" s="87">
        <f>'6. Historical Wholesale'!D28</f>
        <v>19067</v>
      </c>
      <c r="E28" s="88">
        <f t="shared" si="4"/>
        <v>3.82</v>
      </c>
      <c r="F28" s="89">
        <f t="shared" si="0"/>
        <v>72835.94</v>
      </c>
      <c r="G28" s="17"/>
      <c r="H28" s="87">
        <f>'6. Historical Wholesale'!H28</f>
        <v>22390</v>
      </c>
      <c r="I28" s="88">
        <f t="shared" si="5"/>
        <v>0.82</v>
      </c>
      <c r="J28" s="89">
        <f t="shared" si="1"/>
        <v>18359.8</v>
      </c>
      <c r="K28" s="17"/>
      <c r="L28" s="87">
        <f>'6. Historical Wholesale'!L28</f>
        <v>22390</v>
      </c>
      <c r="M28" s="88">
        <f t="shared" si="6"/>
        <v>1.98</v>
      </c>
      <c r="N28" s="89">
        <f t="shared" si="2"/>
        <v>44332.2</v>
      </c>
      <c r="O28" s="17"/>
      <c r="P28" s="47">
        <f t="shared" si="3"/>
        <v>62692</v>
      </c>
      <c r="Q28" s="17"/>
    </row>
    <row r="29" spans="2:17" ht="15.75" x14ac:dyDescent="0.25">
      <c r="B29" s="48" t="s">
        <v>132</v>
      </c>
      <c r="C29" s="17"/>
      <c r="D29" s="87">
        <f>'6. Historical Wholesale'!D29</f>
        <v>17564</v>
      </c>
      <c r="E29" s="88">
        <f t="shared" si="4"/>
        <v>3.82</v>
      </c>
      <c r="F29" s="89">
        <f t="shared" si="0"/>
        <v>67094.48</v>
      </c>
      <c r="G29" s="17"/>
      <c r="H29" s="87">
        <f>'6. Historical Wholesale'!H29</f>
        <v>19063</v>
      </c>
      <c r="I29" s="88">
        <f t="shared" si="5"/>
        <v>0.82</v>
      </c>
      <c r="J29" s="89">
        <f t="shared" si="1"/>
        <v>15631.66</v>
      </c>
      <c r="K29" s="17"/>
      <c r="L29" s="87">
        <f>'6. Historical Wholesale'!L29</f>
        <v>19063</v>
      </c>
      <c r="M29" s="88">
        <f t="shared" si="6"/>
        <v>1.98</v>
      </c>
      <c r="N29" s="89">
        <f t="shared" si="2"/>
        <v>37744.74</v>
      </c>
      <c r="O29" s="17"/>
      <c r="P29" s="47">
        <f t="shared" si="3"/>
        <v>53376.399999999994</v>
      </c>
      <c r="Q29" s="17"/>
    </row>
    <row r="30" spans="2:17" ht="15.75" x14ac:dyDescent="0.25">
      <c r="B30" s="48" t="s">
        <v>133</v>
      </c>
      <c r="C30" s="17"/>
      <c r="D30" s="87">
        <f>'6. Historical Wholesale'!D30</f>
        <v>23995</v>
      </c>
      <c r="E30" s="88">
        <f t="shared" si="4"/>
        <v>3.82</v>
      </c>
      <c r="F30" s="89">
        <f t="shared" si="0"/>
        <v>91660.9</v>
      </c>
      <c r="G30" s="17"/>
      <c r="H30" s="87">
        <f>'6. Historical Wholesale'!H30</f>
        <v>24638</v>
      </c>
      <c r="I30" s="88">
        <f t="shared" si="5"/>
        <v>0.82</v>
      </c>
      <c r="J30" s="89">
        <f t="shared" si="1"/>
        <v>20203.16</v>
      </c>
      <c r="K30" s="17"/>
      <c r="L30" s="87">
        <f>'6. Historical Wholesale'!L30</f>
        <v>24638</v>
      </c>
      <c r="M30" s="88">
        <f t="shared" si="6"/>
        <v>1.98</v>
      </c>
      <c r="N30" s="89">
        <f t="shared" si="2"/>
        <v>48783.24</v>
      </c>
      <c r="O30" s="17"/>
      <c r="P30" s="47">
        <f t="shared" si="3"/>
        <v>68986.399999999994</v>
      </c>
      <c r="Q30" s="17"/>
    </row>
    <row r="31" spans="2:17" ht="15.75" x14ac:dyDescent="0.25">
      <c r="B31" s="48" t="s">
        <v>134</v>
      </c>
      <c r="C31" s="17"/>
      <c r="D31" s="87">
        <f>'6. Historical Wholesale'!D31</f>
        <v>21512</v>
      </c>
      <c r="E31" s="88">
        <f t="shared" si="4"/>
        <v>3.82</v>
      </c>
      <c r="F31" s="89">
        <f t="shared" si="0"/>
        <v>82175.839999999997</v>
      </c>
      <c r="G31" s="17"/>
      <c r="H31" s="87">
        <f>'6. Historical Wholesale'!H31</f>
        <v>23832</v>
      </c>
      <c r="I31" s="88">
        <f t="shared" si="5"/>
        <v>0.82</v>
      </c>
      <c r="J31" s="89">
        <f t="shared" si="1"/>
        <v>19542.239999999998</v>
      </c>
      <c r="K31" s="17"/>
      <c r="L31" s="87">
        <f>'6. Historical Wholesale'!L31</f>
        <v>23832</v>
      </c>
      <c r="M31" s="88">
        <f t="shared" si="6"/>
        <v>1.98</v>
      </c>
      <c r="N31" s="89">
        <f t="shared" si="2"/>
        <v>47187.360000000001</v>
      </c>
      <c r="O31" s="17"/>
      <c r="P31" s="47">
        <f t="shared" si="3"/>
        <v>66729.600000000006</v>
      </c>
      <c r="Q31" s="17"/>
    </row>
    <row r="32" spans="2:17" ht="15.75" x14ac:dyDescent="0.25">
      <c r="B32" s="48" t="s">
        <v>135</v>
      </c>
      <c r="C32" s="17"/>
      <c r="D32" s="87">
        <f>'6. Historical Wholesale'!D32</f>
        <v>18215</v>
      </c>
      <c r="E32" s="88">
        <f t="shared" si="4"/>
        <v>3.82</v>
      </c>
      <c r="F32" s="89">
        <f t="shared" si="0"/>
        <v>69581.3</v>
      </c>
      <c r="G32" s="17"/>
      <c r="H32" s="87">
        <f>'6. Historical Wholesale'!H32</f>
        <v>20763</v>
      </c>
      <c r="I32" s="88">
        <f t="shared" si="5"/>
        <v>0.82</v>
      </c>
      <c r="J32" s="89">
        <f t="shared" si="1"/>
        <v>17025.66</v>
      </c>
      <c r="K32" s="17"/>
      <c r="L32" s="87">
        <f>'6. Historical Wholesale'!L32</f>
        <v>20763</v>
      </c>
      <c r="M32" s="88">
        <f t="shared" si="6"/>
        <v>1.98</v>
      </c>
      <c r="N32" s="89">
        <f t="shared" si="2"/>
        <v>41110.74</v>
      </c>
      <c r="O32" s="17"/>
      <c r="P32" s="47">
        <f t="shared" si="3"/>
        <v>58136.399999999994</v>
      </c>
      <c r="Q32" s="17"/>
    </row>
    <row r="33" spans="2:17" ht="15.75" x14ac:dyDescent="0.25">
      <c r="B33" s="48" t="s">
        <v>136</v>
      </c>
      <c r="C33" s="17"/>
      <c r="D33" s="87">
        <f>'6. Historical Wholesale'!D33</f>
        <v>19783</v>
      </c>
      <c r="E33" s="88">
        <f t="shared" si="4"/>
        <v>3.82</v>
      </c>
      <c r="F33" s="89">
        <f t="shared" si="0"/>
        <v>75571.06</v>
      </c>
      <c r="G33" s="17"/>
      <c r="H33" s="87">
        <f>'6. Historical Wholesale'!H33</f>
        <v>21463</v>
      </c>
      <c r="I33" s="88">
        <f t="shared" si="5"/>
        <v>0.82</v>
      </c>
      <c r="J33" s="89">
        <f t="shared" si="1"/>
        <v>17599.66</v>
      </c>
      <c r="K33" s="17"/>
      <c r="L33" s="87">
        <f>'6. Historical Wholesale'!L33</f>
        <v>21463</v>
      </c>
      <c r="M33" s="88">
        <f t="shared" si="6"/>
        <v>1.98</v>
      </c>
      <c r="N33" s="89">
        <f t="shared" si="2"/>
        <v>42496.74</v>
      </c>
      <c r="O33" s="17"/>
      <c r="P33" s="47">
        <f t="shared" si="3"/>
        <v>60096.399999999994</v>
      </c>
      <c r="Q33" s="17"/>
    </row>
    <row r="34" spans="2:17" ht="15.75" x14ac:dyDescent="0.25">
      <c r="B34" s="48" t="s">
        <v>137</v>
      </c>
      <c r="C34" s="17"/>
      <c r="D34" s="87">
        <f>'6. Historical Wholesale'!D34</f>
        <v>23750</v>
      </c>
      <c r="E34" s="88">
        <f t="shared" si="4"/>
        <v>3.82</v>
      </c>
      <c r="F34" s="89">
        <f t="shared" si="0"/>
        <v>90725</v>
      </c>
      <c r="G34" s="17"/>
      <c r="H34" s="87">
        <f>'6. Historical Wholesale'!H34</f>
        <v>23750</v>
      </c>
      <c r="I34" s="88">
        <f t="shared" si="5"/>
        <v>0.82</v>
      </c>
      <c r="J34" s="89">
        <f t="shared" si="1"/>
        <v>19475</v>
      </c>
      <c r="K34" s="17"/>
      <c r="L34" s="87">
        <f>'6. Historical Wholesale'!L34</f>
        <v>23750</v>
      </c>
      <c r="M34" s="88">
        <f t="shared" si="6"/>
        <v>1.98</v>
      </c>
      <c r="N34" s="89">
        <f t="shared" si="2"/>
        <v>47025</v>
      </c>
      <c r="O34" s="17"/>
      <c r="P34" s="47">
        <f t="shared" si="3"/>
        <v>66500</v>
      </c>
      <c r="Q34" s="17"/>
    </row>
    <row r="35" spans="2:17" ht="15.75" x14ac:dyDescent="0.25">
      <c r="B35" s="48" t="s">
        <v>138</v>
      </c>
      <c r="C35" s="17"/>
      <c r="D35" s="87">
        <f>'6. Historical Wholesale'!D35</f>
        <v>21347</v>
      </c>
      <c r="E35" s="88">
        <f t="shared" si="4"/>
        <v>3.82</v>
      </c>
      <c r="F35" s="89">
        <f t="shared" si="0"/>
        <v>81545.539999999994</v>
      </c>
      <c r="G35" s="17"/>
      <c r="H35" s="87">
        <f>'6. Historical Wholesale'!H35</f>
        <v>23991</v>
      </c>
      <c r="I35" s="88">
        <f t="shared" si="5"/>
        <v>0.82</v>
      </c>
      <c r="J35" s="89">
        <f t="shared" si="1"/>
        <v>19672.62</v>
      </c>
      <c r="K35" s="17"/>
      <c r="L35" s="87">
        <f>'6. Historical Wholesale'!L35</f>
        <v>23991</v>
      </c>
      <c r="M35" s="88">
        <f t="shared" si="6"/>
        <v>1.98</v>
      </c>
      <c r="N35" s="89">
        <f t="shared" si="2"/>
        <v>47502.18</v>
      </c>
      <c r="O35" s="17"/>
      <c r="P35" s="47">
        <f t="shared" si="3"/>
        <v>67174.8</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250203</v>
      </c>
      <c r="E37" s="51">
        <f>IF(D37&lt;&gt;0,F37/D37,0)</f>
        <v>3.82</v>
      </c>
      <c r="F37" s="52">
        <f>SUM(F24:F35)</f>
        <v>955775.46</v>
      </c>
      <c r="G37" s="17"/>
      <c r="H37" s="50">
        <f>SUM(H24:H35)</f>
        <v>273170</v>
      </c>
      <c r="I37" s="51">
        <f>IF(H37&lt;&gt;0,J37/H37,0)</f>
        <v>0.82</v>
      </c>
      <c r="J37" s="52">
        <f>SUM(J24:J35)</f>
        <v>223999.4</v>
      </c>
      <c r="K37" s="17"/>
      <c r="L37" s="50">
        <f>SUM(L24:L35)</f>
        <v>273170</v>
      </c>
      <c r="M37" s="51">
        <f>IF(L37&lt;&gt;0,N37/L37,0)</f>
        <v>1.98</v>
      </c>
      <c r="N37" s="52">
        <f>SUM(N24:N35)</f>
        <v>540876.6</v>
      </c>
      <c r="O37" s="17"/>
      <c r="P37" s="52">
        <f>SUM(P24:P35)</f>
        <v>764876.00000000012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Sub-Transmission'!I35+'5. UTRs and Sub-Transmission'!I79</f>
        <v>3.3765000000000001</v>
      </c>
      <c r="F43" s="89">
        <f t="shared" ref="F43:F54" si="7">D43*E43</f>
        <v>0</v>
      </c>
      <c r="G43" s="17"/>
      <c r="H43" s="87">
        <f>'6. Historical Wholesale'!H43</f>
        <v>0</v>
      </c>
      <c r="I43" s="88">
        <f>'5. UTRs and Sub-Transmission'!I37+'5. UTRs and Sub-Transmission'!I81</f>
        <v>0.7167</v>
      </c>
      <c r="J43" s="89">
        <f t="shared" ref="J43:J54" si="8">H43*I43</f>
        <v>0</v>
      </c>
      <c r="K43" s="17"/>
      <c r="L43" s="87">
        <f>'6. Historical Wholesale'!L43</f>
        <v>0</v>
      </c>
      <c r="M43" s="88">
        <f>'5. UTRs and Sub-Transmission'!I39</f>
        <v>1.62</v>
      </c>
      <c r="N43" s="89">
        <f t="shared" ref="N43:N54" si="9">L43*M43</f>
        <v>0</v>
      </c>
      <c r="O43" s="17"/>
      <c r="P43" s="47">
        <f t="shared" ref="P43:P54" si="10">J43+N43</f>
        <v>0</v>
      </c>
      <c r="Q43" s="17"/>
    </row>
    <row r="44" spans="2:17" ht="15.75" x14ac:dyDescent="0.25">
      <c r="B44" s="48" t="s">
        <v>128</v>
      </c>
      <c r="C44" s="17"/>
      <c r="D44" s="87">
        <f>'6. Historical Wholesale'!D44</f>
        <v>0</v>
      </c>
      <c r="E44" s="88">
        <f t="shared" ref="E44:E54" si="11">E43</f>
        <v>3.3765000000000001</v>
      </c>
      <c r="F44" s="89">
        <f t="shared" si="7"/>
        <v>0</v>
      </c>
      <c r="G44" s="17"/>
      <c r="H44" s="87">
        <f>'6. Historical Wholesale'!H44</f>
        <v>0</v>
      </c>
      <c r="I44" s="88">
        <f t="shared" ref="I44:I54" si="12">I43</f>
        <v>0.7167</v>
      </c>
      <c r="J44" s="89">
        <f t="shared" si="8"/>
        <v>0</v>
      </c>
      <c r="K44" s="17"/>
      <c r="L44" s="87">
        <f>'6. Historical Wholesale'!L44</f>
        <v>0</v>
      </c>
      <c r="M44" s="88">
        <f t="shared" ref="M44:M54" si="13">M43</f>
        <v>1.62</v>
      </c>
      <c r="N44" s="89">
        <f t="shared" si="9"/>
        <v>0</v>
      </c>
      <c r="O44" s="17"/>
      <c r="P44" s="47">
        <f t="shared" si="10"/>
        <v>0</v>
      </c>
      <c r="Q44" s="17"/>
    </row>
    <row r="45" spans="2:17" ht="15.75" x14ac:dyDescent="0.25">
      <c r="B45" s="48" t="s">
        <v>129</v>
      </c>
      <c r="C45" s="17"/>
      <c r="D45" s="87">
        <f>'6. Historical Wholesale'!D45</f>
        <v>0</v>
      </c>
      <c r="E45" s="88">
        <f t="shared" si="11"/>
        <v>3.3765000000000001</v>
      </c>
      <c r="F45" s="89">
        <f t="shared" si="7"/>
        <v>0</v>
      </c>
      <c r="G45" s="17"/>
      <c r="H45" s="87">
        <f>'6. Historical Wholesale'!H45</f>
        <v>0</v>
      </c>
      <c r="I45" s="88">
        <f t="shared" si="12"/>
        <v>0.7167</v>
      </c>
      <c r="J45" s="89">
        <f t="shared" si="8"/>
        <v>0</v>
      </c>
      <c r="K45" s="17"/>
      <c r="L45" s="87">
        <f>'6. Historical Wholesale'!L45</f>
        <v>0</v>
      </c>
      <c r="M45" s="88">
        <f t="shared" si="13"/>
        <v>1.62</v>
      </c>
      <c r="N45" s="89">
        <f t="shared" si="9"/>
        <v>0</v>
      </c>
      <c r="O45" s="17"/>
      <c r="P45" s="47">
        <f t="shared" si="10"/>
        <v>0</v>
      </c>
      <c r="Q45" s="17"/>
    </row>
    <row r="46" spans="2:17" ht="15.75" x14ac:dyDescent="0.25">
      <c r="B46" s="48" t="s">
        <v>130</v>
      </c>
      <c r="C46" s="17"/>
      <c r="D46" s="87">
        <f>'6. Historical Wholesale'!D46</f>
        <v>0</v>
      </c>
      <c r="E46" s="88">
        <f t="shared" si="11"/>
        <v>3.3765000000000001</v>
      </c>
      <c r="F46" s="89">
        <f t="shared" si="7"/>
        <v>0</v>
      </c>
      <c r="G46" s="17"/>
      <c r="H46" s="87">
        <f>'6. Historical Wholesale'!H46</f>
        <v>0</v>
      </c>
      <c r="I46" s="88">
        <f t="shared" si="12"/>
        <v>0.7167</v>
      </c>
      <c r="J46" s="89">
        <f t="shared" si="8"/>
        <v>0</v>
      </c>
      <c r="K46" s="17"/>
      <c r="L46" s="87">
        <f>'6. Historical Wholesale'!L46</f>
        <v>0</v>
      </c>
      <c r="M46" s="88">
        <f t="shared" si="13"/>
        <v>1.62</v>
      </c>
      <c r="N46" s="89">
        <f t="shared" si="9"/>
        <v>0</v>
      </c>
      <c r="O46" s="17"/>
      <c r="P46" s="47">
        <f t="shared" si="10"/>
        <v>0</v>
      </c>
      <c r="Q46" s="17"/>
    </row>
    <row r="47" spans="2:17" ht="15.75" x14ac:dyDescent="0.25">
      <c r="B47" s="48" t="s">
        <v>131</v>
      </c>
      <c r="C47" s="17"/>
      <c r="D47" s="87">
        <f>'6. Historical Wholesale'!D47</f>
        <v>0</v>
      </c>
      <c r="E47" s="88">
        <f t="shared" si="11"/>
        <v>3.3765000000000001</v>
      </c>
      <c r="F47" s="89">
        <f t="shared" si="7"/>
        <v>0</v>
      </c>
      <c r="G47" s="17"/>
      <c r="H47" s="87">
        <f>'6. Historical Wholesale'!H47</f>
        <v>0</v>
      </c>
      <c r="I47" s="88">
        <f t="shared" si="12"/>
        <v>0.7167</v>
      </c>
      <c r="J47" s="89">
        <f t="shared" si="8"/>
        <v>0</v>
      </c>
      <c r="K47" s="17"/>
      <c r="L47" s="87">
        <f>'6. Historical Wholesale'!L47</f>
        <v>0</v>
      </c>
      <c r="M47" s="88">
        <f t="shared" si="13"/>
        <v>1.62</v>
      </c>
      <c r="N47" s="89">
        <f t="shared" si="9"/>
        <v>0</v>
      </c>
      <c r="O47" s="17"/>
      <c r="P47" s="47">
        <f t="shared" si="10"/>
        <v>0</v>
      </c>
      <c r="Q47" s="17"/>
    </row>
    <row r="48" spans="2:17" ht="15.75" x14ac:dyDescent="0.25">
      <c r="B48" s="48" t="s">
        <v>132</v>
      </c>
      <c r="C48" s="17"/>
      <c r="D48" s="87">
        <f>'6. Historical Wholesale'!D48</f>
        <v>0</v>
      </c>
      <c r="E48" s="88">
        <f t="shared" si="11"/>
        <v>3.3765000000000001</v>
      </c>
      <c r="F48" s="89">
        <f t="shared" si="7"/>
        <v>0</v>
      </c>
      <c r="G48" s="17"/>
      <c r="H48" s="87">
        <f>'6. Historical Wholesale'!H48</f>
        <v>0</v>
      </c>
      <c r="I48" s="88">
        <f t="shared" si="12"/>
        <v>0.7167</v>
      </c>
      <c r="J48" s="89">
        <f t="shared" si="8"/>
        <v>0</v>
      </c>
      <c r="K48" s="17"/>
      <c r="L48" s="87">
        <f>'6. Historical Wholesale'!L48</f>
        <v>0</v>
      </c>
      <c r="M48" s="88">
        <f t="shared" si="13"/>
        <v>1.62</v>
      </c>
      <c r="N48" s="89">
        <f t="shared" si="9"/>
        <v>0</v>
      </c>
      <c r="O48" s="17"/>
      <c r="P48" s="47">
        <f t="shared" si="10"/>
        <v>0</v>
      </c>
      <c r="Q48" s="17"/>
    </row>
    <row r="49" spans="2:17" ht="15.75" x14ac:dyDescent="0.25">
      <c r="B49" s="48" t="s">
        <v>133</v>
      </c>
      <c r="C49" s="17"/>
      <c r="D49" s="87">
        <f>'6. Historical Wholesale'!D49</f>
        <v>0</v>
      </c>
      <c r="E49" s="88">
        <f t="shared" si="11"/>
        <v>3.3765000000000001</v>
      </c>
      <c r="F49" s="89">
        <f t="shared" si="7"/>
        <v>0</v>
      </c>
      <c r="G49" s="17"/>
      <c r="H49" s="87">
        <f>'6. Historical Wholesale'!H49</f>
        <v>0</v>
      </c>
      <c r="I49" s="88">
        <f t="shared" si="12"/>
        <v>0.7167</v>
      </c>
      <c r="J49" s="89">
        <f t="shared" si="8"/>
        <v>0</v>
      </c>
      <c r="K49" s="17"/>
      <c r="L49" s="87">
        <f>'6. Historical Wholesale'!L49</f>
        <v>0</v>
      </c>
      <c r="M49" s="88">
        <f t="shared" si="13"/>
        <v>1.62</v>
      </c>
      <c r="N49" s="89">
        <f t="shared" si="9"/>
        <v>0</v>
      </c>
      <c r="O49" s="17"/>
      <c r="P49" s="47">
        <f t="shared" si="10"/>
        <v>0</v>
      </c>
      <c r="Q49" s="17"/>
    </row>
    <row r="50" spans="2:17" ht="15.75" x14ac:dyDescent="0.25">
      <c r="B50" s="48" t="s">
        <v>134</v>
      </c>
      <c r="C50" s="17"/>
      <c r="D50" s="87">
        <f>'6. Historical Wholesale'!D50</f>
        <v>0</v>
      </c>
      <c r="E50" s="88">
        <f t="shared" si="11"/>
        <v>3.3765000000000001</v>
      </c>
      <c r="F50" s="89">
        <f t="shared" si="7"/>
        <v>0</v>
      </c>
      <c r="G50" s="17"/>
      <c r="H50" s="87">
        <f>'6. Historical Wholesale'!H50</f>
        <v>0</v>
      </c>
      <c r="I50" s="88">
        <f t="shared" si="12"/>
        <v>0.7167</v>
      </c>
      <c r="J50" s="89">
        <f t="shared" si="8"/>
        <v>0</v>
      </c>
      <c r="K50" s="17"/>
      <c r="L50" s="87">
        <f>'6. Historical Wholesale'!L50</f>
        <v>0</v>
      </c>
      <c r="M50" s="88">
        <f t="shared" si="13"/>
        <v>1.62</v>
      </c>
      <c r="N50" s="89">
        <f t="shared" si="9"/>
        <v>0</v>
      </c>
      <c r="O50" s="17"/>
      <c r="P50" s="47">
        <f t="shared" si="10"/>
        <v>0</v>
      </c>
      <c r="Q50" s="17"/>
    </row>
    <row r="51" spans="2:17" ht="15.75" x14ac:dyDescent="0.25">
      <c r="B51" s="48" t="s">
        <v>135</v>
      </c>
      <c r="C51" s="17"/>
      <c r="D51" s="87">
        <f>'6. Historical Wholesale'!D51</f>
        <v>0</v>
      </c>
      <c r="E51" s="88">
        <f t="shared" si="11"/>
        <v>3.3765000000000001</v>
      </c>
      <c r="F51" s="89">
        <f t="shared" si="7"/>
        <v>0</v>
      </c>
      <c r="G51" s="17"/>
      <c r="H51" s="87">
        <f>'6. Historical Wholesale'!H51</f>
        <v>0</v>
      </c>
      <c r="I51" s="88">
        <f t="shared" si="12"/>
        <v>0.7167</v>
      </c>
      <c r="J51" s="89">
        <f t="shared" si="8"/>
        <v>0</v>
      </c>
      <c r="K51" s="17"/>
      <c r="L51" s="87">
        <f>'6. Historical Wholesale'!L51</f>
        <v>0</v>
      </c>
      <c r="M51" s="88">
        <f t="shared" si="13"/>
        <v>1.62</v>
      </c>
      <c r="N51" s="89">
        <f t="shared" si="9"/>
        <v>0</v>
      </c>
      <c r="O51" s="17"/>
      <c r="P51" s="47">
        <f t="shared" si="10"/>
        <v>0</v>
      </c>
      <c r="Q51" s="17"/>
    </row>
    <row r="52" spans="2:17" ht="15.75" x14ac:dyDescent="0.25">
      <c r="B52" s="48" t="s">
        <v>136</v>
      </c>
      <c r="C52" s="17"/>
      <c r="D52" s="87">
        <f>'6. Historical Wholesale'!D52</f>
        <v>0</v>
      </c>
      <c r="E52" s="88">
        <f t="shared" si="11"/>
        <v>3.3765000000000001</v>
      </c>
      <c r="F52" s="89">
        <f t="shared" si="7"/>
        <v>0</v>
      </c>
      <c r="G52" s="17"/>
      <c r="H52" s="87">
        <f>'6. Historical Wholesale'!H52</f>
        <v>0</v>
      </c>
      <c r="I52" s="88">
        <f t="shared" si="12"/>
        <v>0.7167</v>
      </c>
      <c r="J52" s="89">
        <f t="shared" si="8"/>
        <v>0</v>
      </c>
      <c r="K52" s="17"/>
      <c r="L52" s="87">
        <f>'6. Historical Wholesale'!L52</f>
        <v>0</v>
      </c>
      <c r="M52" s="88">
        <f t="shared" si="13"/>
        <v>1.62</v>
      </c>
      <c r="N52" s="89">
        <f t="shared" si="9"/>
        <v>0</v>
      </c>
      <c r="O52" s="17"/>
      <c r="P52" s="47">
        <f t="shared" si="10"/>
        <v>0</v>
      </c>
      <c r="Q52" s="17"/>
    </row>
    <row r="53" spans="2:17" ht="15.75" x14ac:dyDescent="0.25">
      <c r="B53" s="48" t="s">
        <v>137</v>
      </c>
      <c r="C53" s="17"/>
      <c r="D53" s="87">
        <f>'6. Historical Wholesale'!D53</f>
        <v>0</v>
      </c>
      <c r="E53" s="88">
        <f t="shared" si="11"/>
        <v>3.3765000000000001</v>
      </c>
      <c r="F53" s="89">
        <f t="shared" si="7"/>
        <v>0</v>
      </c>
      <c r="G53" s="17"/>
      <c r="H53" s="87">
        <f>'6. Historical Wholesale'!H53</f>
        <v>0</v>
      </c>
      <c r="I53" s="88">
        <f t="shared" si="12"/>
        <v>0.7167</v>
      </c>
      <c r="J53" s="89">
        <f t="shared" si="8"/>
        <v>0</v>
      </c>
      <c r="K53" s="17"/>
      <c r="L53" s="87">
        <f>'6. Historical Wholesale'!L53</f>
        <v>0</v>
      </c>
      <c r="M53" s="88">
        <f t="shared" si="13"/>
        <v>1.62</v>
      </c>
      <c r="N53" s="89">
        <f t="shared" si="9"/>
        <v>0</v>
      </c>
      <c r="O53" s="17"/>
      <c r="P53" s="47">
        <f t="shared" si="10"/>
        <v>0</v>
      </c>
      <c r="Q53" s="17"/>
    </row>
    <row r="54" spans="2:17" ht="15.75" x14ac:dyDescent="0.25">
      <c r="B54" s="48" t="s">
        <v>138</v>
      </c>
      <c r="C54" s="17"/>
      <c r="D54" s="87">
        <f>'6. Historical Wholesale'!D54</f>
        <v>0</v>
      </c>
      <c r="E54" s="88">
        <f t="shared" si="11"/>
        <v>3.3765000000000001</v>
      </c>
      <c r="F54" s="89">
        <f t="shared" si="7"/>
        <v>0</v>
      </c>
      <c r="G54" s="17"/>
      <c r="H54" s="87">
        <f>'6. Historical Wholesale'!H54</f>
        <v>0</v>
      </c>
      <c r="I54" s="88">
        <f t="shared" si="12"/>
        <v>0.7167</v>
      </c>
      <c r="J54" s="89">
        <f t="shared" si="8"/>
        <v>0</v>
      </c>
      <c r="K54" s="17"/>
      <c r="L54" s="87">
        <f>'6. Historical Wholesale'!L54</f>
        <v>0</v>
      </c>
      <c r="M54" s="88">
        <f t="shared" si="13"/>
        <v>1.62</v>
      </c>
      <c r="N54" s="89">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4"/>
      <c r="E97" s="204"/>
      <c r="F97" s="204"/>
      <c r="G97" s="44"/>
      <c r="H97" s="204"/>
      <c r="I97" s="204"/>
      <c r="J97" s="204"/>
      <c r="K97" s="44"/>
      <c r="L97" s="204"/>
      <c r="M97" s="204"/>
      <c r="N97" s="204"/>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21429</v>
      </c>
      <c r="E100" s="54">
        <f t="shared" ref="E100:E111" si="29">IF(D100&lt;&gt;0,F100/D100,0)</f>
        <v>3.82</v>
      </c>
      <c r="F100" s="47">
        <f t="shared" ref="F100:F111" si="30">F24+F43</f>
        <v>81858.78</v>
      </c>
      <c r="G100" s="17"/>
      <c r="H100" s="53">
        <f t="shared" ref="H100:H111" si="31">H24+H43</f>
        <v>24028</v>
      </c>
      <c r="I100" s="54">
        <f t="shared" ref="I100:I111" si="32">IF(H100&lt;&gt;0,J100/H100,0)</f>
        <v>0.82</v>
      </c>
      <c r="J100" s="47">
        <f t="shared" ref="J100:J111" si="33">J24+J43</f>
        <v>19702.96</v>
      </c>
      <c r="K100" s="17"/>
      <c r="L100" s="53">
        <f t="shared" ref="L100:L111" si="34">L24+L43</f>
        <v>24028</v>
      </c>
      <c r="M100" s="54">
        <f t="shared" ref="M100:M111" si="35">IF(L100&lt;&gt;0,N100/L100,0)</f>
        <v>1.9800000000000002</v>
      </c>
      <c r="N100" s="47">
        <f t="shared" ref="N100:N111" si="36">N24+N43</f>
        <v>47575.44</v>
      </c>
      <c r="O100" s="17"/>
      <c r="P100" s="47">
        <f t="shared" ref="P100:P111" si="37">J100+N100</f>
        <v>67278.399999999994</v>
      </c>
      <c r="Q100" s="17"/>
    </row>
    <row r="101" spans="2:17" ht="15.75" x14ac:dyDescent="0.25">
      <c r="B101" s="48" t="s">
        <v>128</v>
      </c>
      <c r="C101" s="17"/>
      <c r="D101" s="53">
        <f t="shared" si="28"/>
        <v>21845</v>
      </c>
      <c r="E101" s="54">
        <f t="shared" si="29"/>
        <v>3.82</v>
      </c>
      <c r="F101" s="47">
        <f t="shared" si="30"/>
        <v>83447.899999999994</v>
      </c>
      <c r="G101" s="17"/>
      <c r="H101" s="53">
        <f t="shared" si="31"/>
        <v>23853</v>
      </c>
      <c r="I101" s="54">
        <f t="shared" si="32"/>
        <v>0.82</v>
      </c>
      <c r="J101" s="47">
        <f t="shared" si="33"/>
        <v>19559.46</v>
      </c>
      <c r="K101" s="17"/>
      <c r="L101" s="53">
        <f t="shared" si="34"/>
        <v>23853</v>
      </c>
      <c r="M101" s="54">
        <f t="shared" si="35"/>
        <v>1.9800000000000002</v>
      </c>
      <c r="N101" s="47">
        <f t="shared" si="36"/>
        <v>47228.94</v>
      </c>
      <c r="O101" s="17"/>
      <c r="P101" s="47">
        <f t="shared" si="37"/>
        <v>66788.399999999994</v>
      </c>
      <c r="Q101" s="17"/>
    </row>
    <row r="102" spans="2:17" ht="15.75" x14ac:dyDescent="0.25">
      <c r="B102" s="48" t="s">
        <v>129</v>
      </c>
      <c r="C102" s="17"/>
      <c r="D102" s="53">
        <f t="shared" si="28"/>
        <v>21782</v>
      </c>
      <c r="E102" s="54">
        <f t="shared" si="29"/>
        <v>3.8199999999999994</v>
      </c>
      <c r="F102" s="47">
        <f t="shared" si="30"/>
        <v>83207.239999999991</v>
      </c>
      <c r="G102" s="17"/>
      <c r="H102" s="53">
        <f t="shared" si="31"/>
        <v>23281</v>
      </c>
      <c r="I102" s="54">
        <f t="shared" si="32"/>
        <v>0.82</v>
      </c>
      <c r="J102" s="47">
        <f t="shared" si="33"/>
        <v>19090.419999999998</v>
      </c>
      <c r="K102" s="17"/>
      <c r="L102" s="53">
        <f t="shared" si="34"/>
        <v>23281</v>
      </c>
      <c r="M102" s="54">
        <f t="shared" si="35"/>
        <v>1.98</v>
      </c>
      <c r="N102" s="47">
        <f t="shared" si="36"/>
        <v>46096.38</v>
      </c>
      <c r="O102" s="17"/>
      <c r="P102" s="47">
        <f t="shared" si="37"/>
        <v>65186.799999999996</v>
      </c>
      <c r="Q102" s="17"/>
    </row>
    <row r="103" spans="2:17" ht="15.75" x14ac:dyDescent="0.25">
      <c r="B103" s="48" t="s">
        <v>130</v>
      </c>
      <c r="C103" s="17"/>
      <c r="D103" s="53">
        <f t="shared" si="28"/>
        <v>19914</v>
      </c>
      <c r="E103" s="54">
        <f t="shared" si="29"/>
        <v>3.82</v>
      </c>
      <c r="F103" s="47">
        <f t="shared" si="30"/>
        <v>76071.48</v>
      </c>
      <c r="G103" s="17"/>
      <c r="H103" s="53">
        <f t="shared" si="31"/>
        <v>22118</v>
      </c>
      <c r="I103" s="54">
        <f t="shared" si="32"/>
        <v>0.82</v>
      </c>
      <c r="J103" s="47">
        <f t="shared" si="33"/>
        <v>18136.759999999998</v>
      </c>
      <c r="K103" s="17"/>
      <c r="L103" s="53">
        <f t="shared" si="34"/>
        <v>22118</v>
      </c>
      <c r="M103" s="54">
        <f t="shared" si="35"/>
        <v>1.98</v>
      </c>
      <c r="N103" s="47">
        <f t="shared" si="36"/>
        <v>43793.64</v>
      </c>
      <c r="O103" s="17"/>
      <c r="P103" s="47">
        <f t="shared" si="37"/>
        <v>61930.399999999994</v>
      </c>
      <c r="Q103" s="17"/>
    </row>
    <row r="104" spans="2:17" ht="15.75" x14ac:dyDescent="0.25">
      <c r="B104" s="48" t="s">
        <v>131</v>
      </c>
      <c r="C104" s="17"/>
      <c r="D104" s="53">
        <f t="shared" si="28"/>
        <v>19067</v>
      </c>
      <c r="E104" s="54">
        <f t="shared" si="29"/>
        <v>3.8200000000000003</v>
      </c>
      <c r="F104" s="47">
        <f t="shared" si="30"/>
        <v>72835.94</v>
      </c>
      <c r="G104" s="17"/>
      <c r="H104" s="53">
        <f t="shared" si="31"/>
        <v>22390</v>
      </c>
      <c r="I104" s="54">
        <f t="shared" si="32"/>
        <v>0.82</v>
      </c>
      <c r="J104" s="47">
        <f t="shared" si="33"/>
        <v>18359.8</v>
      </c>
      <c r="K104" s="17"/>
      <c r="L104" s="53">
        <f t="shared" si="34"/>
        <v>22390</v>
      </c>
      <c r="M104" s="54">
        <f t="shared" si="35"/>
        <v>1.9799999999999998</v>
      </c>
      <c r="N104" s="47">
        <f t="shared" si="36"/>
        <v>44332.2</v>
      </c>
      <c r="O104" s="17"/>
      <c r="P104" s="47">
        <f t="shared" si="37"/>
        <v>62692</v>
      </c>
      <c r="Q104" s="17"/>
    </row>
    <row r="105" spans="2:17" ht="15.75" x14ac:dyDescent="0.25">
      <c r="B105" s="48" t="s">
        <v>132</v>
      </c>
      <c r="C105" s="17"/>
      <c r="D105" s="53">
        <f t="shared" si="28"/>
        <v>17564</v>
      </c>
      <c r="E105" s="54">
        <f t="shared" si="29"/>
        <v>3.82</v>
      </c>
      <c r="F105" s="47">
        <f t="shared" si="30"/>
        <v>67094.48</v>
      </c>
      <c r="G105" s="17"/>
      <c r="H105" s="53">
        <f t="shared" si="31"/>
        <v>19063</v>
      </c>
      <c r="I105" s="54">
        <f t="shared" si="32"/>
        <v>0.82</v>
      </c>
      <c r="J105" s="47">
        <f t="shared" si="33"/>
        <v>15631.66</v>
      </c>
      <c r="K105" s="17"/>
      <c r="L105" s="53">
        <f t="shared" si="34"/>
        <v>19063</v>
      </c>
      <c r="M105" s="54">
        <f t="shared" si="35"/>
        <v>1.98</v>
      </c>
      <c r="N105" s="47">
        <f t="shared" si="36"/>
        <v>37744.74</v>
      </c>
      <c r="O105" s="17"/>
      <c r="P105" s="47">
        <f t="shared" si="37"/>
        <v>53376.399999999994</v>
      </c>
      <c r="Q105" s="17"/>
    </row>
    <row r="106" spans="2:17" ht="15.75" x14ac:dyDescent="0.25">
      <c r="B106" s="48" t="s">
        <v>133</v>
      </c>
      <c r="C106" s="17"/>
      <c r="D106" s="53">
        <f t="shared" si="28"/>
        <v>23995</v>
      </c>
      <c r="E106" s="54">
        <f t="shared" si="29"/>
        <v>3.82</v>
      </c>
      <c r="F106" s="47">
        <f t="shared" si="30"/>
        <v>91660.9</v>
      </c>
      <c r="G106" s="17"/>
      <c r="H106" s="53">
        <f t="shared" si="31"/>
        <v>24638</v>
      </c>
      <c r="I106" s="54">
        <f t="shared" si="32"/>
        <v>0.82</v>
      </c>
      <c r="J106" s="47">
        <f t="shared" si="33"/>
        <v>20203.16</v>
      </c>
      <c r="K106" s="17"/>
      <c r="L106" s="53">
        <f t="shared" si="34"/>
        <v>24638</v>
      </c>
      <c r="M106" s="54">
        <f t="shared" si="35"/>
        <v>1.98</v>
      </c>
      <c r="N106" s="47">
        <f t="shared" si="36"/>
        <v>48783.24</v>
      </c>
      <c r="O106" s="17"/>
      <c r="P106" s="47">
        <f t="shared" si="37"/>
        <v>68986.399999999994</v>
      </c>
      <c r="Q106" s="17"/>
    </row>
    <row r="107" spans="2:17" ht="15.75" x14ac:dyDescent="0.25">
      <c r="B107" s="48" t="s">
        <v>134</v>
      </c>
      <c r="C107" s="17"/>
      <c r="D107" s="53">
        <f t="shared" si="28"/>
        <v>21512</v>
      </c>
      <c r="E107" s="54">
        <f t="shared" si="29"/>
        <v>3.82</v>
      </c>
      <c r="F107" s="47">
        <f t="shared" si="30"/>
        <v>82175.839999999997</v>
      </c>
      <c r="G107" s="17"/>
      <c r="H107" s="53">
        <f t="shared" si="31"/>
        <v>23832</v>
      </c>
      <c r="I107" s="54">
        <f t="shared" si="32"/>
        <v>0.82</v>
      </c>
      <c r="J107" s="47">
        <f t="shared" si="33"/>
        <v>19542.239999999998</v>
      </c>
      <c r="K107" s="17"/>
      <c r="L107" s="53">
        <f t="shared" si="34"/>
        <v>23832</v>
      </c>
      <c r="M107" s="54">
        <f t="shared" si="35"/>
        <v>1.98</v>
      </c>
      <c r="N107" s="47">
        <f t="shared" si="36"/>
        <v>47187.360000000001</v>
      </c>
      <c r="O107" s="17"/>
      <c r="P107" s="47">
        <f t="shared" si="37"/>
        <v>66729.600000000006</v>
      </c>
      <c r="Q107" s="17"/>
    </row>
    <row r="108" spans="2:17" ht="15.75" x14ac:dyDescent="0.25">
      <c r="B108" s="48" t="s">
        <v>135</v>
      </c>
      <c r="C108" s="17"/>
      <c r="D108" s="53">
        <f t="shared" si="28"/>
        <v>18215</v>
      </c>
      <c r="E108" s="54">
        <f t="shared" si="29"/>
        <v>3.8200000000000003</v>
      </c>
      <c r="F108" s="47">
        <f t="shared" si="30"/>
        <v>69581.3</v>
      </c>
      <c r="G108" s="17"/>
      <c r="H108" s="53">
        <f t="shared" si="31"/>
        <v>20763</v>
      </c>
      <c r="I108" s="54">
        <f t="shared" si="32"/>
        <v>0.82</v>
      </c>
      <c r="J108" s="47">
        <f t="shared" si="33"/>
        <v>17025.66</v>
      </c>
      <c r="K108" s="17"/>
      <c r="L108" s="53">
        <f t="shared" si="34"/>
        <v>20763</v>
      </c>
      <c r="M108" s="54">
        <f t="shared" si="35"/>
        <v>1.98</v>
      </c>
      <c r="N108" s="47">
        <f t="shared" si="36"/>
        <v>41110.74</v>
      </c>
      <c r="O108" s="17"/>
      <c r="P108" s="47">
        <f t="shared" si="37"/>
        <v>58136.399999999994</v>
      </c>
      <c r="Q108" s="17"/>
    </row>
    <row r="109" spans="2:17" ht="15.75" x14ac:dyDescent="0.25">
      <c r="B109" s="48" t="s">
        <v>136</v>
      </c>
      <c r="C109" s="17"/>
      <c r="D109" s="53">
        <f t="shared" si="28"/>
        <v>19783</v>
      </c>
      <c r="E109" s="54">
        <f t="shared" si="29"/>
        <v>3.82</v>
      </c>
      <c r="F109" s="47">
        <f t="shared" si="30"/>
        <v>75571.06</v>
      </c>
      <c r="G109" s="17"/>
      <c r="H109" s="53">
        <f t="shared" si="31"/>
        <v>21463</v>
      </c>
      <c r="I109" s="54">
        <f t="shared" si="32"/>
        <v>0.82</v>
      </c>
      <c r="J109" s="47">
        <f t="shared" si="33"/>
        <v>17599.66</v>
      </c>
      <c r="K109" s="17"/>
      <c r="L109" s="53">
        <f t="shared" si="34"/>
        <v>21463</v>
      </c>
      <c r="M109" s="54">
        <f t="shared" si="35"/>
        <v>1.98</v>
      </c>
      <c r="N109" s="47">
        <f t="shared" si="36"/>
        <v>42496.74</v>
      </c>
      <c r="O109" s="17"/>
      <c r="P109" s="47">
        <f t="shared" si="37"/>
        <v>60096.399999999994</v>
      </c>
      <c r="Q109" s="17"/>
    </row>
    <row r="110" spans="2:17" ht="15.75" x14ac:dyDescent="0.25">
      <c r="B110" s="48" t="s">
        <v>137</v>
      </c>
      <c r="C110" s="17"/>
      <c r="D110" s="53">
        <f t="shared" si="28"/>
        <v>23750</v>
      </c>
      <c r="E110" s="54">
        <f t="shared" si="29"/>
        <v>3.82</v>
      </c>
      <c r="F110" s="47">
        <f t="shared" si="30"/>
        <v>90725</v>
      </c>
      <c r="G110" s="17"/>
      <c r="H110" s="53">
        <f t="shared" si="31"/>
        <v>23750</v>
      </c>
      <c r="I110" s="54">
        <f t="shared" si="32"/>
        <v>0.82</v>
      </c>
      <c r="J110" s="47">
        <f t="shared" si="33"/>
        <v>19475</v>
      </c>
      <c r="K110" s="17"/>
      <c r="L110" s="53">
        <f t="shared" si="34"/>
        <v>23750</v>
      </c>
      <c r="M110" s="54">
        <f t="shared" si="35"/>
        <v>1.98</v>
      </c>
      <c r="N110" s="47">
        <f t="shared" si="36"/>
        <v>47025</v>
      </c>
      <c r="O110" s="17"/>
      <c r="P110" s="47">
        <f t="shared" si="37"/>
        <v>66500</v>
      </c>
      <c r="Q110" s="17"/>
    </row>
    <row r="111" spans="2:17" ht="15.75" x14ac:dyDescent="0.25">
      <c r="B111" s="48" t="s">
        <v>138</v>
      </c>
      <c r="C111" s="17"/>
      <c r="D111" s="53">
        <f t="shared" si="28"/>
        <v>21347</v>
      </c>
      <c r="E111" s="54">
        <f t="shared" si="29"/>
        <v>3.82</v>
      </c>
      <c r="F111" s="47">
        <f t="shared" si="30"/>
        <v>81545.539999999994</v>
      </c>
      <c r="G111" s="17"/>
      <c r="H111" s="53">
        <f t="shared" si="31"/>
        <v>23991</v>
      </c>
      <c r="I111" s="54">
        <f t="shared" si="32"/>
        <v>0.82</v>
      </c>
      <c r="J111" s="47">
        <f t="shared" si="33"/>
        <v>19672.62</v>
      </c>
      <c r="K111" s="17"/>
      <c r="L111" s="53">
        <f t="shared" si="34"/>
        <v>23991</v>
      </c>
      <c r="M111" s="54">
        <f t="shared" si="35"/>
        <v>1.98</v>
      </c>
      <c r="N111" s="47">
        <f t="shared" si="36"/>
        <v>47502.18</v>
      </c>
      <c r="O111" s="17"/>
      <c r="P111" s="47">
        <f t="shared" si="37"/>
        <v>67174.8</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250203</v>
      </c>
      <c r="E113" s="51">
        <f>IF(D113&lt;&gt;0,F113/D113,0)</f>
        <v>3.82</v>
      </c>
      <c r="F113" s="52">
        <f>SUM(F100:F111)</f>
        <v>955775.46</v>
      </c>
      <c r="G113" s="17"/>
      <c r="H113" s="50">
        <f>SUM(H100:H111)</f>
        <v>273170</v>
      </c>
      <c r="I113" s="51">
        <f>IF(H113&lt;&gt;0,J113/H113,0)</f>
        <v>0.82</v>
      </c>
      <c r="J113" s="52">
        <f>SUM(J100:J111)</f>
        <v>223999.4</v>
      </c>
      <c r="K113" s="17"/>
      <c r="L113" s="50">
        <f>SUM(L100:L111)</f>
        <v>273170</v>
      </c>
      <c r="M113" s="51">
        <f>IF(L113&lt;&gt;0,N113/L113,0)</f>
        <v>1.98</v>
      </c>
      <c r="N113" s="52">
        <f>SUM(N100:N111)</f>
        <v>540876.6</v>
      </c>
      <c r="O113" s="17"/>
      <c r="P113" s="52">
        <f>SUM(P100:P111)</f>
        <v>764876.00000000012</v>
      </c>
      <c r="Q113" s="17"/>
    </row>
    <row r="115" spans="2:17" x14ac:dyDescent="0.2">
      <c r="N115" s="169" t="s">
        <v>255</v>
      </c>
      <c r="P115" s="172">
        <f>'5. UTRs and Sub-Transmission'!I95</f>
        <v>0</v>
      </c>
    </row>
    <row r="117" spans="2:17" ht="13.5" thickBot="1" x14ac:dyDescent="0.25">
      <c r="N117" s="170" t="s">
        <v>258</v>
      </c>
      <c r="P117" s="52">
        <f>P113+P115</f>
        <v>764876.00000000012</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47" top="1" bottom="0.37" header="0.5" footer="0.17"/>
  <pageSetup paperSize="5"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C1" workbookViewId="0">
      <pane ySplit="23" topLeftCell="A24" activePane="bottomLeft" state="frozenSplit"/>
      <selection pane="bottomLeft" activeCell="L25" sqref="L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7.3000000000000001E-3</v>
      </c>
      <c r="G25" s="64"/>
      <c r="H25" s="64">
        <f>VLOOKUP('9. Adj Network to Current WS'!$B25, '4. RRR Data'!$B$27:$M$49,11,0)</f>
        <v>26184932.7885</v>
      </c>
      <c r="I25" s="71"/>
      <c r="J25" s="64">
        <f>VLOOKUP('9. Adj Network to Current WS'!$B25, '4. RRR Data'!$B$27:$M$49,12,0)</f>
        <v>0</v>
      </c>
      <c r="K25" s="58"/>
      <c r="L25" s="60">
        <f>IF(F25="", "", IF(D25="kWh", F25*H25, F25*J25))</f>
        <v>191150.00935605</v>
      </c>
      <c r="M25" s="55"/>
      <c r="N25" s="61">
        <f>IF(ISERROR(L25/$L$49), "", L25/$L$49)</f>
        <v>0.19059539905215089</v>
      </c>
      <c r="O25" s="13"/>
      <c r="P25" s="62">
        <f>IF(ISERROR('7. Current Wholesale'!$F$113*N25), "", '7. Current Wholesale'!$F$113*N25)</f>
        <v>173105.77248343447</v>
      </c>
      <c r="R25" s="165">
        <f>IF(D25="","",IF(D25="kWh",IF(H25&lt;&gt;0,P25/H25,),IF(J25&lt;&gt;0,P25/J25,0)))</f>
        <v>6.610892373932681E-3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6.7000000000000002E-3</v>
      </c>
      <c r="G26" s="64"/>
      <c r="H26" s="64">
        <f>VLOOKUP('9. Adj Network to Current WS'!$B26, '4. RRR Data'!$B$27:$M$49,11,0)</f>
        <v>15022825.5987</v>
      </c>
      <c r="I26" s="71"/>
      <c r="J26" s="64">
        <f>VLOOKUP('9. Adj Network to Current WS'!$B26, '4. RRR Data'!$B$27:$M$49,12,0)</f>
        <v>0</v>
      </c>
      <c r="K26" s="59"/>
      <c r="L26" s="60">
        <f t="shared" ref="L26:L46" si="0">IF(F26="", "", IF(D26="kWh", F26*H26, F26*J26))</f>
        <v>100652.93151129001</v>
      </c>
      <c r="M26" s="55"/>
      <c r="N26" s="61">
        <f t="shared" ref="N26:N46" si="1">IF(ISERROR(L26/$L$49), "", L26/$L$49)</f>
        <v>0.10036089305875803</v>
      </c>
      <c r="P26" s="62">
        <f>IF(ISERROR('7. Current Wholesale'!$F$113*N26), "", '7. Current Wholesale'!$F$113*N26)</f>
        <v>91151.465389308985</v>
      </c>
      <c r="R26" s="165">
        <f t="shared" ref="R26:R46" si="2">IF(D26="","",IF(D26="kWh",IF(H26&lt;&gt;0,P26/H26,),IF(J26&lt;&gt;0,P26/J26,0)))</f>
        <v>6.0675313568971188E-3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69">
        <f>IF(ISERROR(VLOOKUP($B27,'3. Rate Classes'!$C$24:$N$45, 8,0)), "", VLOOKUP($B27,'3. Rate Classes'!$C$24:$N$45, 8,0))</f>
        <v>2.6758999999999999</v>
      </c>
      <c r="G27" s="64"/>
      <c r="H27" s="64">
        <f>VLOOKUP('9. Adj Network to Current WS'!$B27, '4. RRR Data'!$B$27:$M$49,11,0)</f>
        <v>21134564</v>
      </c>
      <c r="I27" s="71"/>
      <c r="J27" s="64">
        <f>VLOOKUP('9. Adj Network to Current WS'!$B27, '4. RRR Data'!$B$27:$M$49,12,0)</f>
        <v>66361</v>
      </c>
      <c r="K27" s="59"/>
      <c r="L27" s="60">
        <f t="shared" si="0"/>
        <v>177575.39989999999</v>
      </c>
      <c r="M27" s="55"/>
      <c r="N27" s="61">
        <f t="shared" si="1"/>
        <v>0.17706017551243483</v>
      </c>
      <c r="P27" s="62">
        <f>IF(ISERROR('7. Current Wholesale'!$F$113*N27), "", '7. Current Wholesale'!$F$113*N27)</f>
        <v>160812.58315026798</v>
      </c>
      <c r="R27" s="165">
        <f t="shared" si="2"/>
        <v>2.4232995758091045</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69">
        <f>IF(ISERROR(VLOOKUP($B28,'3. Rate Classes'!$C$24:$N$45, 8,0)), "", VLOOKUP($B28,'3. Rate Classes'!$C$24:$N$45, 8,0))</f>
        <v>2.8420999999999998</v>
      </c>
      <c r="G28" s="64"/>
      <c r="H28" s="64">
        <f>VLOOKUP('9. Adj Network to Current WS'!$B28, '4. RRR Data'!$B$27:$M$49,11,0)</f>
        <v>14360826</v>
      </c>
      <c r="I28" s="71"/>
      <c r="J28" s="64">
        <f>VLOOKUP('9. Adj Network to Current WS'!$B28, '4. RRR Data'!$B$27:$M$49,12,0)</f>
        <v>31229</v>
      </c>
      <c r="K28" s="59"/>
      <c r="L28" s="60">
        <f t="shared" si="0"/>
        <v>88755.940900000001</v>
      </c>
      <c r="M28" s="55"/>
      <c r="N28" s="61">
        <f t="shared" si="1"/>
        <v>8.8498420853198909E-2</v>
      </c>
      <c r="P28" s="62">
        <f>IF(ISERROR('7. Current Wholesale'!$F$113*N28), "", '7. Current Wholesale'!$F$113*N28)</f>
        <v>80377.530525620517</v>
      </c>
      <c r="R28" s="165">
        <f t="shared" si="2"/>
        <v>2.5738105775279552</v>
      </c>
    </row>
    <row r="29" spans="2:18" ht="25.5" customHeight="1" thickBot="1" x14ac:dyDescent="0.25">
      <c r="B29" s="15" t="str">
        <f>IF('3. Rate Classes'!Q28=1,'3. Rate Classes'!C28, 0)</f>
        <v>Large Use</v>
      </c>
      <c r="C29" s="8"/>
      <c r="D29" s="16" t="str">
        <f>IF(ISERROR(VLOOKUP($B29, '3. Rate Classes'!$C$24:$H$45,6,0)), "", VLOOKUP($B29, '3. Rate Classes'!$C$24:$H$45,6,0))</f>
        <v>kW</v>
      </c>
      <c r="F29" s="69">
        <f>IF(ISERROR(VLOOKUP($B29,'3. Rate Classes'!$C$24:$N$45, 8,0)), "", VLOOKUP($B29,'3. Rate Classes'!$C$24:$N$45, 8,0))</f>
        <v>3.1472000000000002</v>
      </c>
      <c r="G29" s="64"/>
      <c r="H29" s="64">
        <f>VLOOKUP('9. Adj Network to Current WS'!$B29, '4. RRR Data'!$B$27:$M$49,11,0)</f>
        <v>62587915</v>
      </c>
      <c r="I29" s="71"/>
      <c r="J29" s="64">
        <f>VLOOKUP('9. Adj Network to Current WS'!$B29, '4. RRR Data'!$B$27:$M$49,12,0)</f>
        <v>139356</v>
      </c>
      <c r="K29" s="59"/>
      <c r="L29" s="60">
        <f t="shared" si="0"/>
        <v>438581.20320000005</v>
      </c>
      <c r="M29" s="55"/>
      <c r="N29" s="61">
        <f t="shared" si="1"/>
        <v>0.4373086861061708</v>
      </c>
      <c r="P29" s="62">
        <f>IF(ISERROR('7. Current Wholesale'!$F$113*N29), "", '7. Current Wholesale'!$F$113*N29)</f>
        <v>397179.88103905477</v>
      </c>
      <c r="R29" s="165">
        <f t="shared" si="2"/>
        <v>2.8501096546905393</v>
      </c>
    </row>
    <row r="30" spans="2:18" ht="25.5" customHeight="1" thickBot="1" x14ac:dyDescent="0.25">
      <c r="B30" s="15" t="str">
        <f>IF('3. Rate Classes'!Q29=1,'3. Rate Classes'!C29, 0)</f>
        <v>Street Lighting</v>
      </c>
      <c r="C30" s="8"/>
      <c r="D30" s="16" t="str">
        <f>IF(ISERROR(VLOOKUP($B30, '3. Rate Classes'!$C$24:$H$45,6,0)), "", VLOOKUP($B30, '3. Rate Classes'!$C$24:$H$45,6,0))</f>
        <v>kW</v>
      </c>
      <c r="F30" s="69">
        <f>IF(ISERROR(VLOOKUP($B30,'3. Rate Classes'!$C$24:$N$45, 8,0)), "", VLOOKUP($B30,'3. Rate Classes'!$C$24:$N$45, 8,0))</f>
        <v>2.0181</v>
      </c>
      <c r="G30" s="64"/>
      <c r="H30" s="64">
        <f>VLOOKUP('9. Adj Network to Current WS'!$B30, '4. RRR Data'!$B$27:$M$49,11,0)</f>
        <v>1031789</v>
      </c>
      <c r="I30" s="71"/>
      <c r="J30" s="64">
        <f>VLOOKUP('9. Adj Network to Current WS'!$B30, '4. RRR Data'!$B$27:$M$49,12,0)</f>
        <v>2774</v>
      </c>
      <c r="K30" s="59"/>
      <c r="L30" s="60">
        <f t="shared" si="0"/>
        <v>5598.2093999999997</v>
      </c>
      <c r="M30" s="55"/>
      <c r="N30" s="61">
        <f t="shared" si="1"/>
        <v>5.581966530710668E-3</v>
      </c>
      <c r="P30" s="62">
        <f>IF(ISERROR('7. Current Wholesale'!$F$113*N30), "", '7. Current Wholesale'!$F$113*N30)</f>
        <v>5069.7479219367469</v>
      </c>
      <c r="R30" s="165">
        <f t="shared" si="2"/>
        <v>1.8275947807991157</v>
      </c>
    </row>
    <row r="31" spans="2:18" ht="25.5" customHeight="1" thickBot="1" x14ac:dyDescent="0.25">
      <c r="B31" s="15" t="str">
        <f>IF('3. Rate Classes'!Q30=1,'3. Rate Classes'!C30, 0)</f>
        <v>Sentinel Lighting</v>
      </c>
      <c r="C31" s="8"/>
      <c r="D31" s="16" t="str">
        <f>IF(ISERROR(VLOOKUP($B31, '3. Rate Classes'!$C$24:$H$45,6,0)), "", VLOOKUP($B31, '3. Rate Classes'!$C$24:$H$45,6,0))</f>
        <v>kW</v>
      </c>
      <c r="F31" s="69">
        <f>IF(ISERROR(VLOOKUP($B31,'3. Rate Classes'!$C$24:$N$45, 8,0)), "", VLOOKUP($B31,'3. Rate Classes'!$C$24:$N$45, 8,0))</f>
        <v>2.0286</v>
      </c>
      <c r="G31" s="64"/>
      <c r="H31" s="64">
        <f>VLOOKUP('9. Adj Network to Current WS'!$B31, '4. RRR Data'!$B$27:$M$49,11,0)</f>
        <v>15224</v>
      </c>
      <c r="I31" s="71"/>
      <c r="J31" s="64">
        <f>VLOOKUP('9. Adj Network to Current WS'!$B31, '4. RRR Data'!$B$27:$M$49,12,0)</f>
        <v>1</v>
      </c>
      <c r="K31" s="59"/>
      <c r="L31" s="60">
        <f t="shared" si="0"/>
        <v>2.0286</v>
      </c>
      <c r="M31" s="55"/>
      <c r="N31" s="61">
        <f t="shared" si="1"/>
        <v>2.0227141385957555E-6</v>
      </c>
      <c r="P31" s="62">
        <f>IF(ISERROR('7. Current Wholesale'!$F$113*N31), "", '7. Current Wholesale'!$F$113*N31)</f>
        <v>1.8371035985972379</v>
      </c>
      <c r="R31" s="165">
        <f t="shared" si="2"/>
        <v>1.8371035985972379</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IF(ISERROR(VLOOKUP($B32,'3. Rate Classes'!$C$24:$N$45, 8,0)), "", VLOOKUP($B32,'3. Rate Classes'!$C$24:$N$45, 8,0))</f>
        <v>6.7000000000000002E-3</v>
      </c>
      <c r="G32" s="64"/>
      <c r="H32" s="64">
        <f>VLOOKUP('9. Adj Network to Current WS'!$B32, '4. RRR Data'!$B$27:$M$49,11,0)</f>
        <v>88680.610799999995</v>
      </c>
      <c r="I32" s="71"/>
      <c r="J32" s="64">
        <f>VLOOKUP('9. Adj Network to Current WS'!$B32, '4. RRR Data'!$B$27:$M$49,12,0)</f>
        <v>0</v>
      </c>
      <c r="K32" s="59"/>
      <c r="L32" s="60">
        <f t="shared" si="0"/>
        <v>594.16009236000002</v>
      </c>
      <c r="M32" s="55"/>
      <c r="N32" s="61">
        <f t="shared" si="1"/>
        <v>5.9243617243711526E-4</v>
      </c>
      <c r="P32" s="62">
        <f>IF(ISERROR('7. Current Wholesale'!$F$113*N32), "", '7. Current Wholesale'!$F$113*N32)</f>
        <v>538.07238677778935</v>
      </c>
      <c r="R32" s="165">
        <f t="shared" si="2"/>
        <v>6.0675313568971196E-3</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1002909.8829597002</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5" right="0.75" top="1" bottom="1" header="0.5" footer="0.5"/>
  <pageSetup scale="6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Daniel Kim</cp:lastModifiedBy>
  <cp:lastPrinted>2013-09-23T14:20:34Z</cp:lastPrinted>
  <dcterms:created xsi:type="dcterms:W3CDTF">2011-05-30T20:18:50Z</dcterms:created>
  <dcterms:modified xsi:type="dcterms:W3CDTF">2014-03-04T15:54:55Z</dcterms:modified>
</cp:coreProperties>
</file>