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35" windowWidth="19035" windowHeight="11520" tabRatio="937" firstSheet="4"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Wholesale'!$A$1:$P$113</definedName>
    <definedName name="_xlnm.Print_Area" localSheetId="6">'7. Current Wholesale'!$A$1:$P$113</definedName>
    <definedName name="_xlnm.Print_Area" localSheetId="7">'8. Forecast Wholesale'!$A$1:$P$113</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L94" i="8" s="1"/>
  <c r="M94" i="8" s="1"/>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M94" i="9"/>
  <c r="L94" i="9"/>
  <c r="J94" i="9"/>
  <c r="I94" i="9"/>
  <c r="H94" i="9"/>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F81" i="12" l="1"/>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E44" i="9"/>
  <c r="I44" i="9"/>
  <c r="M44" i="9"/>
  <c r="E45" i="9"/>
  <c r="I45" i="9"/>
  <c r="M45" i="9"/>
  <c r="E46" i="9"/>
  <c r="I46" i="9"/>
  <c r="M46" i="9"/>
  <c r="E47" i="9"/>
  <c r="I47" i="9"/>
  <c r="M47" i="9"/>
  <c r="E48" i="9"/>
  <c r="I48" i="9"/>
  <c r="M48" i="9"/>
  <c r="E49" i="9"/>
  <c r="I49" i="9"/>
  <c r="M49" i="9"/>
  <c r="E50" i="9"/>
  <c r="I50" i="9"/>
  <c r="M50" i="9"/>
  <c r="E51" i="9"/>
  <c r="I51" i="9"/>
  <c r="M51" i="9"/>
  <c r="E52" i="9"/>
  <c r="I52" i="9"/>
  <c r="M52" i="9"/>
  <c r="E53" i="9"/>
  <c r="I53" i="9"/>
  <c r="M53" i="9"/>
  <c r="E54" i="9"/>
  <c r="I54" i="9"/>
  <c r="M54" i="9"/>
  <c r="M43" i="9"/>
  <c r="I43" i="9"/>
  <c r="E43" i="9"/>
  <c r="E25" i="9"/>
  <c r="I25" i="9"/>
  <c r="M25" i="9"/>
  <c r="E26" i="9"/>
  <c r="I26" i="9"/>
  <c r="M26" i="9"/>
  <c r="E27" i="9"/>
  <c r="I27" i="9"/>
  <c r="M27" i="9"/>
  <c r="E28" i="9"/>
  <c r="I28" i="9"/>
  <c r="M28" i="9"/>
  <c r="E29" i="9"/>
  <c r="I29" i="9"/>
  <c r="M29" i="9"/>
  <c r="E30" i="9"/>
  <c r="I30" i="9"/>
  <c r="M30" i="9"/>
  <c r="E31" i="9"/>
  <c r="I31" i="9"/>
  <c r="M31" i="9"/>
  <c r="E32" i="9"/>
  <c r="I32" i="9"/>
  <c r="M32" i="9"/>
  <c r="E33" i="9"/>
  <c r="I33" i="9"/>
  <c r="M33" i="9"/>
  <c r="E34" i="9"/>
  <c r="I34" i="9"/>
  <c r="M34" i="9"/>
  <c r="E35" i="9"/>
  <c r="I35" i="9"/>
  <c r="M35" i="9"/>
  <c r="M24" i="9"/>
  <c r="I24" i="9"/>
  <c r="E24" i="9"/>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A5" i="5" s="1"/>
  <c r="L31" i="4"/>
  <c r="L32" i="4"/>
  <c r="L33" i="4"/>
  <c r="L34" i="4"/>
  <c r="L35" i="4"/>
  <c r="L36" i="4"/>
  <c r="L37" i="4"/>
  <c r="L38" i="4"/>
  <c r="L39" i="4"/>
  <c r="L40" i="4"/>
  <c r="L41" i="4"/>
  <c r="L42" i="4"/>
  <c r="L43" i="4"/>
  <c r="L44" i="4"/>
  <c r="L45" i="4"/>
  <c r="L46" i="4"/>
  <c r="L47" i="4"/>
  <c r="L48" i="4"/>
  <c r="Q29" i="3"/>
  <c r="B30" i="14" s="1"/>
  <c r="Q30" i="3"/>
  <c r="B31" i="14" s="1"/>
  <c r="Q31" i="3"/>
  <c r="B32" i="14" s="1"/>
  <c r="Q32" i="3"/>
  <c r="B33" i="14" s="1"/>
  <c r="F33" i="14" s="1"/>
  <c r="A4" i="5"/>
  <c r="A7" i="5"/>
  <c r="D27" i="14"/>
  <c r="F31" i="14"/>
  <c r="D31" i="14"/>
  <c r="D24" i="8"/>
  <c r="E24" i="8"/>
  <c r="D43" i="8"/>
  <c r="E43" i="8"/>
  <c r="E44" i="8" s="1"/>
  <c r="D25" i="8"/>
  <c r="D101" i="8" s="1"/>
  <c r="D44" i="8"/>
  <c r="D26" i="8"/>
  <c r="D102" i="8" s="1"/>
  <c r="D45" i="8"/>
  <c r="D27" i="8"/>
  <c r="D103" i="8" s="1"/>
  <c r="D46" i="8"/>
  <c r="D28" i="8"/>
  <c r="D104" i="8" s="1"/>
  <c r="D47" i="8"/>
  <c r="D29" i="8"/>
  <c r="D105" i="8" s="1"/>
  <c r="D48" i="8"/>
  <c r="D30" i="8"/>
  <c r="D106" i="8" s="1"/>
  <c r="D49" i="8"/>
  <c r="D31" i="8"/>
  <c r="D107" i="8" s="1"/>
  <c r="D50" i="8"/>
  <c r="D32" i="8"/>
  <c r="D108" i="8" s="1"/>
  <c r="D51" i="8"/>
  <c r="D33" i="8"/>
  <c r="D109" i="8" s="1"/>
  <c r="D52" i="8"/>
  <c r="D34" i="8"/>
  <c r="D110" i="8" s="1"/>
  <c r="D53" i="8"/>
  <c r="D35" i="8"/>
  <c r="D111" i="8" s="1"/>
  <c r="D54" i="8"/>
  <c r="B27" i="16"/>
  <c r="D27" i="16" s="1"/>
  <c r="B31" i="16"/>
  <c r="D31" i="16" s="1"/>
  <c r="B32" i="16"/>
  <c r="D32" i="16" s="1"/>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7" i="15"/>
  <c r="F27" i="15" s="1"/>
  <c r="B29" i="15"/>
  <c r="F29" i="15" s="1"/>
  <c r="B30" i="15"/>
  <c r="F30" i="15" s="1"/>
  <c r="B31" i="15"/>
  <c r="F31" i="15" s="1"/>
  <c r="B32" i="15"/>
  <c r="F32" i="15" s="1"/>
  <c r="H24" i="8"/>
  <c r="I24" i="8"/>
  <c r="H43" i="8"/>
  <c r="I43" i="8"/>
  <c r="L24" i="8"/>
  <c r="L100" i="8" s="1"/>
  <c r="M24" i="8"/>
  <c r="L43" i="8"/>
  <c r="M43" i="8"/>
  <c r="H25" i="8"/>
  <c r="H44" i="8"/>
  <c r="L25" i="8"/>
  <c r="L44" i="8"/>
  <c r="H26" i="8"/>
  <c r="H102" i="8" s="1"/>
  <c r="H45" i="8"/>
  <c r="L26" i="8"/>
  <c r="L45" i="8"/>
  <c r="H27" i="8"/>
  <c r="H103" i="8" s="1"/>
  <c r="H46" i="8"/>
  <c r="L27" i="8"/>
  <c r="L46" i="8"/>
  <c r="H28" i="8"/>
  <c r="H104" i="8" s="1"/>
  <c r="H47" i="8"/>
  <c r="L28" i="8"/>
  <c r="L47" i="8"/>
  <c r="H29" i="8"/>
  <c r="H105" i="8" s="1"/>
  <c r="H48" i="8"/>
  <c r="L29" i="8"/>
  <c r="L48" i="8"/>
  <c r="H30" i="8"/>
  <c r="H106" i="8" s="1"/>
  <c r="H49" i="8"/>
  <c r="L30" i="8"/>
  <c r="L49" i="8"/>
  <c r="H31" i="8"/>
  <c r="H107" i="8" s="1"/>
  <c r="H50" i="8"/>
  <c r="L31" i="8"/>
  <c r="L50" i="8"/>
  <c r="H32" i="8"/>
  <c r="H108" i="8" s="1"/>
  <c r="H51" i="8"/>
  <c r="L32" i="8"/>
  <c r="L51" i="8"/>
  <c r="H33" i="8"/>
  <c r="H109" i="8" s="1"/>
  <c r="H52" i="8"/>
  <c r="L33" i="8"/>
  <c r="L52" i="8"/>
  <c r="H34" i="8"/>
  <c r="H110" i="8" s="1"/>
  <c r="H53" i="8"/>
  <c r="L34" i="8"/>
  <c r="L53" i="8"/>
  <c r="H35" i="8"/>
  <c r="H111" i="8" s="1"/>
  <c r="H54" i="8"/>
  <c r="L35" i="8"/>
  <c r="L54" i="8"/>
  <c r="B27" i="17"/>
  <c r="D27" i="17"/>
  <c r="B30" i="17"/>
  <c r="D30" i="17" s="1"/>
  <c r="B31" i="17"/>
  <c r="D31" i="17"/>
  <c r="B32" i="17"/>
  <c r="D32" i="17"/>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28" i="18"/>
  <c r="D28" i="18" s="1"/>
  <c r="B31" i="18"/>
  <c r="D31" i="18" s="1"/>
  <c r="B32" i="18"/>
  <c r="D32" i="18" s="1"/>
  <c r="B33" i="18"/>
  <c r="D33" i="18" s="1"/>
  <c r="H37" i="12"/>
  <c r="D56" i="8"/>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E56" i="9" s="1"/>
  <c r="F56" i="9"/>
  <c r="H56" i="9"/>
  <c r="I56" i="9" s="1"/>
  <c r="J56" i="9"/>
  <c r="L56" i="9"/>
  <c r="M56" i="9" s="1"/>
  <c r="N56" i="9"/>
  <c r="E41" i="6"/>
  <c r="G41" i="6"/>
  <c r="I41" i="6"/>
  <c r="E91" i="6"/>
  <c r="G91" i="6"/>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D33" i="14" l="1"/>
  <c r="B33" i="17"/>
  <c r="D33" i="17" s="1"/>
  <c r="B33" i="15"/>
  <c r="F33" i="15" s="1"/>
  <c r="B34" i="18"/>
  <c r="D34" i="18" s="1"/>
  <c r="B33" i="16"/>
  <c r="D33" i="16" s="1"/>
  <c r="B30" i="16"/>
  <c r="D30" i="16" s="1"/>
  <c r="B31" i="4"/>
  <c r="D31" i="4" s="1"/>
  <c r="J31" i="4" s="1"/>
  <c r="B30" i="18"/>
  <c r="D30" i="18" s="1"/>
  <c r="B29" i="17"/>
  <c r="D29" i="17" s="1"/>
  <c r="B29" i="14"/>
  <c r="B29" i="16"/>
  <c r="D29" i="16" s="1"/>
  <c r="B28" i="17"/>
  <c r="D28" i="17" s="1"/>
  <c r="B28" i="15"/>
  <c r="F28" i="15" s="1"/>
  <c r="B28" i="16"/>
  <c r="D28" i="16" s="1"/>
  <c r="B29" i="18"/>
  <c r="D29" i="18" s="1"/>
  <c r="B30" i="4"/>
  <c r="D30" i="4" s="1"/>
  <c r="J30" i="4" s="1"/>
  <c r="A3" i="5"/>
  <c r="B25" i="17"/>
  <c r="D25" i="17" s="1"/>
  <c r="B26" i="16"/>
  <c r="D26" i="16" s="1"/>
  <c r="L111" i="8"/>
  <c r="L110" i="8"/>
  <c r="L109" i="8"/>
  <c r="L108" i="8"/>
  <c r="L107" i="8"/>
  <c r="L106" i="8"/>
  <c r="L105" i="8"/>
  <c r="L104" i="8"/>
  <c r="L103" i="8"/>
  <c r="L102" i="8"/>
  <c r="L101" i="8"/>
  <c r="D107" i="12"/>
  <c r="L110" i="12"/>
  <c r="L108" i="12"/>
  <c r="L106" i="12"/>
  <c r="L104" i="12"/>
  <c r="L102" i="12"/>
  <c r="D100" i="8"/>
  <c r="H101"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J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2" i="15"/>
  <c r="D31" i="15"/>
  <c r="D30" i="15"/>
  <c r="D29" i="15"/>
  <c r="D28" i="15"/>
  <c r="D27"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J100" i="8" s="1"/>
  <c r="I25" i="8"/>
  <c r="F24" i="8"/>
  <c r="E25" i="8"/>
  <c r="E26" i="8" s="1"/>
  <c r="D32" i="14"/>
  <c r="F32" i="14"/>
  <c r="D30" i="14"/>
  <c r="F30" i="14"/>
  <c r="E44" i="12"/>
  <c r="F44" i="8"/>
  <c r="E45" i="8"/>
  <c r="A8" i="5"/>
  <c r="A6" i="5"/>
  <c r="B35" i="4"/>
  <c r="D35" i="4" s="1"/>
  <c r="J35" i="4" s="1"/>
  <c r="B34" i="4"/>
  <c r="D34" i="4" s="1"/>
  <c r="J34" i="4" s="1"/>
  <c r="B33" i="4"/>
  <c r="D33" i="4" s="1"/>
  <c r="J33" i="4" s="1"/>
  <c r="B32" i="4"/>
  <c r="D32" i="4" s="1"/>
  <c r="J32" i="4" s="1"/>
  <c r="B27" i="4"/>
  <c r="B25" i="14"/>
  <c r="D33" i="15" l="1"/>
  <c r="D29" i="14"/>
  <c r="F29" i="14"/>
  <c r="J32" i="16"/>
  <c r="L113" i="8"/>
  <c r="E113" i="9"/>
  <c r="D26" i="15"/>
  <c r="H25" i="16"/>
  <c r="N100" i="8"/>
  <c r="J100" i="12"/>
  <c r="H113" i="8"/>
  <c r="I100" i="8"/>
  <c r="D113" i="8"/>
  <c r="F100" i="8"/>
  <c r="E100" i="8" s="1"/>
  <c r="M88" i="12"/>
  <c r="N87" i="12"/>
  <c r="P87" i="12" s="1"/>
  <c r="E89" i="12"/>
  <c r="F88" i="12"/>
  <c r="J94" i="12"/>
  <c r="M26" i="12"/>
  <c r="N26" i="12" s="1"/>
  <c r="I100" i="12"/>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L29" i="15" s="1"/>
  <c r="J26" i="15"/>
  <c r="N44" i="8"/>
  <c r="P44" i="8" s="1"/>
  <c r="H27" i="17"/>
  <c r="J29" i="14"/>
  <c r="J29" i="16"/>
  <c r="H33" i="17"/>
  <c r="J26" i="16"/>
  <c r="H25" i="17"/>
  <c r="H25" i="15"/>
  <c r="J25" i="14"/>
  <c r="H25" i="14"/>
  <c r="F25" i="14"/>
  <c r="J25" i="17"/>
  <c r="J25" i="16"/>
  <c r="J25" i="15"/>
  <c r="D25" i="14"/>
  <c r="J27" i="14"/>
  <c r="J27" i="16"/>
  <c r="J28" i="15"/>
  <c r="H28" i="17"/>
  <c r="H29" i="16"/>
  <c r="H33" i="16"/>
  <c r="H31" i="15"/>
  <c r="H29" i="14"/>
  <c r="H33" i="14"/>
  <c r="J31" i="15"/>
  <c r="L31" i="15" s="1"/>
  <c r="J31" i="17"/>
  <c r="J33" i="15"/>
  <c r="J33" i="17"/>
  <c r="H30" i="14"/>
  <c r="H30" i="15"/>
  <c r="J30" i="17"/>
  <c r="J30" i="16"/>
  <c r="J32" i="17"/>
  <c r="H32" i="14"/>
  <c r="H32" i="16"/>
  <c r="F26" i="8"/>
  <c r="E27" i="8"/>
  <c r="J25" i="8"/>
  <c r="J101" i="8" s="1"/>
  <c r="I101" i="8" s="1"/>
  <c r="I26" i="8"/>
  <c r="N45" i="8"/>
  <c r="M46" i="8"/>
  <c r="M27" i="8"/>
  <c r="J25" i="12"/>
  <c r="I26" i="12"/>
  <c r="J45"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F34" i="15"/>
  <c r="D34" i="15"/>
  <c r="H34" i="17"/>
  <c r="J34" i="16"/>
  <c r="J34" i="15"/>
  <c r="J34" i="17"/>
  <c r="H34" i="16"/>
  <c r="H34" i="15"/>
  <c r="J34" i="14"/>
  <c r="H34" i="14"/>
  <c r="F34" i="14"/>
  <c r="D34" i="14"/>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L28" i="14" s="1"/>
  <c r="H26" i="14"/>
  <c r="H28" i="14"/>
  <c r="D27" i="4"/>
  <c r="J27" i="4" s="1"/>
  <c r="J27" i="15"/>
  <c r="L27" i="15" s="1"/>
  <c r="J28" i="16"/>
  <c r="H31" i="17"/>
  <c r="H31" i="16"/>
  <c r="H29" i="15"/>
  <c r="H33" i="15"/>
  <c r="H31" i="14"/>
  <c r="J31" i="14"/>
  <c r="J31" i="16"/>
  <c r="J33" i="14"/>
  <c r="J33" i="16"/>
  <c r="F45" i="8"/>
  <c r="E46" i="8"/>
  <c r="F44" i="12"/>
  <c r="E45" i="12"/>
  <c r="J29" i="17"/>
  <c r="J30" i="14"/>
  <c r="H30" i="16"/>
  <c r="J30" i="15"/>
  <c r="L30" i="15" s="1"/>
  <c r="H30" i="17"/>
  <c r="J32" i="14"/>
  <c r="H32" i="15"/>
  <c r="J32" i="15"/>
  <c r="L32" i="15" s="1"/>
  <c r="H32" i="17"/>
  <c r="P24" i="8"/>
  <c r="P43" i="8"/>
  <c r="N44" i="12"/>
  <c r="M45" i="12"/>
  <c r="D35" i="17"/>
  <c r="R35" i="17" s="1"/>
  <c r="F35" i="15"/>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P100" i="8" l="1"/>
  <c r="M100" i="8"/>
  <c r="L34" i="14"/>
  <c r="L33" i="14"/>
  <c r="L34" i="15"/>
  <c r="L32" i="14"/>
  <c r="L33" i="15"/>
  <c r="L31" i="14"/>
  <c r="L30" i="14"/>
  <c r="L29" i="14"/>
  <c r="L28" i="15"/>
  <c r="L27" i="14"/>
  <c r="N102" i="8"/>
  <c r="M102" i="8" s="1"/>
  <c r="N101" i="8"/>
  <c r="I46" i="8"/>
  <c r="M27" i="12"/>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R35" i="16"/>
  <c r="L35" i="14"/>
  <c r="L35" i="15"/>
  <c r="R35" i="14"/>
  <c r="P45" i="8"/>
  <c r="L26" i="14"/>
  <c r="L25" i="14"/>
  <c r="L25" i="15"/>
  <c r="J46" i="8"/>
  <c r="I47" i="8"/>
  <c r="N27" i="12"/>
  <c r="M28" i="12"/>
  <c r="N45" i="12"/>
  <c r="N102" i="12" s="1"/>
  <c r="M102" i="12" s="1"/>
  <c r="M46" i="12"/>
  <c r="F45" i="12"/>
  <c r="F102" i="12" s="1"/>
  <c r="E102" i="12" s="1"/>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P101" i="8" l="1"/>
  <c r="M101" i="8"/>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F104" i="8" s="1"/>
  <c r="E104" i="8" s="1"/>
  <c r="E29" i="8"/>
  <c r="E48" i="8"/>
  <c r="F47" i="8"/>
  <c r="F46" i="12"/>
  <c r="E47" i="12"/>
  <c r="N46" i="12"/>
  <c r="M47" i="12"/>
  <c r="N28" i="12"/>
  <c r="M29" i="12"/>
  <c r="I48" i="8"/>
  <c r="J47" i="8"/>
  <c r="N104" i="8" l="1"/>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4"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s="1"/>
  <c r="P105" i="8" l="1"/>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J106" i="12"/>
  <c r="I106" i="12" s="1"/>
  <c r="P30" i="12"/>
  <c r="P50" i="8"/>
  <c r="N106" i="12"/>
  <c r="M106" i="12" s="1"/>
  <c r="F32" i="8"/>
  <c r="E33" i="8"/>
  <c r="J51" i="12"/>
  <c r="I52" i="12"/>
  <c r="P30" i="8"/>
  <c r="P107" i="8" l="1"/>
  <c r="I107" i="8"/>
  <c r="F108" i="8"/>
  <c r="E108" i="8" s="1"/>
  <c r="N108" i="8"/>
  <c r="M108" i="8" s="1"/>
  <c r="P50" i="12"/>
  <c r="P51" i="8"/>
  <c r="E34" i="8"/>
  <c r="F33" i="8"/>
  <c r="J32" i="8"/>
  <c r="J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N109" i="8" s="1"/>
  <c r="M109" i="8" s="1"/>
  <c r="M34" i="8"/>
  <c r="J52" i="12"/>
  <c r="I53" i="12"/>
  <c r="J32" i="12"/>
  <c r="I33" i="12"/>
  <c r="P108" i="8" l="1"/>
  <c r="I108" i="8"/>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I111" i="8" s="1"/>
  <c r="F37" i="8"/>
  <c r="E37" i="8" s="1"/>
  <c r="F53" i="12"/>
  <c r="F110" i="12" s="1"/>
  <c r="E110" i="12" s="1"/>
  <c r="E54" i="12"/>
  <c r="F54" i="12" s="1"/>
  <c r="P110" i="8" l="1"/>
  <c r="I110" i="8"/>
  <c r="F113" i="8"/>
  <c r="E113" i="8" s="1"/>
  <c r="N113" i="8"/>
  <c r="M113" i="8" s="1"/>
  <c r="P111" i="8"/>
  <c r="P113" i="8" s="1"/>
  <c r="P117" i="8" s="1"/>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34" i="15" l="1"/>
  <c r="R34" i="15" s="1"/>
  <c r="P41" i="15"/>
  <c r="P43" i="15"/>
  <c r="P30" i="15"/>
  <c r="R30" i="15" s="1"/>
  <c r="P29" i="15"/>
  <c r="R29" i="15" s="1"/>
  <c r="P40" i="15"/>
  <c r="P28" i="15"/>
  <c r="R28" i="15" s="1"/>
  <c r="P27" i="15"/>
  <c r="R27" i="15" s="1"/>
  <c r="P26" i="15"/>
  <c r="P38" i="15"/>
  <c r="P33" i="15"/>
  <c r="R33" i="15" s="1"/>
  <c r="P39" i="15"/>
  <c r="P36" i="15"/>
  <c r="P37" i="15"/>
  <c r="P32" i="15"/>
  <c r="R32" i="15" s="1"/>
  <c r="P45" i="15"/>
  <c r="P31" i="15"/>
  <c r="R31" i="15" s="1"/>
  <c r="P42" i="15"/>
  <c r="P46" i="15"/>
  <c r="P25" i="15"/>
  <c r="P35" i="15"/>
  <c r="P44" i="15"/>
  <c r="P45" i="14"/>
  <c r="P35" i="14"/>
  <c r="P25" i="14"/>
  <c r="R25" i="14" s="1"/>
  <c r="F25" i="16" s="1"/>
  <c r="P37" i="12"/>
  <c r="P30" i="14"/>
  <c r="R30" i="14" s="1"/>
  <c r="P43" i="14"/>
  <c r="P37" i="14"/>
  <c r="P41" i="14"/>
  <c r="P34" i="14"/>
  <c r="R34" i="14" s="1"/>
  <c r="P26" i="14"/>
  <c r="R26" i="14" s="1"/>
  <c r="P46" i="14"/>
  <c r="P39" i="14"/>
  <c r="P29" i="14"/>
  <c r="R29" i="14" s="1"/>
  <c r="N113" i="12"/>
  <c r="M113" i="12" s="1"/>
  <c r="F113" i="12"/>
  <c r="E113" i="12" s="1"/>
  <c r="E111" i="12"/>
  <c r="P44" i="14"/>
  <c r="P40" i="14"/>
  <c r="P36" i="14"/>
  <c r="P31" i="14"/>
  <c r="R31" i="14" s="1"/>
  <c r="P32" i="14"/>
  <c r="R32" i="14" s="1"/>
  <c r="P42" i="14"/>
  <c r="P38" i="14"/>
  <c r="P33" i="14"/>
  <c r="R33" i="14" s="1"/>
  <c r="P27" i="14"/>
  <c r="R27" i="14" s="1"/>
  <c r="P28" i="14"/>
  <c r="R28" i="14" s="1"/>
  <c r="P110" i="12"/>
  <c r="P37" i="8"/>
  <c r="P111" i="12"/>
  <c r="J113" i="12"/>
  <c r="I113" i="12" s="1"/>
  <c r="L25" i="16" l="1"/>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R33" i="16" s="1"/>
  <c r="N30" i="16"/>
  <c r="P30" i="16" s="1"/>
  <c r="R30" i="16" s="1"/>
  <c r="N26" i="16"/>
  <c r="P26" i="16" s="1"/>
  <c r="R26" i="16" s="1"/>
  <c r="F27" i="18" s="1"/>
  <c r="N31" i="16"/>
  <c r="P31" i="16" s="1"/>
  <c r="R31" i="16" s="1"/>
  <c r="N28" i="16"/>
  <c r="P28" i="16" s="1"/>
  <c r="R28" i="16" s="1"/>
  <c r="N29" i="16"/>
  <c r="P29" i="16" s="1"/>
  <c r="R29" i="16" s="1"/>
  <c r="N41" i="16"/>
  <c r="P41" i="16" s="1"/>
  <c r="N46" i="16"/>
  <c r="P46" i="16" s="1"/>
  <c r="N32" i="16"/>
  <c r="P32" i="16" s="1"/>
  <c r="R32" i="16" s="1"/>
  <c r="N39" i="16"/>
  <c r="P39" i="16" s="1"/>
  <c r="N34" i="16"/>
  <c r="P34" i="16" s="1"/>
  <c r="R34" i="16" s="1"/>
  <c r="N35" i="16"/>
  <c r="P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N41" i="17"/>
  <c r="P41" i="17" s="1"/>
  <c r="N39" i="17"/>
  <c r="P39" i="17" s="1"/>
  <c r="N42" i="17"/>
  <c r="P42" i="17" s="1"/>
  <c r="N28" i="17"/>
  <c r="P28" i="17" s="1"/>
  <c r="R28" i="17" s="1"/>
  <c r="N31" i="17"/>
  <c r="P31" i="17" s="1"/>
  <c r="R31" i="17" s="1"/>
  <c r="N30" i="17"/>
  <c r="P30" i="17" s="1"/>
  <c r="R30" i="17" s="1"/>
  <c r="N38" i="17"/>
  <c r="P38" i="17" s="1"/>
  <c r="N46" i="17"/>
  <c r="P46" i="17" s="1"/>
  <c r="N40" i="17"/>
  <c r="P40" i="17" s="1"/>
  <c r="N44" i="17"/>
  <c r="P44" i="17" s="1"/>
  <c r="N29" i="17"/>
  <c r="P29" i="17" s="1"/>
  <c r="R29" i="17" s="1"/>
  <c r="N34" i="17"/>
  <c r="P34" i="17" s="1"/>
  <c r="R34" i="17" s="1"/>
  <c r="N45" i="17"/>
  <c r="P45" i="17" s="1"/>
  <c r="N32" i="17"/>
  <c r="P32" i="17" s="1"/>
  <c r="R32" i="17" s="1"/>
  <c r="N27" i="17"/>
  <c r="P27" i="17" s="1"/>
  <c r="R27" i="17" s="1"/>
  <c r="N33" i="17"/>
  <c r="P33" i="17" s="1"/>
  <c r="R33" i="17" s="1"/>
  <c r="P26" i="17" l="1"/>
  <c r="R26" i="17" s="1"/>
  <c r="H27" i="18" s="1"/>
  <c r="H47" i="18"/>
  <c r="H35" i="18"/>
  <c r="H33" i="18" l="1"/>
  <c r="H32" i="18"/>
  <c r="H40" i="18"/>
  <c r="H29" i="18"/>
  <c r="H36" i="18"/>
  <c r="H37" i="18"/>
  <c r="H43" i="18"/>
  <c r="H39" i="18"/>
  <c r="H46" i="18"/>
  <c r="H34" i="18"/>
  <c r="H45" i="18"/>
  <c r="H28" i="18"/>
  <c r="H30" i="18"/>
  <c r="H31" i="18"/>
  <c r="H44" i="18"/>
  <c r="H42" i="18"/>
  <c r="H41" i="18"/>
  <c r="H38" i="18"/>
</calcChain>
</file>

<file path=xl/sharedStrings.xml><?xml version="1.0" encoding="utf-8"?>
<sst xmlns="http://schemas.openxmlformats.org/spreadsheetml/2006/main" count="816" uniqueCount="272">
  <si>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</si>
  <si>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</si>
  <si>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</si>
  <si>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</si>
  <si>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</si>
  <si>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</si>
  <si>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</si>
  <si>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</si>
  <si>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</si>
  <si>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</si>
  <si>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</si>
  <si>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</si>
  <si>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</si>
  <si>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</si>
  <si>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</si>
  <si>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</si>
  <si>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</si>
  <si>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</si>
  <si>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</si>
  <si>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</si>
  <si>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</si>
  <si>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</si>
  <si>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</si>
  <si>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</si>
  <si>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</si>
  <si>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</si>
  <si>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</si>
  <si>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</si>
  <si>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</si>
  <si>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</si>
  <si>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</si>
  <si>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</si>
  <si>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</si>
  <si>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</si>
  <si>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</si>
  <si>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</si>
  <si>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</si>
  <si>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</si>
  <si>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</si>
  <si>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</si>
  <si>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</si>
  <si>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</si>
  <si>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</si>
  <si>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</si>
  <si>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</si>
  <si>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</si>
  <si>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</si>
  <si>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</si>
  <si>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</si>
  <si>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</si>
  <si>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</si>
  <si>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</si>
  <si>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</si>
  <si>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</si>
  <si>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</si>
  <si>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</si>
  <si>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</si>
  <si>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</si>
  <si>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</si>
  <si>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</si>
  <si>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</si>
  <si>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</si>
  <si>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</si>
  <si>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</si>
  <si>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</si>
  <si>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</si>
  <si>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</si>
  <si>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</si>
  <si>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</si>
  <si>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</si>
  <si>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</si>
  <si>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</si>
  <si>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</si>
  <si>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</si>
  <si>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</si>
  <si>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</si>
  <si>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</si>
  <si>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</si>
  <si>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</si>
  <si>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</si>
  <si>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</si>
  <si>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</si>
  <si>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</si>
  <si>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</si>
  <si>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</si>
  <si>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</si>
  <si>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</si>
  <si>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</si>
  <si>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</si>
  <si>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</si>
  <si>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</si>
  <si>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</si>
  <si>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</si>
  <si>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</si>
  <si>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</si>
  <si>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</si>
  <si>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</si>
  <si>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</si>
  <si>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</si>
  <si>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</si>
  <si>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</si>
  <si>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</si>
  <si>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</si>
  <si>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</si>
  <si>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</si>
  <si>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</si>
  <si>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</si>
  <si>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</si>
  <si>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</si>
  <si>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</si>
  <si>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</si>
  <si>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</si>
  <si>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</si>
  <si>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</si>
  <si>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</si>
  <si>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</si>
  <si>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</si>
  <si>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</si>
  <si>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</si>
  <si>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</si>
  <si>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</si>
  <si>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</si>
  <si>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</si>
  <si>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</si>
  <si>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</si>
  <si>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</si>
  <si>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</si>
  <si>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</si>
  <si>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</si>
  <si>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</si>
  <si>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</si>
  <si>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</si>
  <si>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</si>
  <si>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</si>
  <si>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</si>
  <si>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</si>
  <si>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</si>
  <si>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</si>
  <si>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</si>
  <si>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</si>
  <si>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</si>
  <si>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</si>
  <si>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</si>
  <si>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</si>
  <si>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</si>
  <si>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</si>
  <si>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</si>
  <si>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</si>
  <si>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</si>
  <si>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</si>
  <si>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</si>
  <si>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</si>
  <si>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</si>
  <si>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</si>
  <si>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</si>
  <si>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</si>
  <si>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</si>
  <si>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</si>
  <si>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</si>
  <si>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</si>
  <si>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</si>
  <si>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</si>
  <si>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</si>
  <si>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</si>
  <si>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</si>
  <si>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</si>
  <si>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</si>
  <si>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</si>
  <si>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</si>
  <si>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</si>
  <si>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</si>
  <si>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</si>
  <si>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</si>
  <si>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</si>
  <si>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</si>
  <si>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</si>
  <si>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</si>
  <si>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</si>
  <si>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</si>
  <si>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</si>
  <si>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</si>
  <si>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</si>
  <si>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</si>
  <si>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</si>
  <si>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</si>
  <si>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</si>
  <si>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</si>
  <si>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</si>
  <si>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</si>
  <si>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</si>
  <si>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</si>
  <si>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</si>
  <si>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</si>
  <si>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</si>
  <si>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</si>
  <si>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</si>
  <si>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</si>
  <si>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</si>
  <si>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</si>
  <si>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</si>
  <si>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</si>
  <si>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</si>
  <si>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</si>
  <si>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</si>
  <si>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</si>
  <si>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</si>
  <si>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</si>
  <si>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</si>
  <si>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</si>
  <si>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</si>
  <si>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</si>
  <si>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</si>
  <si>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</si>
  <si>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</si>
  <si>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</si>
  <si>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</si>
  <si>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</si>
  <si>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</si>
  <si>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</si>
  <si>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</si>
  <si>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</si>
  <si>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</si>
  <si>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</si>
  <si>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</si>
  <si>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</si>
  <si>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</si>
  <si>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</si>
  <si>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</si>
  <si>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</si>
  <si>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</si>
  <si>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</si>
  <si>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</si>
  <si>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</si>
  <si>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</si>
  <si>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</si>
  <si>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</si>
  <si>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</si>
  <si>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</si>
  <si>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</si>
  <si>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</si>
  <si>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</si>
  <si>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</si>
  <si>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</si>
  <si>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</si>
  <si>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</si>
  <si>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</si>
  <si>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</si>
  <si>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</si>
  <si>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</si>
  <si>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</si>
  <si>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</si>
  <si>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</si>
  <si>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</si>
  <si>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</si>
  <si>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</si>
  <si>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Transformer Allowance Credit (if applicable)</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</si>
  <si>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</si>
  <si>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</si>
  <si>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Total including deduction for Transformer Allowance Credit</t>
  </si>
  <si>
    <t>Historical 2012</t>
  </si>
  <si>
    <t>Current 2013</t>
  </si>
  <si>
    <t>Forecast 2014</t>
  </si>
  <si>
    <t>Service Territory</t>
  </si>
  <si>
    <t>If needed , add extra host here (I)</t>
  </si>
  <si>
    <t>If needed , add extra host here (II)</t>
  </si>
  <si>
    <t>Transformer Allowance Credit (if applicable, enter as a negative value)</t>
  </si>
  <si>
    <t>EB-2013-0150</t>
  </si>
  <si>
    <t>Judith Nagy, Accountant</t>
  </si>
  <si>
    <t>519-661-5800 Ext 5587</t>
  </si>
  <si>
    <t>nagyj@londonhydro.com</t>
  </si>
  <si>
    <t>London</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</si>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</sst>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 numFmtId="170" formatCode="&quot;$&quot;#,##0.0000"/>
    <numFmt numFmtId="171" formatCode="#,##0.00_ ;\-#,##0.00\ "/>
    <numFmt numFmtId="172" formatCode="&quot;$&quot;#,##0.0000;\-&quot;$&quot;#,##0.0000"/>
  </numFmts>
  <fonts count="50"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208">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70" fontId="28" fillId="24" borderId="0" xfId="29" applyNumberFormat="1" applyFont="1" applyFill="1" applyProtection="1"/>
    <xf numFmtId="167" fontId="33" fillId="26" borderId="0" xfId="29" applyNumberFormat="1" applyFont="1" applyFill="1" applyProtection="1">
      <protection locked="0"/>
    </xf>
    <xf numFmtId="0" fontId="1" fillId="26" borderId="17" xfId="0" applyFont="1" applyFill="1" applyBorder="1" applyAlignment="1" applyProtection="1">
      <alignment vertical="center"/>
      <protection locked="0"/>
    </xf>
    <xf numFmtId="164" fontId="1" fillId="26" borderId="12" xfId="28" applyNumberFormat="1" applyFont="1" applyFill="1" applyBorder="1" applyProtection="1">
      <protection locked="0"/>
    </xf>
    <xf numFmtId="0" fontId="45" fillId="28" borderId="0" xfId="0" applyFont="1" applyFill="1" applyAlignment="1" applyProtection="1">
      <alignment horizontal="center" vertical="center"/>
    </xf>
    <xf numFmtId="171" fontId="23" fillId="24" borderId="12" xfId="28" applyNumberFormat="1" applyFont="1" applyFill="1" applyBorder="1"/>
    <xf numFmtId="172" fontId="36" fillId="0" borderId="0" xfId="29" applyNumberFormat="1" applyFont="1" applyBorder="1"/>
    <xf numFmtId="0" fontId="45" fillId="28" borderId="0" xfId="0" applyNumberFormat="1" applyFont="1" applyFill="1" applyAlignment="1" applyProtection="1">
      <alignment horizontal="center" vertical="center"/>
      <protection locked="0"/>
    </xf>
    <xf numFmtId="0" fontId="49" fillId="0" borderId="0" xfId="0" applyFont="1" applyAlignment="1" applyProtection="1">
      <alignment horizontal="center" wrapText="1"/>
    </xf>
    <xf numFmtId="0" fontId="0" fillId="0" borderId="0" xfId="0" applyAlignment="1" applyProtection="1">
      <alignment vertical="top"/>
    </xf>
    <xf numFmtId="0" fontId="23" fillId="0" borderId="0" xfId="0" applyFont="1" applyAlignment="1" applyProtection="1">
      <alignment horizontal="right" vertical="top"/>
    </xf>
    <xf numFmtId="0" fontId="23" fillId="0" borderId="0" xfId="0" applyFont="1" applyAlignment="1" applyProtection="1">
      <alignment horizontal="right"/>
    </xf>
    <xf numFmtId="0" fontId="31" fillId="24" borderId="0" xfId="0" applyFont="1" applyFill="1" applyAlignment="1" applyProtection="1">
      <alignment horizontal="center" vertical="center"/>
    </xf>
    <xf numFmtId="168" fontId="1" fillId="29" borderId="0" xfId="29" applyNumberFormat="1" applyFont="1" applyFill="1" applyProtection="1"/>
    <xf numFmtId="0" fontId="47" fillId="30" borderId="0" xfId="0" applyFont="1" applyFill="1" applyAlignment="1">
      <alignment horizontal="center" vertical="center" wrapText="1"/>
    </xf>
    <xf numFmtId="0" fontId="45" fillId="30" borderId="0" xfId="0" applyFont="1" applyFill="1" applyAlignment="1">
      <alignment horizontal="left" vertical="center"/>
    </xf>
    <xf numFmtId="0" fontId="31" fillId="24" borderId="0" xfId="0" applyFont="1" applyFill="1" applyAlignment="1" applyProtection="1">
      <alignment horizontal="left" wrapText="1"/>
    </xf>
    <xf numFmtId="3" fontId="0" fillId="0" borderId="0" xfId="0" applyNumberFormat="1"/>
    <xf numFmtId="3" fontId="0" fillId="0" borderId="0" xfId="0" applyNumberFormat="1" applyFill="1"/>
    <xf numFmtId="3" fontId="28" fillId="0" borderId="0" xfId="0" applyNumberFormat="1" applyFont="1" applyAlignment="1">
      <alignment horizontal="center" vertical="center" wrapText="1"/>
    </xf>
    <xf numFmtId="3" fontId="23" fillId="24" borderId="12" xfId="28" applyNumberFormat="1" applyFont="1" applyFill="1" applyBorder="1"/>
    <xf numFmtId="3" fontId="23" fillId="0" borderId="0" xfId="0" applyNumberFormat="1" applyFont="1" applyFill="1"/>
    <xf numFmtId="170" fontId="0" fillId="0" borderId="0" xfId="0" applyNumberFormat="1"/>
    <xf numFmtId="170" fontId="22" fillId="0" borderId="0" xfId="0" applyNumberFormat="1" applyFont="1" applyFill="1" applyAlignment="1">
      <alignment horizontal="left" indent="1"/>
    </xf>
    <xf numFmtId="170" fontId="28" fillId="0" borderId="0" xfId="0" applyNumberFormat="1" applyFont="1" applyAlignment="1">
      <alignment horizontal="center" vertical="center" wrapText="1"/>
    </xf>
    <xf numFmtId="170" fontId="23" fillId="24" borderId="12" xfId="28" applyNumberFormat="1" applyFont="1" applyFill="1" applyBorder="1"/>
    <xf numFmtId="170" fontId="23" fillId="0" borderId="12" xfId="29" applyNumberFormat="1" applyFont="1" applyFill="1" applyBorder="1"/>
    <xf numFmtId="170" fontId="1" fillId="0" borderId="12" xfId="28" applyNumberFormat="1" applyFill="1" applyBorder="1"/>
    <xf numFmtId="168" fontId="33" fillId="26" borderId="0" xfId="29" applyNumberFormat="1" applyFont="1" applyFill="1" applyProtection="1">
      <protection locked="0"/>
    </xf>
    <xf numFmtId="15" fontId="1" fillId="26" borderId="17" xfId="0"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1" fillId="26" borderId="19"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676749" cy="1856993"/>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18704" cy="186438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10213665" cy="1865883"/>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21627" cy="1863674"/>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42755" cy="1874954"/>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26941" cy="1858626"/>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61136" y="0"/>
          <a:ext cx="9828462" cy="1859787"/>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5587" cy="188912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101852" y="2576135"/>
          <a:ext cx="10697560" cy="693794"/>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724447" cy="1878343"/>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21125" cy="1880824"/>
          <a:chOff x="9524" y="19051"/>
          <a:chExt cx="8537711" cy="1924049"/>
        </a:xfrm>
      </xdr:grpSpPr>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520351" y="400343"/>
          <a:ext cx="1333969" cy="427541"/>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19594" cy="1879560"/>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18704" cy="186438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2"/>
  <sheetViews>
    <sheetView showGridLines="0" topLeftCell="A16" workbookViewId="0">
      <selection activeCell="D27" sqref="D27"/>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2"/>
      <c r="D2" s="192"/>
      <c r="E2" s="192"/>
      <c r="F2" s="192"/>
      <c r="G2" s="192"/>
      <c r="H2" s="192"/>
      <c r="I2" s="192"/>
      <c r="J2" s="192"/>
      <c r="AB2" s="102" t="s">
        <v>168</v>
      </c>
      <c r="AC2" s="2"/>
      <c r="AD2" s="2"/>
      <c r="AE2" s="2"/>
      <c r="AF2" s="101"/>
      <c r="AG2" s="101"/>
      <c r="AH2" s="101"/>
    </row>
    <row r="3" spans="3:34" ht="18" x14ac:dyDescent="0.25">
      <c r="C3" s="192"/>
      <c r="D3" s="192"/>
      <c r="E3" s="192"/>
      <c r="F3" s="192"/>
      <c r="G3" s="192"/>
      <c r="H3" s="192"/>
      <c r="I3" s="192"/>
      <c r="J3" s="192"/>
      <c r="AB3" s="102" t="s">
        <v>181</v>
      </c>
    </row>
    <row r="4" spans="3:34" ht="18" x14ac:dyDescent="0.25">
      <c r="C4" s="192"/>
      <c r="D4" s="192"/>
      <c r="E4" s="192"/>
      <c r="F4" s="192"/>
      <c r="G4" s="192"/>
      <c r="H4" s="192"/>
      <c r="I4" s="192"/>
      <c r="J4" s="192"/>
      <c r="AB4" s="102" t="s">
        <v>182</v>
      </c>
    </row>
    <row r="5" spans="3:34" ht="18" x14ac:dyDescent="0.25">
      <c r="C5" s="192"/>
      <c r="D5" s="192"/>
      <c r="E5" s="192"/>
      <c r="F5" s="192"/>
      <c r="G5" s="192"/>
      <c r="H5" s="192"/>
      <c r="I5" s="192"/>
      <c r="J5" s="192"/>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193" t="s">
        <v>15</v>
      </c>
      <c r="E15" s="194"/>
      <c r="F15" s="100"/>
      <c r="G15" s="100"/>
      <c r="H15" s="100"/>
      <c r="AB15" s="102" t="s">
        <v>5</v>
      </c>
    </row>
    <row r="16" spans="3:34" ht="16.5" thickBot="1" x14ac:dyDescent="0.3">
      <c r="AB16" s="102" t="s">
        <v>189</v>
      </c>
    </row>
    <row r="17" spans="1:33" ht="15.75" thickTop="1" x14ac:dyDescent="0.2">
      <c r="C17" s="106" t="s">
        <v>262</v>
      </c>
      <c r="D17" s="189" t="s">
        <v>270</v>
      </c>
      <c r="E17" s="190"/>
      <c r="AB17" s="102" t="s">
        <v>6</v>
      </c>
    </row>
    <row r="18" spans="1:33" ht="16.5" thickBot="1" x14ac:dyDescent="0.3">
      <c r="AB18" s="102" t="s">
        <v>191</v>
      </c>
    </row>
    <row r="19" spans="1:33" ht="16.5" thickTop="1" x14ac:dyDescent="0.25">
      <c r="C19" s="106" t="s">
        <v>190</v>
      </c>
      <c r="D19" s="161" t="s">
        <v>266</v>
      </c>
      <c r="AB19" s="102" t="s">
        <v>170</v>
      </c>
    </row>
    <row r="20" spans="1:33" ht="16.5" thickBot="1" x14ac:dyDescent="0.3">
      <c r="AB20" s="102" t="s">
        <v>7</v>
      </c>
    </row>
    <row r="21" spans="1:33" ht="16.5" thickTop="1" x14ac:dyDescent="0.2">
      <c r="C21" s="106" t="s">
        <v>192</v>
      </c>
      <c r="D21" s="189" t="s">
        <v>267</v>
      </c>
      <c r="E21" s="191"/>
      <c r="G21" s="107"/>
      <c r="H21" s="107"/>
      <c r="AB21" s="102" t="s">
        <v>8</v>
      </c>
    </row>
    <row r="22" spans="1:33" ht="16.5" thickBot="1" x14ac:dyDescent="0.3">
      <c r="AA22" s="108"/>
      <c r="AB22" s="102" t="s">
        <v>153</v>
      </c>
      <c r="AC22" s="108"/>
      <c r="AD22" s="108"/>
      <c r="AE22" s="108"/>
      <c r="AF22" s="96"/>
      <c r="AG22" s="96"/>
    </row>
    <row r="23" spans="1:33" ht="16.5" thickTop="1" x14ac:dyDescent="0.25">
      <c r="C23" s="106" t="s">
        <v>193</v>
      </c>
      <c r="D23" s="161" t="s">
        <v>268</v>
      </c>
      <c r="AB23" s="102" t="s">
        <v>9</v>
      </c>
      <c r="AC23" s="19"/>
      <c r="AE23" s="19"/>
      <c r="AF23" s="109"/>
      <c r="AG23" s="110"/>
    </row>
    <row r="24" spans="1:33" ht="16.5" thickBot="1" x14ac:dyDescent="0.25">
      <c r="E24" s="107"/>
      <c r="AB24" s="102" t="s">
        <v>154</v>
      </c>
      <c r="AC24" s="19"/>
      <c r="AE24" s="19"/>
      <c r="AF24" s="109"/>
      <c r="AG24" s="110"/>
    </row>
    <row r="25" spans="1:33" ht="15.75" thickTop="1" x14ac:dyDescent="0.2">
      <c r="C25" s="106" t="s">
        <v>194</v>
      </c>
      <c r="D25" s="189" t="s">
        <v>269</v>
      </c>
      <c r="E25" s="190"/>
      <c r="AB25" s="102" t="s">
        <v>171</v>
      </c>
      <c r="AC25" s="19"/>
      <c r="AE25" s="19"/>
      <c r="AF25" s="109"/>
      <c r="AG25" s="110"/>
    </row>
    <row r="26" spans="1:33" ht="16.5" thickBot="1" x14ac:dyDescent="0.3">
      <c r="AB26" s="102" t="s">
        <v>172</v>
      </c>
      <c r="AC26" s="19"/>
      <c r="AE26" s="19"/>
      <c r="AF26" s="109"/>
      <c r="AG26" s="110"/>
    </row>
    <row r="27" spans="1:33" ht="16.5" thickTop="1" x14ac:dyDescent="0.25">
      <c r="C27" s="106" t="s">
        <v>195</v>
      </c>
      <c r="D27" s="188">
        <v>41544</v>
      </c>
      <c r="G27" s="111"/>
      <c r="H27" s="111"/>
      <c r="AB27" s="102" t="s">
        <v>10</v>
      </c>
      <c r="AC27" s="19"/>
      <c r="AE27" s="19"/>
      <c r="AF27" s="109"/>
      <c r="AG27" s="110"/>
    </row>
    <row r="28" spans="1:33" ht="16.5" thickBot="1" x14ac:dyDescent="0.3">
      <c r="C28" s="112"/>
      <c r="D28" s="113"/>
      <c r="I28" s="114"/>
      <c r="AB28" s="102" t="s">
        <v>173</v>
      </c>
      <c r="AC28" s="19"/>
      <c r="AE28" s="19"/>
      <c r="AF28" s="109"/>
      <c r="AG28" s="110"/>
    </row>
    <row r="29" spans="1:33" ht="15.75" customHeight="1" thickTop="1" x14ac:dyDescent="0.3">
      <c r="C29" s="93" t="s">
        <v>196</v>
      </c>
      <c r="D29" s="115">
        <v>2013</v>
      </c>
      <c r="AB29" s="102" t="s">
        <v>197</v>
      </c>
      <c r="AC29" s="19"/>
      <c r="AE29" s="19"/>
      <c r="AF29" s="109"/>
      <c r="AG29" s="110"/>
    </row>
    <row r="30" spans="1:33" ht="15.75" customHeight="1" x14ac:dyDescent="0.25">
      <c r="AB30" s="102" t="s">
        <v>155</v>
      </c>
      <c r="AC30" s="19"/>
      <c r="AE30" s="19"/>
      <c r="AF30" s="109"/>
      <c r="AG30" s="110"/>
    </row>
    <row r="31" spans="1:33" ht="15.75" customHeight="1" x14ac:dyDescent="0.3">
      <c r="C31" s="93"/>
      <c r="AB31" s="102" t="s">
        <v>174</v>
      </c>
      <c r="AC31" s="19"/>
      <c r="AE31" s="19"/>
      <c r="AF31" s="109"/>
      <c r="AG31" s="110"/>
    </row>
    <row r="32" spans="1:33" ht="15.75" customHeight="1" x14ac:dyDescent="0.3">
      <c r="A32" s="116" t="s">
        <v>198</v>
      </c>
      <c r="C32" s="93"/>
      <c r="AB32" s="102" t="s">
        <v>11</v>
      </c>
      <c r="AC32" s="19"/>
      <c r="AE32" s="19"/>
      <c r="AF32" s="109"/>
      <c r="AG32" s="110"/>
    </row>
    <row r="33" spans="3:33" ht="15.75" customHeight="1" x14ac:dyDescent="0.3">
      <c r="C33" s="93"/>
      <c r="AB33" s="102" t="s">
        <v>156</v>
      </c>
      <c r="AC33" s="19"/>
      <c r="AE33" s="19"/>
      <c r="AF33" s="109"/>
      <c r="AG33" s="110"/>
    </row>
    <row r="34" spans="3:33" ht="15.75" customHeight="1" x14ac:dyDescent="0.25">
      <c r="AB34" s="102" t="s">
        <v>167</v>
      </c>
      <c r="AC34" s="19"/>
      <c r="AE34" s="19"/>
      <c r="AF34" s="109"/>
      <c r="AG34" s="110"/>
    </row>
    <row r="35" spans="3:33" ht="15.75" x14ac:dyDescent="0.25">
      <c r="C35" s="92"/>
      <c r="AB35" s="102" t="s">
        <v>12</v>
      </c>
      <c r="AC35" s="19"/>
      <c r="AE35" s="19"/>
      <c r="AF35" s="109"/>
      <c r="AG35" s="110"/>
    </row>
    <row r="36" spans="3:33" ht="15.75" x14ac:dyDescent="0.25">
      <c r="F36" s="117"/>
      <c r="G36" s="117"/>
      <c r="H36" s="117"/>
      <c r="I36" s="117"/>
      <c r="J36" s="117"/>
      <c r="K36" s="117"/>
      <c r="AB36" s="102" t="s">
        <v>175</v>
      </c>
      <c r="AC36" s="19"/>
      <c r="AE36" s="19"/>
      <c r="AF36" s="109"/>
      <c r="AG36" s="110"/>
    </row>
    <row r="37" spans="3:33" ht="15.75" x14ac:dyDescent="0.25">
      <c r="F37" s="117"/>
      <c r="G37" s="117"/>
      <c r="H37" s="117"/>
      <c r="I37" s="117"/>
      <c r="J37" s="117"/>
      <c r="K37" s="117"/>
      <c r="AB37" s="102" t="s">
        <v>199</v>
      </c>
      <c r="AC37" s="19"/>
      <c r="AE37" s="19"/>
      <c r="AF37" s="109"/>
      <c r="AG37" s="110"/>
    </row>
    <row r="38" spans="3:33" ht="15.75" x14ac:dyDescent="0.25">
      <c r="F38" s="117"/>
      <c r="G38" s="117"/>
      <c r="H38" s="117"/>
      <c r="I38" s="117"/>
      <c r="J38" s="117"/>
      <c r="K38" s="117"/>
      <c r="AB38" s="102" t="s">
        <v>176</v>
      </c>
      <c r="AC38" s="19"/>
      <c r="AE38" s="19"/>
      <c r="AF38" s="109"/>
      <c r="AG38" s="110"/>
    </row>
    <row r="39" spans="3:33" ht="16.5" x14ac:dyDescent="0.3">
      <c r="D39" s="98"/>
      <c r="E39" s="19"/>
      <c r="F39" s="118"/>
      <c r="G39" s="118"/>
      <c r="H39" s="118"/>
      <c r="I39" s="118"/>
      <c r="J39" s="118"/>
      <c r="K39" s="118"/>
      <c r="AB39" s="102" t="s">
        <v>157</v>
      </c>
      <c r="AC39" s="19"/>
      <c r="AE39" s="19"/>
      <c r="AF39" s="109"/>
      <c r="AG39" s="110"/>
    </row>
    <row r="40" spans="3:33" ht="15.75" customHeight="1" x14ac:dyDescent="0.3">
      <c r="D40" s="1"/>
      <c r="E40" s="19"/>
      <c r="F40" s="119"/>
      <c r="G40" s="117"/>
      <c r="H40" s="117"/>
      <c r="I40" s="117"/>
      <c r="J40" s="117"/>
      <c r="K40" s="117"/>
      <c r="AB40" s="102" t="s">
        <v>158</v>
      </c>
      <c r="AC40" s="19"/>
      <c r="AE40" s="19"/>
      <c r="AF40" s="109"/>
      <c r="AG40" s="110"/>
    </row>
    <row r="41" spans="3:33" ht="15.75" customHeight="1" x14ac:dyDescent="0.3">
      <c r="D41" s="98"/>
      <c r="E41" s="19"/>
      <c r="F41" s="118"/>
      <c r="G41" s="118"/>
      <c r="H41" s="118"/>
      <c r="I41" s="118"/>
      <c r="J41" s="118"/>
      <c r="K41" s="118"/>
      <c r="AB41" s="102" t="s">
        <v>13</v>
      </c>
      <c r="AC41" s="19"/>
      <c r="AE41" s="19"/>
      <c r="AF41" s="109"/>
      <c r="AG41" s="110"/>
    </row>
    <row r="42" spans="3:33" ht="15.75" customHeight="1" x14ac:dyDescent="0.3">
      <c r="D42" s="1"/>
      <c r="E42" s="19"/>
      <c r="F42" s="119"/>
      <c r="G42" s="117"/>
      <c r="H42" s="117"/>
      <c r="I42" s="117"/>
      <c r="J42" s="117"/>
      <c r="K42" s="117"/>
      <c r="AB42" s="102" t="s">
        <v>177</v>
      </c>
      <c r="AC42" s="19"/>
      <c r="AE42" s="19"/>
      <c r="AF42" s="109"/>
      <c r="AG42" s="110"/>
    </row>
    <row r="43" spans="3:33" ht="15.75" customHeight="1" x14ac:dyDescent="0.3">
      <c r="D43" s="98"/>
      <c r="E43" s="120"/>
      <c r="F43" s="118"/>
      <c r="G43" s="118"/>
      <c r="H43" s="118"/>
      <c r="I43" s="118"/>
      <c r="J43" s="118"/>
      <c r="K43" s="118"/>
      <c r="AB43" s="102" t="s">
        <v>14</v>
      </c>
      <c r="AC43" s="19"/>
      <c r="AE43" s="19"/>
      <c r="AF43" s="109"/>
      <c r="AG43" s="110"/>
    </row>
    <row r="44" spans="3:33" ht="16.5" x14ac:dyDescent="0.3">
      <c r="D44" s="1"/>
      <c r="E44" s="19"/>
      <c r="F44" s="121"/>
      <c r="G44" s="117"/>
      <c r="H44" s="117"/>
      <c r="I44" s="117"/>
      <c r="J44" s="117"/>
      <c r="K44" s="117"/>
      <c r="AB44" s="102" t="s">
        <v>15</v>
      </c>
      <c r="AC44" s="19"/>
      <c r="AE44" s="19"/>
      <c r="AF44" s="109"/>
      <c r="AG44" s="110"/>
    </row>
    <row r="45" spans="3:33" ht="16.5" x14ac:dyDescent="0.3">
      <c r="D45" s="122"/>
      <c r="E45" s="123"/>
      <c r="F45" s="118"/>
      <c r="G45" s="118"/>
      <c r="H45" s="118"/>
      <c r="I45" s="118"/>
      <c r="J45" s="118"/>
      <c r="K45" s="118"/>
      <c r="AB45" s="102" t="s">
        <v>16</v>
      </c>
      <c r="AC45" s="19"/>
      <c r="AE45" s="19"/>
      <c r="AF45" s="109"/>
      <c r="AG45" s="110"/>
    </row>
    <row r="46" spans="3:33" ht="12.75" x14ac:dyDescent="0.2">
      <c r="E46" s="19"/>
      <c r="F46" s="117"/>
      <c r="G46" s="117"/>
      <c r="H46" s="117"/>
      <c r="I46" s="117"/>
      <c r="J46" s="117"/>
      <c r="K46" s="117"/>
      <c r="AB46" s="102" t="s">
        <v>200</v>
      </c>
      <c r="AC46" s="19"/>
      <c r="AE46" s="19"/>
      <c r="AF46" s="109"/>
      <c r="AG46" s="110"/>
    </row>
    <row r="47" spans="3:33" ht="16.5" x14ac:dyDescent="0.3">
      <c r="D47" s="122"/>
      <c r="E47" s="122"/>
      <c r="F47" s="124"/>
      <c r="G47" s="124"/>
      <c r="H47" s="125"/>
      <c r="I47" s="125"/>
      <c r="J47" s="125"/>
      <c r="K47" s="125"/>
      <c r="AB47" s="102" t="s">
        <v>201</v>
      </c>
      <c r="AC47" s="19"/>
      <c r="AE47" s="19"/>
      <c r="AF47" s="109"/>
      <c r="AG47" s="110"/>
    </row>
    <row r="48" spans="3:33" ht="12.75" x14ac:dyDescent="0.2">
      <c r="E48" s="19"/>
      <c r="F48" s="117"/>
      <c r="G48" s="117"/>
      <c r="H48" s="117"/>
      <c r="I48" s="117"/>
      <c r="J48" s="117"/>
      <c r="K48" s="117"/>
      <c r="AB48" s="102" t="s">
        <v>159</v>
      </c>
      <c r="AC48" s="19"/>
      <c r="AE48" s="19"/>
      <c r="AF48" s="109"/>
      <c r="AG48" s="110"/>
    </row>
    <row r="49" spans="3:33" ht="15" customHeight="1" x14ac:dyDescent="0.2">
      <c r="D49" s="126"/>
      <c r="E49" s="126"/>
      <c r="F49" s="127"/>
      <c r="G49" s="127"/>
      <c r="H49" s="127"/>
      <c r="I49" s="128"/>
      <c r="J49" s="128"/>
      <c r="K49" s="128"/>
      <c r="AB49" s="102" t="s">
        <v>17</v>
      </c>
      <c r="AC49" s="19"/>
      <c r="AE49" s="19"/>
      <c r="AF49" s="109"/>
      <c r="AG49" s="110"/>
    </row>
    <row r="50" spans="3:33" ht="15" customHeight="1" x14ac:dyDescent="0.2">
      <c r="C50" s="126"/>
      <c r="D50" s="126"/>
      <c r="E50" s="126"/>
      <c r="F50" s="127"/>
      <c r="G50" s="127"/>
      <c r="H50" s="127"/>
      <c r="I50" s="128"/>
      <c r="J50" s="128"/>
      <c r="K50" s="128"/>
      <c r="AB50" s="102" t="s">
        <v>202</v>
      </c>
      <c r="AC50" s="19"/>
      <c r="AE50" s="19"/>
      <c r="AF50" s="109"/>
      <c r="AG50" s="110"/>
    </row>
    <row r="51" spans="3:33" ht="15.75" x14ac:dyDescent="0.25">
      <c r="F51" s="117"/>
      <c r="G51" s="117"/>
      <c r="H51" s="117"/>
      <c r="I51" s="117"/>
      <c r="J51" s="117"/>
      <c r="K51" s="117"/>
      <c r="AB51" s="102" t="s">
        <v>18</v>
      </c>
      <c r="AC51" s="19"/>
      <c r="AE51" s="19"/>
      <c r="AF51" s="109"/>
      <c r="AG51" s="110"/>
    </row>
    <row r="52" spans="3:33" ht="15.75" x14ac:dyDescent="0.25">
      <c r="F52" s="117"/>
      <c r="G52" s="117"/>
      <c r="H52" s="117"/>
      <c r="I52" s="117"/>
      <c r="J52" s="117"/>
      <c r="K52" s="117"/>
      <c r="AB52" s="102" t="s">
        <v>19</v>
      </c>
      <c r="AC52" s="19"/>
      <c r="AE52" s="19"/>
      <c r="AF52" s="109"/>
      <c r="AG52" s="110"/>
    </row>
    <row r="53" spans="3:33" ht="15.75" x14ac:dyDescent="0.25">
      <c r="AB53" s="102" t="s">
        <v>188</v>
      </c>
      <c r="AC53" s="19"/>
      <c r="AE53" s="19"/>
      <c r="AF53" s="109"/>
      <c r="AG53" s="110"/>
    </row>
    <row r="54" spans="3:33" ht="15.75" x14ac:dyDescent="0.25">
      <c r="AB54" s="102" t="s">
        <v>20</v>
      </c>
      <c r="AC54" s="19"/>
      <c r="AE54" s="19"/>
      <c r="AF54" s="109"/>
      <c r="AG54" s="110"/>
    </row>
    <row r="55" spans="3:33" ht="15.75" x14ac:dyDescent="0.25">
      <c r="AB55" s="102" t="s">
        <v>203</v>
      </c>
      <c r="AC55" s="19"/>
      <c r="AE55" s="19"/>
      <c r="AF55" s="109"/>
      <c r="AG55" s="110"/>
    </row>
    <row r="56" spans="3:33" ht="15.75" x14ac:dyDescent="0.25">
      <c r="AB56" s="102" t="s">
        <v>178</v>
      </c>
      <c r="AC56" s="19"/>
      <c r="AE56" s="19"/>
      <c r="AF56" s="109"/>
      <c r="AG56" s="110"/>
    </row>
    <row r="57" spans="3:33" ht="15.75" x14ac:dyDescent="0.25">
      <c r="AB57" s="102" t="s">
        <v>21</v>
      </c>
      <c r="AC57" s="19"/>
      <c r="AE57" s="19"/>
      <c r="AF57" s="109"/>
      <c r="AG57" s="110"/>
    </row>
    <row r="58" spans="3:33" ht="15.75" x14ac:dyDescent="0.25">
      <c r="AB58" s="102" t="s">
        <v>160</v>
      </c>
      <c r="AC58" s="19"/>
      <c r="AE58" s="19"/>
      <c r="AF58" s="109"/>
      <c r="AG58" s="110"/>
    </row>
    <row r="59" spans="3:33" ht="15.75" x14ac:dyDescent="0.25">
      <c r="AB59" s="102" t="s">
        <v>204</v>
      </c>
      <c r="AC59" s="19"/>
      <c r="AE59" s="19"/>
      <c r="AF59" s="109"/>
      <c r="AG59" s="110"/>
    </row>
    <row r="60" spans="3:33" ht="15.75" x14ac:dyDescent="0.25">
      <c r="AB60" s="102" t="s">
        <v>205</v>
      </c>
      <c r="AC60" s="19"/>
      <c r="AE60" s="19"/>
      <c r="AF60" s="109"/>
      <c r="AG60" s="110"/>
    </row>
    <row r="61" spans="3:33" ht="15.75" x14ac:dyDescent="0.25">
      <c r="AB61" s="102" t="s">
        <v>22</v>
      </c>
      <c r="AC61" s="19"/>
      <c r="AE61" s="19"/>
      <c r="AF61" s="109"/>
      <c r="AG61" s="110"/>
    </row>
    <row r="62" spans="3:33" ht="15.75" x14ac:dyDescent="0.25">
      <c r="AB62" s="102" t="s">
        <v>23</v>
      </c>
      <c r="AC62" s="19"/>
      <c r="AE62" s="19"/>
      <c r="AF62" s="109"/>
      <c r="AG62" s="110"/>
    </row>
    <row r="63" spans="3:33" ht="15.75" x14ac:dyDescent="0.25">
      <c r="AB63" s="102" t="s">
        <v>179</v>
      </c>
      <c r="AC63" s="19"/>
      <c r="AE63" s="19"/>
      <c r="AF63" s="109"/>
      <c r="AG63" s="110"/>
    </row>
    <row r="64" spans="3:33" ht="15.75" x14ac:dyDescent="0.25">
      <c r="AB64" s="102" t="s">
        <v>161</v>
      </c>
      <c r="AC64" s="19"/>
      <c r="AE64" s="19"/>
      <c r="AF64" s="109"/>
      <c r="AG64" s="110"/>
    </row>
    <row r="65" spans="28:33" ht="15.75" x14ac:dyDescent="0.25">
      <c r="AB65" s="102" t="s">
        <v>24</v>
      </c>
      <c r="AC65" s="19"/>
      <c r="AE65" s="19"/>
      <c r="AF65" s="109"/>
      <c r="AG65" s="110"/>
    </row>
    <row r="66" spans="28:33" ht="15.75" x14ac:dyDescent="0.25">
      <c r="AB66" s="102" t="s">
        <v>206</v>
      </c>
      <c r="AC66" s="19"/>
      <c r="AE66" s="19"/>
      <c r="AF66" s="109"/>
      <c r="AG66" s="110"/>
    </row>
    <row r="67" spans="28:33" ht="15.75" x14ac:dyDescent="0.25">
      <c r="AB67" s="102" t="s">
        <v>25</v>
      </c>
      <c r="AC67" s="19"/>
      <c r="AE67" s="19"/>
      <c r="AF67" s="109"/>
      <c r="AG67" s="110"/>
    </row>
    <row r="68" spans="28:33" ht="15.75" x14ac:dyDescent="0.25">
      <c r="AB68" s="102" t="s">
        <v>166</v>
      </c>
      <c r="AC68" s="19"/>
      <c r="AE68" s="19"/>
      <c r="AF68" s="109"/>
      <c r="AG68" s="110"/>
    </row>
    <row r="69" spans="28:33" ht="15.75" x14ac:dyDescent="0.25">
      <c r="AB69" s="102" t="s">
        <v>162</v>
      </c>
      <c r="AC69" s="19"/>
      <c r="AE69" s="19"/>
      <c r="AF69" s="109"/>
      <c r="AG69" s="110"/>
    </row>
    <row r="70" spans="28:33" ht="15.75" x14ac:dyDescent="0.25">
      <c r="AB70" s="102" t="s">
        <v>163</v>
      </c>
      <c r="AC70" s="19"/>
      <c r="AE70" s="19"/>
      <c r="AF70" s="109"/>
      <c r="AG70" s="110"/>
    </row>
    <row r="71" spans="28:33" ht="15.75" x14ac:dyDescent="0.25">
      <c r="AB71" s="102" t="s">
        <v>164</v>
      </c>
      <c r="AC71" s="19"/>
      <c r="AE71" s="19"/>
      <c r="AF71" s="109"/>
      <c r="AG71" s="110"/>
    </row>
    <row r="72" spans="28:33" ht="15.75" x14ac:dyDescent="0.25">
      <c r="AB72" s="102" t="s">
        <v>207</v>
      </c>
      <c r="AC72" s="19"/>
      <c r="AE72" s="19"/>
      <c r="AF72" s="109"/>
      <c r="AG72" s="110"/>
    </row>
    <row r="73" spans="28:33" ht="15.75" x14ac:dyDescent="0.25">
      <c r="AB73" s="102" t="s">
        <v>180</v>
      </c>
      <c r="AC73" s="19"/>
      <c r="AE73" s="19"/>
      <c r="AF73" s="109"/>
      <c r="AG73" s="110"/>
    </row>
    <row r="74" spans="28:33" ht="15.75" x14ac:dyDescent="0.25">
      <c r="AB74" s="102" t="s">
        <v>26</v>
      </c>
      <c r="AC74" s="19"/>
      <c r="AE74" s="19"/>
      <c r="AF74" s="109"/>
      <c r="AG74" s="110"/>
    </row>
    <row r="75" spans="28:33" ht="15.75" x14ac:dyDescent="0.25">
      <c r="AB75" s="102" t="s">
        <v>27</v>
      </c>
      <c r="AC75" s="19"/>
      <c r="AE75" s="19"/>
      <c r="AF75" s="109"/>
      <c r="AG75" s="110"/>
    </row>
    <row r="76" spans="28:33" ht="15.75" x14ac:dyDescent="0.25">
      <c r="AB76" s="102" t="s">
        <v>28</v>
      </c>
      <c r="AC76" s="19"/>
      <c r="AE76" s="19"/>
      <c r="AF76" s="109"/>
      <c r="AG76" s="110"/>
    </row>
    <row r="77" spans="28:33" ht="15.75" x14ac:dyDescent="0.25">
      <c r="AB77" s="102" t="s">
        <v>165</v>
      </c>
      <c r="AC77" s="19"/>
      <c r="AE77" s="19"/>
      <c r="AF77" s="109"/>
      <c r="AG77" s="110"/>
    </row>
    <row r="78" spans="28:33" ht="15.75" x14ac:dyDescent="0.25">
      <c r="AC78" s="19"/>
      <c r="AE78" s="19"/>
      <c r="AF78" s="109"/>
      <c r="AG78" s="110"/>
    </row>
    <row r="79" spans="28:33" ht="15.75" x14ac:dyDescent="0.25">
      <c r="AC79" s="19"/>
      <c r="AE79" s="19"/>
      <c r="AF79" s="109"/>
      <c r="AG79" s="110"/>
    </row>
    <row r="80" spans="28:33" ht="15.75" x14ac:dyDescent="0.25">
      <c r="AC80" s="19"/>
      <c r="AE80" s="19"/>
      <c r="AF80" s="109"/>
      <c r="AG80" s="110"/>
    </row>
    <row r="81" spans="29:33" ht="15.75" x14ac:dyDescent="0.25">
      <c r="AC81" s="19"/>
      <c r="AE81" s="19"/>
      <c r="AF81" s="109"/>
      <c r="AG81" s="110"/>
    </row>
    <row r="82" spans="29:33" ht="15.75" x14ac:dyDescent="0.25">
      <c r="AC82" s="19"/>
      <c r="AE82" s="19"/>
      <c r="AF82" s="109"/>
      <c r="AG82" s="110"/>
    </row>
    <row r="83" spans="29:33" ht="15.75" x14ac:dyDescent="0.25">
      <c r="AC83" s="19"/>
      <c r="AE83" s="19"/>
      <c r="AF83" s="109"/>
      <c r="AG83" s="110"/>
    </row>
    <row r="84" spans="29:33" ht="15.75" x14ac:dyDescent="0.25">
      <c r="AC84" s="19"/>
      <c r="AE84" s="19"/>
      <c r="AF84" s="109"/>
      <c r="AG84" s="110"/>
    </row>
    <row r="85" spans="29:33" ht="15.75" x14ac:dyDescent="0.25">
      <c r="AC85" s="19"/>
      <c r="AE85" s="19"/>
      <c r="AF85" s="109"/>
      <c r="AG85" s="110"/>
    </row>
    <row r="86" spans="29:33" ht="15.75" x14ac:dyDescent="0.25">
      <c r="AC86" s="19"/>
      <c r="AE86" s="19"/>
      <c r="AF86" s="109"/>
      <c r="AG86" s="110"/>
    </row>
    <row r="87" spans="29:33" ht="15.75" x14ac:dyDescent="0.25">
      <c r="AC87" s="19"/>
      <c r="AE87" s="19"/>
      <c r="AF87" s="109"/>
      <c r="AG87" s="110"/>
    </row>
    <row r="88" spans="29:33" ht="15.75" x14ac:dyDescent="0.25">
      <c r="AC88" s="19"/>
      <c r="AE88" s="19"/>
      <c r="AF88" s="109"/>
      <c r="AG88" s="110"/>
    </row>
    <row r="89" spans="29:33" ht="15.75" x14ac:dyDescent="0.25">
      <c r="AC89" s="19"/>
      <c r="AE89" s="19"/>
      <c r="AF89" s="109"/>
      <c r="AG89" s="110"/>
    </row>
    <row r="90" spans="29:33" ht="15.75" x14ac:dyDescent="0.25">
      <c r="AC90" s="19"/>
      <c r="AE90" s="19"/>
      <c r="AF90" s="110"/>
      <c r="AG90" s="110"/>
    </row>
    <row r="91" spans="29:33" ht="15.75" x14ac:dyDescent="0.25">
      <c r="AC91" s="19"/>
      <c r="AE91" s="19"/>
      <c r="AF91" s="110"/>
      <c r="AG91" s="110"/>
    </row>
    <row r="92" spans="29:33" ht="15.75" x14ac:dyDescent="0.25">
      <c r="AC92" s="19"/>
      <c r="AE92" s="19"/>
      <c r="AF92" s="110"/>
      <c r="AG92" s="110"/>
    </row>
    <row r="93" spans="29:33" ht="15.75" x14ac:dyDescent="0.25">
      <c r="AC93" s="129"/>
      <c r="AF93" s="110"/>
      <c r="AG93" s="110"/>
    </row>
    <row r="94" spans="29:33" ht="15.75" x14ac:dyDescent="0.25">
      <c r="AC94" s="129"/>
      <c r="AF94" s="110"/>
      <c r="AG94" s="110"/>
    </row>
    <row r="95" spans="29:33" ht="15.75" x14ac:dyDescent="0.25">
      <c r="AC95" s="129"/>
      <c r="AF95" s="110"/>
      <c r="AG95" s="110"/>
    </row>
    <row r="96" spans="29:33" ht="15.75" x14ac:dyDescent="0.25">
      <c r="AC96" s="129"/>
      <c r="AF96" s="110"/>
      <c r="AG96" s="110"/>
    </row>
    <row r="97" spans="29:33" ht="15.75" x14ac:dyDescent="0.25">
      <c r="AC97" s="129"/>
      <c r="AF97" s="110"/>
      <c r="AG97" s="110"/>
    </row>
    <row r="98" spans="29:33" ht="15.75" x14ac:dyDescent="0.25">
      <c r="AC98" s="129"/>
      <c r="AF98" s="110"/>
      <c r="AG98" s="110"/>
    </row>
    <row r="99" spans="29:33" ht="15.75" x14ac:dyDescent="0.25">
      <c r="AC99" s="129"/>
      <c r="AF99" s="110"/>
      <c r="AG99" s="110"/>
    </row>
    <row r="100" spans="29:33" ht="15.75" x14ac:dyDescent="0.25">
      <c r="AC100" s="129"/>
      <c r="AF100" s="110"/>
      <c r="AG100" s="110"/>
    </row>
    <row r="101" spans="29:33" ht="15.75" x14ac:dyDescent="0.25">
      <c r="AC101" s="129"/>
      <c r="AF101" s="110"/>
      <c r="AG101" s="110"/>
    </row>
    <row r="102" spans="29:33" ht="15.75" x14ac:dyDescent="0.25">
      <c r="AC102" s="129"/>
      <c r="AF102" s="110"/>
      <c r="AG102" s="110"/>
    </row>
    <row r="103" spans="29:33" ht="15.75" x14ac:dyDescent="0.25">
      <c r="AC103" s="129"/>
      <c r="AF103" s="110"/>
      <c r="AG103" s="110"/>
    </row>
    <row r="104" spans="29:33" ht="15.75" x14ac:dyDescent="0.25">
      <c r="AC104" s="129"/>
      <c r="AF104" s="110"/>
      <c r="AG104" s="110"/>
    </row>
    <row r="105" spans="29:33" ht="15.75" x14ac:dyDescent="0.25">
      <c r="AC105" s="129"/>
      <c r="AF105" s="110"/>
      <c r="AG105" s="110"/>
    </row>
    <row r="106" spans="29:33" ht="15.75" x14ac:dyDescent="0.25">
      <c r="AC106" s="129"/>
      <c r="AF106" s="110"/>
      <c r="AG106" s="110"/>
    </row>
    <row r="107" spans="29:33" ht="15.75" x14ac:dyDescent="0.25">
      <c r="AC107" s="129"/>
      <c r="AF107" s="110"/>
      <c r="AG107" s="110"/>
    </row>
    <row r="108" spans="29:33" ht="15.75" x14ac:dyDescent="0.25">
      <c r="AC108" s="129"/>
      <c r="AF108" s="110"/>
      <c r="AG108" s="110"/>
    </row>
    <row r="109" spans="29:33" ht="15.75" x14ac:dyDescent="0.25">
      <c r="AC109" s="129"/>
      <c r="AF109" s="110"/>
      <c r="AG109" s="110"/>
    </row>
    <row r="110" spans="29:33" ht="15.75" hidden="1" x14ac:dyDescent="0.25">
      <c r="AC110" s="129"/>
      <c r="AF110" s="110"/>
      <c r="AG110" s="110"/>
    </row>
    <row r="111" spans="29:33" ht="15.75" hidden="1" x14ac:dyDescent="0.25">
      <c r="AC111" s="129"/>
      <c r="AF111" s="110"/>
      <c r="AG111" s="110"/>
    </row>
    <row r="112" spans="29:33" ht="15.75" x14ac:dyDescent="0.25"/>
  </sheetData>
  <sheetProtection password="F8BD" sheet="1" objects="1" scenarios="1"/>
  <mergeCells count="8">
    <mergeCell ref="D25:E25"/>
    <mergeCell ref="D21:E21"/>
    <mergeCell ref="C2:J2"/>
    <mergeCell ref="C3:J3"/>
    <mergeCell ref="C4:J4"/>
    <mergeCell ref="C5:J5"/>
    <mergeCell ref="D15:E15"/>
    <mergeCell ref="D17:E17"/>
  </mergeCells>
  <phoneticPr fontId="21"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4803149606299213" right="0.74803149606299213" top="0.98425196850393704" bottom="0.98425196850393704" header="0.51181102362204722" footer="0.51181102362204722"/>
  <pageSetup scale="56" orientation="landscape" r:id="rId1"/>
  <headerFooter alignWithMargins="0">
    <oddFooter>&amp;L&amp;A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B1" workbookViewId="0">
      <pane ySplit="23" topLeftCell="A24" activePane="bottomLeft" state="frozenSplit"/>
      <selection pane="bottomLeft" activeCell="J66" sqref="J6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39"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221</v>
      </c>
      <c r="G22" s="131"/>
      <c r="H22" s="138" t="s">
        <v>214</v>
      </c>
      <c r="I22" s="135"/>
      <c r="J22" s="138" t="s">
        <v>215</v>
      </c>
      <c r="K22" s="131"/>
      <c r="L22" s="138" t="s">
        <v>216</v>
      </c>
      <c r="M22" s="138"/>
      <c r="N22" s="138" t="s">
        <v>217</v>
      </c>
      <c r="O22" s="138"/>
      <c r="P22" s="138" t="s">
        <v>222</v>
      </c>
      <c r="Q22" s="138"/>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5.3E-3</v>
      </c>
      <c r="G25" s="57"/>
      <c r="H25" s="64">
        <f>VLOOKUP('9. Adj Network to Current WS'!$B25, '4. RRR Data'!$B$27:$M$49,11,0)</f>
        <v>1142526110.6699998</v>
      </c>
      <c r="I25" s="71"/>
      <c r="J25" s="64">
        <f>VLOOKUP('9. Adj Network to Current WS'!$B25, '4. RRR Data'!$B$27:$M$49,12,0)</f>
        <v>0</v>
      </c>
      <c r="K25" s="58"/>
      <c r="L25" s="60">
        <f t="shared" ref="L25:L46" si="0">IF(F25="", "", IF(D25="kWh", F25*H25, F25*J25))</f>
        <v>6055388.3865509992</v>
      </c>
      <c r="M25" s="55"/>
      <c r="N25" s="61">
        <f t="shared" ref="N25:N46" si="1">IF(ISERROR(L25/$L$49), "", L25/$L$49)</f>
        <v>0.34593419221711497</v>
      </c>
      <c r="O25" s="13"/>
      <c r="P25" s="62">
        <f>IF(ISERROR('7. Current Wholesale'!$P$117*N25), "", '7. Current Wholesale'!$P$117*N25)</f>
        <v>6059940.4897816796</v>
      </c>
      <c r="R25" s="165">
        <f t="shared" ref="R25:R46" si="2">IF(D25="","",IF(D25="kWh",IF(H25&lt;&gt;0,P25/H25,),IF(J25&lt;&gt;0,P25/J25,0)))</f>
        <v>5.3039842443758341E-3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4.5999999999999999E-3</v>
      </c>
      <c r="G26" s="57"/>
      <c r="H26" s="64">
        <f>VLOOKUP('9. Adj Network to Current WS'!$B26, '4. RRR Data'!$B$27:$M$49,11,0)</f>
        <v>414003656.65499997</v>
      </c>
      <c r="I26" s="71"/>
      <c r="J26" s="64">
        <f>VLOOKUP('9. Adj Network to Current WS'!$B26, '4. RRR Data'!$B$27:$M$49,12,0)</f>
        <v>0</v>
      </c>
      <c r="K26" s="59"/>
      <c r="L26" s="60">
        <f t="shared" si="0"/>
        <v>1904416.8206129998</v>
      </c>
      <c r="M26" s="55"/>
      <c r="N26" s="61">
        <f t="shared" si="1"/>
        <v>0.10879614195294952</v>
      </c>
      <c r="P26" s="62">
        <f>IF(ISERROR('7. Current Wholesale'!$P$117*N26), "", '7. Current Wholesale'!$P$117*N26)</f>
        <v>1905848.4549539003</v>
      </c>
      <c r="R26" s="165">
        <f t="shared" si="2"/>
        <v>4.6034580234205359E-3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11,0)), "", VLOOKUP($B27,'3. Rate Classes'!$C$24:$N$45, 11,0))</f>
        <v>1.7153</v>
      </c>
      <c r="G27" s="57"/>
      <c r="H27" s="64">
        <f>VLOOKUP('9. Adj Network to Current WS'!$B27, '4. RRR Data'!$B$27:$M$49,11,0)</f>
        <v>405941130</v>
      </c>
      <c r="I27" s="71"/>
      <c r="J27" s="64">
        <f>VLOOKUP('9. Adj Network to Current WS'!$B27, '4. RRR Data'!$B$27:$M$49,12,0)</f>
        <v>1167979</v>
      </c>
      <c r="K27" s="59"/>
      <c r="L27" s="60">
        <f t="shared" si="0"/>
        <v>2003434.3787</v>
      </c>
      <c r="M27" s="55"/>
      <c r="N27" s="61">
        <f t="shared" si="1"/>
        <v>0.11445284913431128</v>
      </c>
      <c r="P27" s="62">
        <f>IF(ISERROR('7. Current Wholesale'!$P$117*N27), "", '7. Current Wholesale'!$P$117*N27)</f>
        <v>2004940.4489180543</v>
      </c>
      <c r="R27" s="165">
        <f t="shared" si="2"/>
        <v>1.7165894668637487</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69">
        <f>IF(ISERROR(VLOOKUP($B28,'3. Rate Classes'!$C$24:$N$45, 11,0)), "", VLOOKUP($B28,'3. Rate Classes'!$C$24:$N$45, 11,0))</f>
        <v>2.3902000000000001</v>
      </c>
      <c r="G28" s="57"/>
      <c r="H28" s="64">
        <f>VLOOKUP('9. Adj Network to Current WS'!$B28, '4. RRR Data'!$B$27:$M$49,11,0)</f>
        <v>1089147192</v>
      </c>
      <c r="I28" s="71"/>
      <c r="J28" s="64">
        <f>VLOOKUP('9. Adj Network to Current WS'!$B28, '4. RRR Data'!$B$27:$M$49,12,0)</f>
        <v>2662421</v>
      </c>
      <c r="K28" s="59"/>
      <c r="L28" s="60">
        <f t="shared" si="0"/>
        <v>6363718.6742000002</v>
      </c>
      <c r="M28" s="55"/>
      <c r="N28" s="61">
        <f t="shared" si="1"/>
        <v>0.36354858491747816</v>
      </c>
      <c r="P28" s="62">
        <f>IF(ISERROR('7. Current Wholesale'!$P$117*N28), "", '7. Current Wholesale'!$P$117*N28)</f>
        <v>6368502.5629428439</v>
      </c>
      <c r="R28" s="165">
        <f t="shared" si="2"/>
        <v>2.391996819039079</v>
      </c>
    </row>
    <row r="29" spans="2:18" ht="25.5" customHeight="1" thickBot="1" x14ac:dyDescent="0.25">
      <c r="B29" s="15" t="str">
        <f>IF('3. Rate Classes'!Q28=1,'3. Rate Classes'!C28, 0)</f>
        <v>General Service 1,000 To 4,999 kW (co-generation)</v>
      </c>
      <c r="C29" s="8"/>
      <c r="D29" s="16" t="str">
        <f>IF(ISERROR(VLOOKUP($B29, '3. Rate Classes'!$C$24:$H$45,6,0)), "", VLOOKUP($B29, '3. Rate Classes'!$C$24:$H$45,6,0))</f>
        <v>kW</v>
      </c>
      <c r="F29" s="69">
        <f>IF(ISERROR(VLOOKUP($B29,'3. Rate Classes'!$C$24:$N$45, 11,0)), "", VLOOKUP($B29,'3. Rate Classes'!$C$24:$N$45, 11,0))</f>
        <v>2.5284</v>
      </c>
      <c r="G29" s="57"/>
      <c r="H29" s="64">
        <f>VLOOKUP('9. Adj Network to Current WS'!$B29, '4. RRR Data'!$B$27:$M$49,11,0)</f>
        <v>39375740</v>
      </c>
      <c r="I29" s="71"/>
      <c r="J29" s="64">
        <f>VLOOKUP('9. Adj Network to Current WS'!$B29, '4. RRR Data'!$B$27:$M$49,12,0)</f>
        <v>46415</v>
      </c>
      <c r="K29" s="59"/>
      <c r="L29" s="60">
        <f t="shared" si="0"/>
        <v>117355.686</v>
      </c>
      <c r="M29" s="55"/>
      <c r="N29" s="61">
        <f t="shared" si="1"/>
        <v>6.7043337019739276E-3</v>
      </c>
      <c r="P29" s="62">
        <f>IF(ISERROR('7. Current Wholesale'!$P$117*N29), "", '7. Current Wholesale'!$P$117*N29)</f>
        <v>117443.90745885239</v>
      </c>
      <c r="R29" s="165">
        <f t="shared" si="2"/>
        <v>2.5303007100905397</v>
      </c>
    </row>
    <row r="30" spans="2:18" ht="25.5" customHeight="1" thickBot="1" x14ac:dyDescent="0.25">
      <c r="B30" s="15" t="str">
        <f>IF('3. Rate Classes'!Q29=1,'3. Rate Classes'!C29, 0)</f>
        <v>Standby Power - APPROVED ON AN INTERIM BASIS</v>
      </c>
      <c r="C30" s="8"/>
      <c r="D30" s="16" t="str">
        <f>IF(ISERROR(VLOOKUP($B30, '3. Rate Classes'!$C$24:$H$45,6,0)), "", VLOOKUP($B30, '3. Rate Classes'!$C$24:$H$45,6,0))</f>
        <v>kW</v>
      </c>
      <c r="F30" s="69">
        <f>IF(ISERROR(VLOOKUP($B30,'3. Rate Classes'!$C$24:$N$45, 11,0)), "", VLOOKUP($B30,'3. Rate Classes'!$C$24:$N$45, 11,0))</f>
        <v>0</v>
      </c>
      <c r="G30" s="57"/>
      <c r="H30" s="64">
        <f>VLOOKUP('9. Adj Network to Current WS'!$B30, '4. RRR Data'!$B$27:$M$49,11,0)</f>
        <v>0</v>
      </c>
      <c r="I30" s="71"/>
      <c r="J30" s="64">
        <f>VLOOKUP('9. Adj Network to Current WS'!$B30, '4. RRR Data'!$B$27:$M$49,12,0)</f>
        <v>154800</v>
      </c>
      <c r="K30" s="59"/>
      <c r="L30" s="60">
        <f t="shared" si="0"/>
        <v>0</v>
      </c>
      <c r="M30" s="55"/>
      <c r="N30" s="61">
        <f t="shared" si="1"/>
        <v>0</v>
      </c>
      <c r="P30" s="62">
        <f>IF(ISERROR('7. Current Wholesale'!$P$117*N30), "", '7. Current Wholesale'!$P$117*N30)</f>
        <v>0</v>
      </c>
      <c r="R30" s="165">
        <f t="shared" si="2"/>
        <v>0</v>
      </c>
    </row>
    <row r="31" spans="2:18" ht="25.5" customHeight="1" thickBot="1" x14ac:dyDescent="0.25">
      <c r="B31" s="15" t="str">
        <f>IF('3. Rate Classes'!Q30=1,'3. Rate Classes'!C30, 0)</f>
        <v>Large Use</v>
      </c>
      <c r="C31" s="8"/>
      <c r="D31" s="16" t="str">
        <f>IF(ISERROR(VLOOKUP($B31, '3. Rate Classes'!$C$24:$H$45,6,0)), "", VLOOKUP($B31, '3. Rate Classes'!$C$24:$H$45,6,0))</f>
        <v>kW</v>
      </c>
      <c r="F31" s="69">
        <f>IF(ISERROR(VLOOKUP($B31,'3. Rate Classes'!$C$24:$N$45, 11,0)), "", VLOOKUP($B31,'3. Rate Classes'!$C$24:$N$45, 11,0))</f>
        <v>2.3902000000000001</v>
      </c>
      <c r="G31" s="57"/>
      <c r="H31" s="64">
        <f>VLOOKUP('9. Adj Network to Current WS'!$B31, '4. RRR Data'!$B$27:$M$49,11,0)</f>
        <v>183363380</v>
      </c>
      <c r="I31" s="71"/>
      <c r="J31" s="64">
        <f>VLOOKUP('9. Adj Network to Current WS'!$B31, '4. RRR Data'!$B$27:$M$49,12,0)</f>
        <v>389123</v>
      </c>
      <c r="K31" s="59"/>
      <c r="L31" s="60">
        <f t="shared" si="0"/>
        <v>930081.79460000002</v>
      </c>
      <c r="M31" s="55"/>
      <c r="N31" s="61">
        <f t="shared" si="1"/>
        <v>5.3134014496146124E-2</v>
      </c>
      <c r="P31" s="62">
        <f>IF(ISERROR('7. Current Wholesale'!$P$117*N31), "", '7. Current Wholesale'!$P$117*N31)</f>
        <v>930780.97821494367</v>
      </c>
      <c r="R31" s="165">
        <f t="shared" si="2"/>
        <v>2.3919968190390795</v>
      </c>
    </row>
    <row r="32" spans="2:18" ht="25.5" customHeight="1" thickBot="1" x14ac:dyDescent="0.25">
      <c r="B32" s="15" t="str">
        <f>IF('3. Rate Classes'!Q31=1,'3. Rate Classes'!C31, 0)</f>
        <v>Street Lighting</v>
      </c>
      <c r="C32" s="8"/>
      <c r="D32" s="16" t="str">
        <f>IF(ISERROR(VLOOKUP($B32, '3. Rate Classes'!$C$24:$H$45,6,0)), "", VLOOKUP($B32, '3. Rate Classes'!$C$24:$H$45,6,0))</f>
        <v>kW</v>
      </c>
      <c r="F32" s="69">
        <f>IF(ISERROR(VLOOKUP($B32,'3. Rate Classes'!$C$24:$N$45, 11,0)), "", VLOOKUP($B32,'3. Rate Classes'!$C$24:$N$45, 11,0))</f>
        <v>1.5104</v>
      </c>
      <c r="G32" s="57"/>
      <c r="H32" s="64">
        <f>VLOOKUP('9. Adj Network to Current WS'!$B32, '4. RRR Data'!$B$27:$M$49,11,0)</f>
        <v>23812743</v>
      </c>
      <c r="I32" s="71"/>
      <c r="J32" s="64">
        <f>VLOOKUP('9. Adj Network to Current WS'!$B32, '4. RRR Data'!$B$27:$M$49,12,0)</f>
        <v>66305</v>
      </c>
      <c r="K32" s="59"/>
      <c r="L32" s="60">
        <f t="shared" si="0"/>
        <v>100147.072</v>
      </c>
      <c r="M32" s="55"/>
      <c r="N32" s="61">
        <f t="shared" si="1"/>
        <v>5.7212344186170026E-3</v>
      </c>
      <c r="P32" s="62">
        <f>IF(ISERROR('7. Current Wholesale'!$P$117*N32), "", '7. Current Wholesale'!$P$117*N32)</f>
        <v>100222.35698271176</v>
      </c>
      <c r="R32" s="165">
        <f t="shared" si="2"/>
        <v>1.5115354344726908</v>
      </c>
    </row>
    <row r="33" spans="2:18" ht="25.5" customHeight="1" thickBot="1" x14ac:dyDescent="0.25">
      <c r="B33" s="15" t="str">
        <f>IF('3. Rate Classes'!Q32=1,'3. Rate Classes'!C32, 0)</f>
        <v>Sentinel Lighting</v>
      </c>
      <c r="C33" s="8"/>
      <c r="D33" s="16" t="str">
        <f>IF(ISERROR(VLOOKUP($B33, '3. Rate Classes'!$C$24:$H$45,6,0)), "", VLOOKUP($B33, '3. Rate Classes'!$C$24:$H$45,6,0))</f>
        <v>kW</v>
      </c>
      <c r="F33" s="69">
        <f>IF(ISERROR(VLOOKUP($B33,'3. Rate Classes'!$C$24:$N$45, 11,0)), "", VLOOKUP($B33,'3. Rate Classes'!$C$24:$N$45, 11,0))</f>
        <v>1.5123</v>
      </c>
      <c r="G33" s="57"/>
      <c r="H33" s="64">
        <f>VLOOKUP('9. Adj Network to Current WS'!$B33, '4. RRR Data'!$B$27:$M$49,11,0)</f>
        <v>790064</v>
      </c>
      <c r="I33" s="71"/>
      <c r="J33" s="64">
        <f>VLOOKUP('9. Adj Network to Current WS'!$B33, '4. RRR Data'!$B$27:$M$49,12,0)</f>
        <v>2146</v>
      </c>
      <c r="K33" s="59"/>
      <c r="L33" s="60">
        <f t="shared" si="0"/>
        <v>3245.3957999999998</v>
      </c>
      <c r="M33" s="55"/>
      <c r="N33" s="61">
        <f t="shared" si="1"/>
        <v>1.8540402412359154E-4</v>
      </c>
      <c r="P33" s="62">
        <f>IF(ISERROR('7. Current Wholesale'!$P$117*N33), "", '7. Current Wholesale'!$P$117*N33)</f>
        <v>3247.8355075402837</v>
      </c>
      <c r="R33" s="165">
        <f t="shared" si="2"/>
        <v>1.5134368627867119</v>
      </c>
    </row>
    <row r="34" spans="2:18" ht="25.5" customHeight="1" thickBot="1" x14ac:dyDescent="0.25">
      <c r="B34" s="15" t="str">
        <f>IF('3. Rate Classes'!Q33=1,'3. Rate Classes'!C33, 0)</f>
        <v>Unmetered Scattered Load</v>
      </c>
      <c r="C34" s="8"/>
      <c r="D34" s="16" t="str">
        <f>IF(ISERROR(VLOOKUP($B34, '3. Rate Classes'!$C$24:$H$45,6,0)), "", VLOOKUP($B34, '3. Rate Classes'!$C$24:$H$45,6,0))</f>
        <v>kWh</v>
      </c>
      <c r="F34" s="69">
        <f>IF(ISERROR(VLOOKUP($B34,'3. Rate Classes'!$C$24:$N$45, 11,0)), "", VLOOKUP($B34,'3. Rate Classes'!$C$24:$N$45, 11,0))</f>
        <v>4.5999999999999999E-3</v>
      </c>
      <c r="G34" s="57"/>
      <c r="H34" s="64">
        <f>VLOOKUP('9. Adj Network to Current WS'!$B34, '4. RRR Data'!$B$27:$M$49,11,0)</f>
        <v>5796428.4899999993</v>
      </c>
      <c r="I34" s="71"/>
      <c r="J34" s="64">
        <f>VLOOKUP('9. Adj Network to Current WS'!$B34, '4. RRR Data'!$B$27:$M$49,12,0)</f>
        <v>0</v>
      </c>
      <c r="K34" s="59"/>
      <c r="L34" s="60">
        <f t="shared" si="0"/>
        <v>26663.571053999996</v>
      </c>
      <c r="M34" s="55"/>
      <c r="N34" s="61">
        <f t="shared" si="1"/>
        <v>1.5232451372855394E-3</v>
      </c>
      <c r="P34" s="62">
        <f>IF(ISERROR('7. Current Wholesale'!$P$117*N34), "", '7. Current Wholesale'!$P$117*N34)</f>
        <v>26683.615239473875</v>
      </c>
      <c r="R34" s="165">
        <f t="shared" si="2"/>
        <v>4.603458023420535E-3</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11,0)), "", VLOOKUP($B35,'3. Rate Classes'!$C$24:$N$45, 11,0))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Wholesale'!$P$117*N35), "", '7. Current Wholesale'!$P$117*N35)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5" t="str">
        <f t="shared" si="2"/>
        <v/>
      </c>
    </row>
    <row r="47" spans="2:18" ht="13.5" hidden="1" thickBot="1" x14ac:dyDescent="0.25">
      <c r="F47" s="69"/>
      <c r="G47" s="37"/>
      <c r="H47" s="73"/>
      <c r="I47" s="73"/>
      <c r="J47" s="73"/>
      <c r="R47" s="165"/>
    </row>
    <row r="48" spans="2:18" ht="13.5" thickBot="1" x14ac:dyDescent="0.25">
      <c r="F48" s="69"/>
      <c r="G48" s="37"/>
      <c r="H48" s="73"/>
      <c r="I48" s="73"/>
      <c r="J48" s="73"/>
      <c r="R48" s="165"/>
    </row>
    <row r="49" spans="6:18" ht="13.5" thickBot="1" x14ac:dyDescent="0.25">
      <c r="F49" s="69"/>
      <c r="G49" s="37"/>
      <c r="H49" s="73"/>
      <c r="I49" s="73"/>
      <c r="J49" s="73"/>
      <c r="L49" s="70">
        <f>SUM(L25:L46)</f>
        <v>17504451.779517997</v>
      </c>
      <c r="R49" s="165"/>
    </row>
    <row r="50" spans="6:18" ht="13.5" thickBot="1" x14ac:dyDescent="0.25">
      <c r="F50" s="69"/>
      <c r="G50" s="37"/>
      <c r="H50" s="73"/>
      <c r="I50" s="73"/>
      <c r="J50" s="73"/>
      <c r="R50" s="165"/>
    </row>
    <row r="51" spans="6:18" ht="13.5" thickBot="1" x14ac:dyDescent="0.25">
      <c r="F51" s="69"/>
      <c r="G51" s="37"/>
      <c r="H51" s="73"/>
      <c r="I51" s="73"/>
      <c r="J51" s="73"/>
      <c r="R51" s="165"/>
    </row>
    <row r="52" spans="6:18" ht="13.5" thickBot="1" x14ac:dyDescent="0.25">
      <c r="F52" s="69"/>
      <c r="G52" s="37"/>
      <c r="H52" s="73"/>
      <c r="I52" s="73"/>
      <c r="J52" s="73"/>
      <c r="R52" s="165"/>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8" orientation="landscape" r:id="rId1"/>
  <headerFooter alignWithMargins="0">
    <oddFooter>&amp;L&amp;A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zoomScaleNormal="100" workbookViewId="0">
      <pane ySplit="23" topLeftCell="A24" activePane="bottomLeft" state="frozenSplit"/>
      <selection pane="bottomLeft" activeCell="H53" sqref="H53"/>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1" customWidth="1"/>
    <col min="7" max="7" width="2.5703125" customWidth="1"/>
    <col min="8" max="8" width="23.140625" style="176"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39" t="s">
        <v>218</v>
      </c>
    </row>
    <row r="15" spans="2:19" ht="3" customHeight="1" x14ac:dyDescent="0.2">
      <c r="S15" s="138"/>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2"/>
      <c r="G21" s="12"/>
      <c r="H21" s="177"/>
      <c r="I21" s="5"/>
      <c r="J21" s="5"/>
      <c r="K21" s="11"/>
    </row>
    <row r="22" spans="2:18" ht="47.25" x14ac:dyDescent="0.2">
      <c r="B22" s="130" t="s">
        <v>208</v>
      </c>
      <c r="C22" s="138"/>
      <c r="D22" s="138" t="s">
        <v>209</v>
      </c>
      <c r="E22" s="135"/>
      <c r="F22" s="183" t="s">
        <v>219</v>
      </c>
      <c r="G22" s="131"/>
      <c r="H22" s="178" t="s">
        <v>214</v>
      </c>
      <c r="I22" s="135"/>
      <c r="J22" s="138" t="s">
        <v>215</v>
      </c>
      <c r="K22" s="131"/>
      <c r="L22" s="138" t="s">
        <v>216</v>
      </c>
      <c r="M22" s="138"/>
      <c r="N22" s="138" t="s">
        <v>217</v>
      </c>
      <c r="O22" s="138"/>
      <c r="P22" s="138" t="s">
        <v>223</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184">
        <f>VLOOKUP($B25, '9. Adj Network to Current WS'!$B$25:$R$47, 17,0)</f>
        <v>7.0607262591914632E-3</v>
      </c>
      <c r="G25" s="65"/>
      <c r="H25" s="179">
        <f>VLOOKUP('9. Adj Network to Current WS'!$B25, '4. RRR Data'!$B$27:$M$49,11,0)</f>
        <v>1142526110.6699998</v>
      </c>
      <c r="I25" s="71"/>
      <c r="J25" s="64">
        <f>VLOOKUP('9. Adj Network to Current WS'!$B25, '4. RRR Data'!$B$27:$M$49,12,0)</f>
        <v>0</v>
      </c>
      <c r="K25" s="58"/>
      <c r="L25" s="164">
        <f>IF(F25="", "", IF(D25="kWh", F25*H25, F25*J25))</f>
        <v>8067064.1114195595</v>
      </c>
      <c r="M25" s="55"/>
      <c r="N25" s="61">
        <f t="shared" ref="N25:N46" si="0">IF(ISERROR(L25/$L$49), "", L25/$L$49)</f>
        <v>0.3522684574727647</v>
      </c>
      <c r="O25" s="13"/>
      <c r="P25" s="62">
        <f>IF(ISERROR('8. Forecast Wholesale'!$F$113*N25), "", '8. Forecast Wholesale'!$F$113*N25)</f>
        <v>8489307.1365351845</v>
      </c>
      <c r="R25" s="165">
        <f t="shared" ref="R25:R46" si="1">IF(D25="","",IF(D25="kWh",IF(H25&lt;&gt;0,P25/H25,),IF(J25&lt;&gt;0,P25/J25,0)))</f>
        <v>7.43029595319873E-3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5">
        <f>VLOOKUP($B26, '9. Adj Network to Current WS'!$B$25:$R$47, 17,0)</f>
        <v>6.5634920155864295E-3</v>
      </c>
      <c r="G26" s="65"/>
      <c r="H26" s="179">
        <f>VLOOKUP('9. Adj Network to Current WS'!$B26, '4. RRR Data'!$B$27:$M$49,11,0)</f>
        <v>414003656.65499997</v>
      </c>
      <c r="I26" s="71"/>
      <c r="J26" s="64">
        <f>VLOOKUP('9. Adj Network to Current WS'!$B26, '4. RRR Data'!$B$27:$M$49,12,0)</f>
        <v>0</v>
      </c>
      <c r="K26" s="59"/>
      <c r="L26" s="60">
        <f t="shared" ref="L26:L46" si="2">IF(F26="", "", IF(D26="kWh", F26*H26, F26*J26))</f>
        <v>2717309.6948786778</v>
      </c>
      <c r="M26" s="55"/>
      <c r="N26" s="61">
        <f t="shared" si="0"/>
        <v>0.11865809933699145</v>
      </c>
      <c r="P26" s="62">
        <f>IF(ISERROR('8. Forecast Wholesale'!$F$113*N26), "", '8. Forecast Wholesale'!$F$113*N26)</f>
        <v>2859538.0260155788</v>
      </c>
      <c r="R26" s="165">
        <f t="shared" si="1"/>
        <v>6.9070356748044525E-3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185">
        <f>VLOOKUP($B27, '9. Adj Network to Current WS'!$B$25:$R$47, 17,0)</f>
        <v>2.3127359138557275</v>
      </c>
      <c r="G27" s="65"/>
      <c r="H27" s="179">
        <f>VLOOKUP('9. Adj Network to Current WS'!$B27, '4. RRR Data'!$B$27:$M$49,11,0)</f>
        <v>405941130</v>
      </c>
      <c r="I27" s="71"/>
      <c r="J27" s="64">
        <f>VLOOKUP('9. Adj Network to Current WS'!$B27, '4. RRR Data'!$B$27:$M$49,12,0)</f>
        <v>1167979</v>
      </c>
      <c r="K27" s="59"/>
      <c r="L27" s="60">
        <f t="shared" si="2"/>
        <v>2701226.9799292986</v>
      </c>
      <c r="M27" s="55"/>
      <c r="N27" s="61">
        <f t="shared" si="0"/>
        <v>0.11795580751075295</v>
      </c>
      <c r="P27" s="62">
        <f>IF(ISERROR('8. Forecast Wholesale'!$F$113*N27), "", '8. Forecast Wholesale'!$F$113*N27)</f>
        <v>2842613.5160688492</v>
      </c>
      <c r="R27" s="165">
        <f t="shared" si="1"/>
        <v>2.4337882068674603</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185">
        <f>VLOOKUP($B28, '9. Adj Network to Current WS'!$B$25:$R$47, 17,0)</f>
        <v>2.9658033694065766</v>
      </c>
      <c r="G28" s="65"/>
      <c r="H28" s="179">
        <f>VLOOKUP('9. Adj Network to Current WS'!$B28, '4. RRR Data'!$B$27:$M$49,11,0)</f>
        <v>1089147192</v>
      </c>
      <c r="I28" s="71"/>
      <c r="J28" s="64">
        <f>VLOOKUP('9. Adj Network to Current WS'!$B28, '4. RRR Data'!$B$27:$M$49,12,0)</f>
        <v>2662421</v>
      </c>
      <c r="K28" s="59"/>
      <c r="L28" s="60">
        <f t="shared" si="2"/>
        <v>7896217.1725788275</v>
      </c>
      <c r="M28" s="55"/>
      <c r="N28" s="61">
        <f t="shared" si="0"/>
        <v>0.344808000139325</v>
      </c>
      <c r="P28" s="62">
        <f>IF(ISERROR('8. Forecast Wholesale'!$F$113*N28), "", '8. Forecast Wholesale'!$F$113*N28)</f>
        <v>8309517.7959369496</v>
      </c>
      <c r="R28" s="165">
        <f t="shared" si="1"/>
        <v>3.121038256510503</v>
      </c>
    </row>
    <row r="29" spans="2:18" ht="25.5" customHeight="1" thickBot="1" x14ac:dyDescent="0.25">
      <c r="B29" s="15" t="str">
        <f>IF('3. Rate Classes'!Q28=1,'3. Rate Classes'!C28, 0)</f>
        <v>General Service 1,000 To 4,999 kW (co-generation)</v>
      </c>
      <c r="C29" s="8"/>
      <c r="D29" s="16" t="str">
        <f>IF(ISERROR(VLOOKUP($B29, '3. Rate Classes'!$C$24:$H$45,6,0)), "", VLOOKUP($B29, '3. Rate Classes'!$C$24:$H$45,6,0))</f>
        <v>kW</v>
      </c>
      <c r="F29" s="185">
        <f>VLOOKUP($B29, '9. Adj Network to Current WS'!$B$25:$R$47, 17,0)</f>
        <v>3.4237561077668115</v>
      </c>
      <c r="G29" s="65"/>
      <c r="H29" s="179">
        <f>VLOOKUP('9. Adj Network to Current WS'!$B29, '4. RRR Data'!$B$27:$M$49,11,0)</f>
        <v>39375740</v>
      </c>
      <c r="I29" s="71"/>
      <c r="J29" s="64">
        <f>VLOOKUP('9. Adj Network to Current WS'!$B29, '4. RRR Data'!$B$27:$M$49,12,0)</f>
        <v>46415</v>
      </c>
      <c r="K29" s="59"/>
      <c r="L29" s="60">
        <f t="shared" si="2"/>
        <v>158913.63974199657</v>
      </c>
      <c r="M29" s="55"/>
      <c r="N29" s="61">
        <f t="shared" si="0"/>
        <v>6.9393600906247086E-3</v>
      </c>
      <c r="P29" s="62">
        <f>IF(ISERROR('8. Forecast Wholesale'!$F$113*N29), "", '8. Forecast Wholesale'!$F$113*N29)</f>
        <v>167231.43355769338</v>
      </c>
      <c r="R29" s="165">
        <f t="shared" si="1"/>
        <v>3.6029609729116316</v>
      </c>
    </row>
    <row r="30" spans="2:18" ht="25.5" customHeight="1" thickBot="1" x14ac:dyDescent="0.25">
      <c r="B30" s="15" t="str">
        <f>IF('3. Rate Classes'!Q29=1,'3. Rate Classes'!C29, 0)</f>
        <v>Standby Power - APPROVED ON AN INTERIM BASIS</v>
      </c>
      <c r="C30" s="8"/>
      <c r="D30" s="16" t="str">
        <f>IF(ISERROR(VLOOKUP($B30, '3. Rate Classes'!$C$24:$H$45,6,0)), "", VLOOKUP($B30, '3. Rate Classes'!$C$24:$H$45,6,0))</f>
        <v>kW</v>
      </c>
      <c r="F30" s="185">
        <f>VLOOKUP($B30, '9. Adj Network to Current WS'!$B$25:$R$47, 17,0)</f>
        <v>0</v>
      </c>
      <c r="G30" s="65"/>
      <c r="H30" s="179">
        <f>VLOOKUP('9. Adj Network to Current WS'!$B30, '4. RRR Data'!$B$27:$M$49,11,0)</f>
        <v>0</v>
      </c>
      <c r="I30" s="71"/>
      <c r="J30" s="64">
        <f>VLOOKUP('9. Adj Network to Current WS'!$B30, '4. RRR Data'!$B$27:$M$49,12,0)</f>
        <v>154800</v>
      </c>
      <c r="K30" s="59"/>
      <c r="L30" s="60">
        <f t="shared" si="2"/>
        <v>0</v>
      </c>
      <c r="M30" s="55"/>
      <c r="N30" s="61">
        <f t="shared" si="0"/>
        <v>0</v>
      </c>
      <c r="P30" s="62">
        <f>IF(ISERROR('8. Forecast Wholesale'!$F$113*N30), "", '8. Forecast Wholesale'!$F$113*N30)</f>
        <v>0</v>
      </c>
      <c r="R30" s="165">
        <f t="shared" si="1"/>
        <v>0</v>
      </c>
    </row>
    <row r="31" spans="2:18" ht="25.5" customHeight="1" thickBot="1" x14ac:dyDescent="0.25">
      <c r="B31" s="15" t="str">
        <f>IF('3. Rate Classes'!Q30=1,'3. Rate Classes'!C30, 0)</f>
        <v>Large Use</v>
      </c>
      <c r="C31" s="8"/>
      <c r="D31" s="16" t="str">
        <f>IF(ISERROR(VLOOKUP($B31, '3. Rate Classes'!$C$24:$H$45,6,0)), "", VLOOKUP($B31, '3. Rate Classes'!$C$24:$H$45,6,0))</f>
        <v>kW</v>
      </c>
      <c r="F31" s="185">
        <f>VLOOKUP($B31, '9. Adj Network to Current WS'!$B$25:$R$47, 17,0)</f>
        <v>3.0380017815780276</v>
      </c>
      <c r="G31" s="65"/>
      <c r="H31" s="179">
        <f>VLOOKUP('9. Adj Network to Current WS'!$B31, '4. RRR Data'!$B$27:$M$49,11,0)</f>
        <v>183363380</v>
      </c>
      <c r="I31" s="71"/>
      <c r="J31" s="64">
        <f>VLOOKUP('9. Adj Network to Current WS'!$B31, '4. RRR Data'!$B$27:$M$49,12,0)</f>
        <v>389123</v>
      </c>
      <c r="K31" s="59"/>
      <c r="L31" s="60">
        <f t="shared" si="2"/>
        <v>1182156.3672529869</v>
      </c>
      <c r="M31" s="55"/>
      <c r="N31" s="61">
        <f t="shared" si="0"/>
        <v>5.1621803698611815E-2</v>
      </c>
      <c r="P31" s="62">
        <f>IF(ISERROR('8. Forecast Wholesale'!$F$113*N31), "", '8. Forecast Wholesale'!$F$113*N31)</f>
        <v>1244032.3203598929</v>
      </c>
      <c r="R31" s="165">
        <f t="shared" si="1"/>
        <v>3.1970156489333523</v>
      </c>
    </row>
    <row r="32" spans="2:18" ht="25.5" customHeight="1" thickBot="1" x14ac:dyDescent="0.25">
      <c r="B32" s="15" t="str">
        <f>IF('3. Rate Classes'!Q31=1,'3. Rate Classes'!C31, 0)</f>
        <v>Street Lighting</v>
      </c>
      <c r="C32" s="8"/>
      <c r="D32" s="16" t="str">
        <f>IF(ISERROR(VLOOKUP($B32, '3. Rate Classes'!$C$24:$H$45,6,0)), "", VLOOKUP($B32, '3. Rate Classes'!$C$24:$H$45,6,0))</f>
        <v>kW</v>
      </c>
      <c r="F32" s="185">
        <f>VLOOKUP($B32, '9. Adj Network to Current WS'!$B$25:$R$47, 17,0)</f>
        <v>2.0363731212600502</v>
      </c>
      <c r="G32" s="65"/>
      <c r="H32" s="179">
        <f>VLOOKUP('9. Adj Network to Current WS'!$B32, '4. RRR Data'!$B$27:$M$49,11,0)</f>
        <v>23812743</v>
      </c>
      <c r="I32" s="71"/>
      <c r="J32" s="64">
        <f>VLOOKUP('9. Adj Network to Current WS'!$B32, '4. RRR Data'!$B$27:$M$49,12,0)</f>
        <v>66305</v>
      </c>
      <c r="K32" s="59"/>
      <c r="L32" s="60">
        <f t="shared" si="2"/>
        <v>135021.71980514762</v>
      </c>
      <c r="M32" s="55"/>
      <c r="N32" s="61">
        <f t="shared" si="0"/>
        <v>5.8960598681432061E-3</v>
      </c>
      <c r="P32" s="62">
        <f>IF(ISERROR('8. Forecast Wholesale'!$F$113*N32), "", '8. Forecast Wholesale'!$F$113*N32)</f>
        <v>142088.97235693224</v>
      </c>
      <c r="R32" s="165">
        <f t="shared" si="1"/>
        <v>2.142960144135921</v>
      </c>
    </row>
    <row r="33" spans="2:18" ht="25.5" customHeight="1" thickBot="1" x14ac:dyDescent="0.25">
      <c r="B33" s="15" t="str">
        <f>IF('3. Rate Classes'!Q32=1,'3. Rate Classes'!C32, 0)</f>
        <v>Sentinel Lighting</v>
      </c>
      <c r="C33" s="8"/>
      <c r="D33" s="16" t="str">
        <f>IF(ISERROR(VLOOKUP($B33, '3. Rate Classes'!$C$24:$H$45,6,0)), "", VLOOKUP($B33, '3. Rate Classes'!$C$24:$H$45,6,0))</f>
        <v>kW</v>
      </c>
      <c r="F33" s="185">
        <f>VLOOKUP($B33, '9. Adj Network to Current WS'!$B$25:$R$47, 17,0)</f>
        <v>2.0391576330242382</v>
      </c>
      <c r="G33" s="65"/>
      <c r="H33" s="179">
        <f>VLOOKUP('9. Adj Network to Current WS'!$B33, '4. RRR Data'!$B$27:$M$49,11,0)</f>
        <v>790064</v>
      </c>
      <c r="I33" s="71"/>
      <c r="J33" s="64">
        <f>VLOOKUP('9. Adj Network to Current WS'!$B33, '4. RRR Data'!$B$27:$M$49,12,0)</f>
        <v>2146</v>
      </c>
      <c r="K33" s="59"/>
      <c r="L33" s="60">
        <f t="shared" si="2"/>
        <v>4376.0322804700154</v>
      </c>
      <c r="M33" s="55"/>
      <c r="N33" s="61">
        <f t="shared" si="0"/>
        <v>1.9109035455786567E-4</v>
      </c>
      <c r="P33" s="62">
        <f>IF(ISERROR('8. Forecast Wholesale'!$F$113*N33), "", '8. Forecast Wholesale'!$F$113*N33)</f>
        <v>4605.080802037317</v>
      </c>
      <c r="R33" s="165">
        <f t="shared" si="1"/>
        <v>2.1458904016949285</v>
      </c>
    </row>
    <row r="34" spans="2:18" ht="25.5" customHeight="1" thickBot="1" x14ac:dyDescent="0.25">
      <c r="B34" s="15" t="str">
        <f>IF('3. Rate Classes'!Q33=1,'3. Rate Classes'!C33, 0)</f>
        <v>Unmetered Scattered Load</v>
      </c>
      <c r="C34" s="8"/>
      <c r="D34" s="16" t="str">
        <f>IF(ISERROR(VLOOKUP($B34, '3. Rate Classes'!$C$24:$H$45,6,0)), "", VLOOKUP($B34, '3. Rate Classes'!$C$24:$H$45,6,0))</f>
        <v>kWh</v>
      </c>
      <c r="F34" s="185">
        <f>VLOOKUP($B34, '9. Adj Network to Current WS'!$B$25:$R$47, 17,0)</f>
        <v>6.5634920155864295E-3</v>
      </c>
      <c r="G34" s="65"/>
      <c r="H34" s="179">
        <f>VLOOKUP('9. Adj Network to Current WS'!$B34, '4. RRR Data'!$B$27:$M$49,11,0)</f>
        <v>5796428.4899999993</v>
      </c>
      <c r="I34" s="71"/>
      <c r="J34" s="64">
        <f>VLOOKUP('9. Adj Network to Current WS'!$B34, '4. RRR Data'!$B$27:$M$49,12,0)</f>
        <v>0</v>
      </c>
      <c r="K34" s="59"/>
      <c r="L34" s="60">
        <f t="shared" si="2"/>
        <v>38044.812113032698</v>
      </c>
      <c r="M34" s="55"/>
      <c r="N34" s="61">
        <f t="shared" si="0"/>
        <v>1.6613215282282958E-3</v>
      </c>
      <c r="P34" s="62">
        <f>IF(ISERROR('8. Forecast Wholesale'!$F$113*N34), "", '8. Forecast Wholesale'!$F$113*N34)</f>
        <v>40036.1383668829</v>
      </c>
      <c r="R34" s="165">
        <f t="shared" si="1"/>
        <v>6.9070356748044525E-3</v>
      </c>
    </row>
    <row r="35" spans="2:18" ht="25.5" hidden="1" customHeight="1" thickBot="1" x14ac:dyDescent="0.25">
      <c r="B35" s="15">
        <f>IF('3. Rate Classes'!Q34=1,'3. Rate Classes'!C34, 0)</f>
        <v>0</v>
      </c>
      <c r="C35" s="8"/>
      <c r="D35" s="16" t="str">
        <f>IF(ISERROR(VLOOKUP($B35, '3. Rate Classes'!$C$24:$H$45,6,0)), "", VLOOKUP($B35, '3. Rate Classes'!$C$24:$H$45,6,0))</f>
        <v/>
      </c>
      <c r="F35" s="185" t="str">
        <f>VLOOKUP($B35, '9. Adj Network to Current WS'!$B$25:$R$47, 17,0)</f>
        <v/>
      </c>
      <c r="G35" s="65"/>
      <c r="H35" s="179">
        <f>VLOOKUP('9. Adj Network to Current WS'!$B35, '4. RRR Data'!$B$27:$M$49,11,0)</f>
        <v>0</v>
      </c>
      <c r="I35" s="71"/>
      <c r="J35" s="64">
        <f>VLOOKUP('9. Adj Network to Current WS'!$B35, '4. RRR Data'!$B$27:$M$49,12,0)</f>
        <v>0</v>
      </c>
      <c r="K35" s="59"/>
      <c r="L35" s="60" t="str">
        <f t="shared" si="2"/>
        <v/>
      </c>
      <c r="M35" s="55"/>
      <c r="N35" s="61" t="str">
        <f t="shared" si="0"/>
        <v/>
      </c>
      <c r="P35" s="62" t="str">
        <f>IF(ISERROR('8. Forecast Wholesale'!$F$113*N35), "", '8. Forecast Wholesale'!$F$113*N35)</f>
        <v/>
      </c>
      <c r="R35" s="165" t="str">
        <f t="shared" si="1"/>
        <v/>
      </c>
    </row>
    <row r="36" spans="2:18" ht="25.5" hidden="1" customHeight="1" thickBot="1" x14ac:dyDescent="0.25">
      <c r="B36" s="15">
        <f>IF('3. Rate Classes'!Q35=1,'3. Rate Classes'!C35, 0)</f>
        <v>0</v>
      </c>
      <c r="C36" s="8"/>
      <c r="D36" s="16" t="str">
        <f>IF(ISERROR(VLOOKUP($B36, '3. Rate Classes'!$C$24:$H$45,6,0)), "", VLOOKUP($B36, '3. Rate Classes'!$C$24:$H$45,6,0))</f>
        <v/>
      </c>
      <c r="F36" s="185" t="str">
        <f>VLOOKUP($B36, '9. Adj Network to Current WS'!$B$25:$R$47, 17,0)</f>
        <v/>
      </c>
      <c r="G36" s="65"/>
      <c r="H36" s="179">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5"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5" t="str">
        <f>VLOOKUP($B37, '9. Adj Network to Current WS'!$B$25:$R$47, 17,0)</f>
        <v/>
      </c>
      <c r="G37" s="65"/>
      <c r="H37" s="179">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5"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5" t="str">
        <f>VLOOKUP($B38, '9. Adj Network to Current WS'!$B$25:$R$47, 17,0)</f>
        <v/>
      </c>
      <c r="G38" s="65"/>
      <c r="H38" s="179">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5"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5" t="str">
        <f>VLOOKUP($B39, '9. Adj Network to Current WS'!$B$25:$R$47, 17,0)</f>
        <v/>
      </c>
      <c r="G39" s="65"/>
      <c r="H39" s="179">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5"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5" t="str">
        <f>VLOOKUP($B40, '9. Adj Network to Current WS'!$B$25:$R$47, 17,0)</f>
        <v/>
      </c>
      <c r="G40" s="65"/>
      <c r="H40" s="179">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5"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5" t="str">
        <f>VLOOKUP($B41, '9. Adj Network to Current WS'!$B$25:$R$47, 17,0)</f>
        <v/>
      </c>
      <c r="G41" s="65"/>
      <c r="H41" s="179">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5"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5" t="str">
        <f>VLOOKUP($B42, '9. Adj Network to Current WS'!$B$25:$R$47, 17,0)</f>
        <v/>
      </c>
      <c r="G42" s="65"/>
      <c r="H42" s="179">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5"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5" t="str">
        <f>VLOOKUP($B43, '9. Adj Network to Current WS'!$B$25:$R$47, 17,0)</f>
        <v/>
      </c>
      <c r="G43" s="65"/>
      <c r="H43" s="179">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5"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5" t="str">
        <f>VLOOKUP($B44, '9. Adj Network to Current WS'!$B$25:$R$47, 17,0)</f>
        <v/>
      </c>
      <c r="G44" s="65"/>
      <c r="H44" s="179">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5"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5" t="str">
        <f>VLOOKUP($B45, '9. Adj Network to Current WS'!$B$25:$R$47, 17,0)</f>
        <v/>
      </c>
      <c r="G45" s="65"/>
      <c r="H45" s="179">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5"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5" t="str">
        <f>VLOOKUP($B46, '9. Adj Network to Current WS'!$B$25:$R$47, 17,0)</f>
        <v/>
      </c>
      <c r="G46" s="65"/>
      <c r="H46" s="179">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5" t="str">
        <f t="shared" si="1"/>
        <v/>
      </c>
    </row>
    <row r="47" spans="2:18" ht="13.5" hidden="1" thickBot="1" x14ac:dyDescent="0.25">
      <c r="F47" s="185"/>
      <c r="G47" s="66"/>
      <c r="H47" s="180"/>
      <c r="I47" s="66"/>
      <c r="J47" s="66"/>
      <c r="R47" s="165"/>
    </row>
    <row r="48" spans="2:18" ht="13.5" thickBot="1" x14ac:dyDescent="0.25">
      <c r="F48" s="185"/>
      <c r="G48" s="66"/>
      <c r="H48" s="180"/>
      <c r="I48" s="66"/>
      <c r="J48" s="66"/>
      <c r="R48" s="165"/>
    </row>
    <row r="49" spans="6:18" ht="13.5" thickBot="1" x14ac:dyDescent="0.25">
      <c r="F49" s="185"/>
      <c r="G49" s="66"/>
      <c r="H49" s="180"/>
      <c r="I49" s="66"/>
      <c r="J49" s="66"/>
      <c r="L49" s="70">
        <f>SUM(L25:L46)</f>
        <v>22900330.529999997</v>
      </c>
      <c r="R49" s="165"/>
    </row>
    <row r="50" spans="6:18" ht="13.5" thickBot="1" x14ac:dyDescent="0.25">
      <c r="F50" s="185"/>
      <c r="G50" s="66"/>
      <c r="H50" s="180"/>
      <c r="I50" s="66"/>
      <c r="J50" s="66"/>
      <c r="R50" s="165"/>
    </row>
    <row r="51" spans="6:18" ht="13.5" thickBot="1" x14ac:dyDescent="0.25">
      <c r="F51" s="185"/>
      <c r="G51" s="66"/>
      <c r="H51" s="180"/>
      <c r="I51" s="66"/>
      <c r="J51" s="66"/>
      <c r="R51" s="165"/>
    </row>
    <row r="52" spans="6:18" ht="13.5" thickBot="1" x14ac:dyDescent="0.25">
      <c r="F52" s="185"/>
      <c r="G52" s="66"/>
      <c r="H52" s="180"/>
      <c r="I52" s="66"/>
      <c r="J52" s="66"/>
    </row>
    <row r="53" spans="6:18" ht="13.5" thickBot="1" x14ac:dyDescent="0.25">
      <c r="F53" s="185"/>
      <c r="G53" s="66"/>
      <c r="H53" s="180"/>
      <c r="I53" s="66"/>
      <c r="J53" s="66"/>
    </row>
    <row r="54" spans="6:18" ht="13.5" thickBot="1" x14ac:dyDescent="0.25">
      <c r="F54" s="186"/>
    </row>
    <row r="55" spans="6:18" ht="13.5" thickBot="1" x14ac:dyDescent="0.25">
      <c r="F55" s="186"/>
    </row>
    <row r="56" spans="6:18" ht="13.5" thickBot="1" x14ac:dyDescent="0.25">
      <c r="F56" s="18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6" orientation="landscape" r:id="rId1"/>
  <headerFooter alignWithMargins="0">
    <oddFooter>&amp;L&amp;A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B1" workbookViewId="0">
      <pane ySplit="23" topLeftCell="A24" activePane="bottomLeft" state="frozenSplit"/>
      <selection pane="bottomLeft" activeCell="F26" sqref="F2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6"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7" t="s">
        <v>208</v>
      </c>
    </row>
    <row r="20" spans="2:18" ht="2.25" customHeight="1" x14ac:dyDescent="0.2"/>
    <row r="21" spans="2:18" ht="16.5" x14ac:dyDescent="0.3">
      <c r="D21" s="11"/>
      <c r="E21" s="5"/>
      <c r="F21" s="12"/>
      <c r="G21" s="12"/>
      <c r="H21" s="5"/>
      <c r="I21" s="5"/>
      <c r="J21" s="5"/>
      <c r="K21" s="11"/>
    </row>
    <row r="22" spans="2:18" s="138" customFormat="1" ht="63" x14ac:dyDescent="0.2">
      <c r="B22" s="130" t="s">
        <v>208</v>
      </c>
      <c r="D22" s="138" t="s">
        <v>209</v>
      </c>
      <c r="E22" s="135"/>
      <c r="F22" s="138" t="s">
        <v>213</v>
      </c>
      <c r="G22" s="131"/>
      <c r="H22" s="138" t="s">
        <v>214</v>
      </c>
      <c r="I22" s="135"/>
      <c r="J22" s="138" t="s">
        <v>215</v>
      </c>
      <c r="K22" s="131"/>
      <c r="L22" s="138" t="s">
        <v>216</v>
      </c>
      <c r="N22" s="138" t="s">
        <v>217</v>
      </c>
      <c r="P22" s="138" t="s">
        <v>223</v>
      </c>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5.3039842443758341E-3</v>
      </c>
      <c r="G25" s="57"/>
      <c r="H25" s="64">
        <f>VLOOKUP('9. Adj Network to Current WS'!$B25, '4. RRR Data'!$B$27:$M$49,11,0)</f>
        <v>1142526110.6699998</v>
      </c>
      <c r="I25" s="71"/>
      <c r="J25" s="64">
        <f>VLOOKUP('9. Adj Network to Current WS'!$B25, '4. RRR Data'!$B$27:$M$49,12,0)</f>
        <v>0</v>
      </c>
      <c r="K25" s="58"/>
      <c r="L25" s="60">
        <f t="shared" ref="L25:L46" si="0">IF(F25="", "", IF(D25="kWh", F25*H25, F25*J25))</f>
        <v>6059940.4897816796</v>
      </c>
      <c r="M25" s="55"/>
      <c r="N25" s="61">
        <f t="shared" ref="N25:N46" si="1">IF(ISERROR(L25/$L$49), "", L25/$L$49)</f>
        <v>0.34593419221711491</v>
      </c>
      <c r="O25" s="13"/>
      <c r="P25" s="62">
        <f>IF(ISERROR('8. Forecast Wholesale'!$P$117*N25), "", '8. Forecast Wholesale'!$P$117*N25)</f>
        <v>6526103.4636069117</v>
      </c>
      <c r="R25" s="63">
        <f t="shared" ref="R25:R46" si="2">IF(D25="","",IF(D25="kWh",IF(H25&lt;&gt;0,P25/H25,),IF(J25&lt;&gt;0,P25/J25,0)))</f>
        <v>5.7119950280872583E-3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4.6034580234205359E-3</v>
      </c>
      <c r="G26" s="57"/>
      <c r="H26" s="64">
        <f>VLOOKUP('9. Adj Network to Current WS'!$B26, '4. RRR Data'!$B$27:$M$49,11,0)</f>
        <v>414003656.65499997</v>
      </c>
      <c r="I26" s="71"/>
      <c r="J26" s="64">
        <f>VLOOKUP('9. Adj Network to Current WS'!$B26, '4. RRR Data'!$B$27:$M$49,12,0)</f>
        <v>0</v>
      </c>
      <c r="K26" s="59"/>
      <c r="L26" s="60">
        <f t="shared" si="0"/>
        <v>1905848.4549539003</v>
      </c>
      <c r="M26" s="55"/>
      <c r="N26" s="61">
        <f t="shared" si="1"/>
        <v>0.10879614195294951</v>
      </c>
      <c r="P26" s="62">
        <f>IF(ISERROR('8. Forecast Wholesale'!$P$117*N26), "", '8. Forecast Wholesale'!$P$117*N26)</f>
        <v>2052456.4925938116</v>
      </c>
      <c r="R26" s="63">
        <f t="shared" si="2"/>
        <v>4.9575805904153569E-3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VLOOKUP($B27, '10. Adj Conn. to Current WS'!$B$25:$R$47, 17,0)</f>
        <v>1.7165894668637487</v>
      </c>
      <c r="G27" s="57"/>
      <c r="H27" s="64">
        <f>VLOOKUP('9. Adj Network to Current WS'!$B27, '4. RRR Data'!$B$27:$M$49,11,0)</f>
        <v>405941130</v>
      </c>
      <c r="I27" s="71"/>
      <c r="J27" s="64">
        <f>VLOOKUP('9. Adj Network to Current WS'!$B27, '4. RRR Data'!$B$27:$M$49,12,0)</f>
        <v>1167979</v>
      </c>
      <c r="K27" s="59"/>
      <c r="L27" s="60">
        <f t="shared" si="0"/>
        <v>2004940.4489180543</v>
      </c>
      <c r="M27" s="55"/>
      <c r="N27" s="61">
        <f t="shared" si="1"/>
        <v>0.11445284913431125</v>
      </c>
      <c r="P27" s="62">
        <f>IF(ISERROR('8. Forecast Wholesale'!$P$117*N27), "", '8. Forecast Wholesale'!$P$117*N27)</f>
        <v>2159171.1717421669</v>
      </c>
      <c r="R27" s="63">
        <f t="shared" si="2"/>
        <v>1.8486386927694478</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69">
        <f>VLOOKUP($B28, '10. Adj Conn. to Current WS'!$B$25:$R$47, 17,0)</f>
        <v>2.391996819039079</v>
      </c>
      <c r="G28" s="57"/>
      <c r="H28" s="64">
        <f>VLOOKUP('9. Adj Network to Current WS'!$B28, '4. RRR Data'!$B$27:$M$49,11,0)</f>
        <v>1089147192</v>
      </c>
      <c r="I28" s="71"/>
      <c r="J28" s="64">
        <f>VLOOKUP('9. Adj Network to Current WS'!$B28, '4. RRR Data'!$B$27:$M$49,12,0)</f>
        <v>2662421</v>
      </c>
      <c r="K28" s="59"/>
      <c r="L28" s="60">
        <f t="shared" si="0"/>
        <v>6368502.5629428439</v>
      </c>
      <c r="M28" s="55"/>
      <c r="N28" s="61">
        <f t="shared" si="1"/>
        <v>0.36354858491747805</v>
      </c>
      <c r="P28" s="62">
        <f>IF(ISERROR('8. Forecast Wholesale'!$P$117*N28), "", '8. Forecast Wholesale'!$P$117*N28)</f>
        <v>6858401.7787125353</v>
      </c>
      <c r="R28" s="63">
        <f t="shared" si="2"/>
        <v>2.5760019841762571</v>
      </c>
    </row>
    <row r="29" spans="2:18" ht="25.5" customHeight="1" thickBot="1" x14ac:dyDescent="0.25">
      <c r="B29" s="15" t="str">
        <f>IF('3. Rate Classes'!Q28=1,'3. Rate Classes'!C28, 0)</f>
        <v>General Service 1,000 To 4,999 kW (co-generation)</v>
      </c>
      <c r="C29" s="8"/>
      <c r="D29" s="16" t="str">
        <f>IF(ISERROR(VLOOKUP($B29, '3. Rate Classes'!$C$24:$H$45,6,0)), "", VLOOKUP($B29, '3. Rate Classes'!$C$24:$H$45,6,0))</f>
        <v>kW</v>
      </c>
      <c r="F29" s="69">
        <f>VLOOKUP($B29, '10. Adj Conn. to Current WS'!$B$25:$R$47, 17,0)</f>
        <v>2.5303007100905397</v>
      </c>
      <c r="G29" s="57"/>
      <c r="H29" s="64">
        <f>VLOOKUP('9. Adj Network to Current WS'!$B29, '4. RRR Data'!$B$27:$M$49,11,0)</f>
        <v>39375740</v>
      </c>
      <c r="I29" s="71"/>
      <c r="J29" s="64">
        <f>VLOOKUP('9. Adj Network to Current WS'!$B29, '4. RRR Data'!$B$27:$M$49,12,0)</f>
        <v>46415</v>
      </c>
      <c r="K29" s="59"/>
      <c r="L29" s="60">
        <f t="shared" si="0"/>
        <v>117443.90745885239</v>
      </c>
      <c r="M29" s="55"/>
      <c r="N29" s="61">
        <f t="shared" si="1"/>
        <v>6.7043337019739267E-3</v>
      </c>
      <c r="P29" s="62">
        <f>IF(ISERROR('8. Forecast Wholesale'!$P$117*N29), "", '8. Forecast Wholesale'!$P$117*N29)</f>
        <v>126478.3198018433</v>
      </c>
      <c r="R29" s="63">
        <f t="shared" si="2"/>
        <v>2.7249449488709105</v>
      </c>
    </row>
    <row r="30" spans="2:18" ht="25.5" customHeight="1" thickBot="1" x14ac:dyDescent="0.25">
      <c r="B30" s="15" t="str">
        <f>IF('3. Rate Classes'!Q29=1,'3. Rate Classes'!C29, 0)</f>
        <v>Standby Power - APPROVED ON AN INTERIM BASIS</v>
      </c>
      <c r="C30" s="8"/>
      <c r="D30" s="16" t="str">
        <f>IF(ISERROR(VLOOKUP($B30, '3. Rate Classes'!$C$24:$H$45,6,0)), "", VLOOKUP($B30, '3. Rate Classes'!$C$24:$H$45,6,0))</f>
        <v>kW</v>
      </c>
      <c r="F30" s="69">
        <f>VLOOKUP($B30, '10. Adj Conn. to Current WS'!$B$25:$R$47, 17,0)</f>
        <v>0</v>
      </c>
      <c r="G30" s="57"/>
      <c r="H30" s="64">
        <f>VLOOKUP('9. Adj Network to Current WS'!$B30, '4. RRR Data'!$B$27:$M$49,11,0)</f>
        <v>0</v>
      </c>
      <c r="I30" s="71"/>
      <c r="J30" s="64">
        <f>VLOOKUP('9. Adj Network to Current WS'!$B30, '4. RRR Data'!$B$27:$M$49,12,0)</f>
        <v>154800</v>
      </c>
      <c r="K30" s="59"/>
      <c r="L30" s="60">
        <f t="shared" si="0"/>
        <v>0</v>
      </c>
      <c r="M30" s="55"/>
      <c r="N30" s="61">
        <f t="shared" si="1"/>
        <v>0</v>
      </c>
      <c r="P30" s="62">
        <f>IF(ISERROR('8. Forecast Wholesale'!$P$117*N30), "", '8. Forecast Wholesale'!$P$117*N30)</f>
        <v>0</v>
      </c>
      <c r="R30" s="63">
        <f t="shared" si="2"/>
        <v>0</v>
      </c>
    </row>
    <row r="31" spans="2:18" ht="25.5" customHeight="1" thickBot="1" x14ac:dyDescent="0.25">
      <c r="B31" s="15" t="str">
        <f>IF('3. Rate Classes'!Q30=1,'3. Rate Classes'!C30, 0)</f>
        <v>Large Use</v>
      </c>
      <c r="C31" s="8"/>
      <c r="D31" s="16" t="str">
        <f>IF(ISERROR(VLOOKUP($B31, '3. Rate Classes'!$C$24:$H$45,6,0)), "", VLOOKUP($B31, '3. Rate Classes'!$C$24:$H$45,6,0))</f>
        <v>kW</v>
      </c>
      <c r="F31" s="69">
        <f>VLOOKUP($B31, '10. Adj Conn. to Current WS'!$B$25:$R$47, 17,0)</f>
        <v>2.3919968190390795</v>
      </c>
      <c r="G31" s="57"/>
      <c r="H31" s="64">
        <f>VLOOKUP('9. Adj Network to Current WS'!$B31, '4. RRR Data'!$B$27:$M$49,11,0)</f>
        <v>183363380</v>
      </c>
      <c r="I31" s="71"/>
      <c r="J31" s="64">
        <f>VLOOKUP('9. Adj Network to Current WS'!$B31, '4. RRR Data'!$B$27:$M$49,12,0)</f>
        <v>389123</v>
      </c>
      <c r="K31" s="59"/>
      <c r="L31" s="60">
        <f t="shared" si="0"/>
        <v>930780.97821494367</v>
      </c>
      <c r="M31" s="55"/>
      <c r="N31" s="61">
        <f t="shared" si="1"/>
        <v>5.3134014496146111E-2</v>
      </c>
      <c r="P31" s="62">
        <f>IF(ISERROR('8. Forecast Wholesale'!$P$117*N31), "", '8. Forecast Wholesale'!$P$117*N31)</f>
        <v>1002381.6200886179</v>
      </c>
      <c r="R31" s="63">
        <f t="shared" si="2"/>
        <v>2.5760019841762576</v>
      </c>
    </row>
    <row r="32" spans="2:18" ht="25.5" customHeight="1" thickBot="1" x14ac:dyDescent="0.25">
      <c r="B32" s="15" t="str">
        <f>IF('3. Rate Classes'!Q31=1,'3. Rate Classes'!C31, 0)</f>
        <v>Street Lighting</v>
      </c>
      <c r="C32" s="8"/>
      <c r="D32" s="16" t="str">
        <f>IF(ISERROR(VLOOKUP($B32, '3. Rate Classes'!$C$24:$H$45,6,0)), "", VLOOKUP($B32, '3. Rate Classes'!$C$24:$H$45,6,0))</f>
        <v>kW</v>
      </c>
      <c r="F32" s="69">
        <f>VLOOKUP($B32, '10. Adj Conn. to Current WS'!$B$25:$R$47, 17,0)</f>
        <v>1.5115354344726908</v>
      </c>
      <c r="G32" s="57"/>
      <c r="H32" s="64">
        <f>VLOOKUP('9. Adj Network to Current WS'!$B32, '4. RRR Data'!$B$27:$M$49,11,0)</f>
        <v>23812743</v>
      </c>
      <c r="I32" s="71"/>
      <c r="J32" s="64">
        <f>VLOOKUP('9. Adj Network to Current WS'!$B32, '4. RRR Data'!$B$27:$M$49,12,0)</f>
        <v>66305</v>
      </c>
      <c r="K32" s="59"/>
      <c r="L32" s="60">
        <f t="shared" si="0"/>
        <v>100222.35698271176</v>
      </c>
      <c r="M32" s="55"/>
      <c r="N32" s="61">
        <f t="shared" si="1"/>
        <v>5.7212344186170017E-3</v>
      </c>
      <c r="P32" s="62">
        <f>IF(ISERROR('8. Forecast Wholesale'!$P$117*N32), "", '8. Forecast Wholesale'!$P$117*N32)</f>
        <v>107931.99572481071</v>
      </c>
      <c r="R32" s="63">
        <f t="shared" si="2"/>
        <v>1.6278108095137729</v>
      </c>
    </row>
    <row r="33" spans="2:18" ht="25.5" customHeight="1" thickBot="1" x14ac:dyDescent="0.25">
      <c r="B33" s="15" t="str">
        <f>IF('3. Rate Classes'!Q32=1,'3. Rate Classes'!C32, 0)</f>
        <v>Sentinel Lighting</v>
      </c>
      <c r="C33" s="8"/>
      <c r="D33" s="16" t="str">
        <f>IF(ISERROR(VLOOKUP($B33, '3. Rate Classes'!$C$24:$H$45,6,0)), "", VLOOKUP($B33, '3. Rate Classes'!$C$24:$H$45,6,0))</f>
        <v>kW</v>
      </c>
      <c r="F33" s="69">
        <f>VLOOKUP($B33, '10. Adj Conn. to Current WS'!$B$25:$R$47, 17,0)</f>
        <v>1.5134368627867119</v>
      </c>
      <c r="G33" s="57"/>
      <c r="H33" s="64">
        <f>VLOOKUP('9. Adj Network to Current WS'!$B33, '4. RRR Data'!$B$27:$M$49,11,0)</f>
        <v>790064</v>
      </c>
      <c r="I33" s="71"/>
      <c r="J33" s="64">
        <f>VLOOKUP('9. Adj Network to Current WS'!$B33, '4. RRR Data'!$B$27:$M$49,12,0)</f>
        <v>2146</v>
      </c>
      <c r="K33" s="59"/>
      <c r="L33" s="60">
        <f t="shared" si="0"/>
        <v>3247.8355075402837</v>
      </c>
      <c r="M33" s="55"/>
      <c r="N33" s="61">
        <f t="shared" si="1"/>
        <v>1.8540402412359149E-4</v>
      </c>
      <c r="P33" s="62">
        <f>IF(ISERROR('8. Forecast Wholesale'!$P$117*N33), "", '8. Forecast Wholesale'!$P$117*N33)</f>
        <v>3497.6763535425034</v>
      </c>
      <c r="R33" s="63">
        <f t="shared" si="2"/>
        <v>1.6298585058445962</v>
      </c>
    </row>
    <row r="34" spans="2:18" ht="25.5" customHeight="1" thickBot="1" x14ac:dyDescent="0.25">
      <c r="B34" s="15" t="str">
        <f>IF('3. Rate Classes'!Q33=1,'3. Rate Classes'!C33, 0)</f>
        <v>Unmetered Scattered Load</v>
      </c>
      <c r="C34" s="8"/>
      <c r="D34" s="16" t="str">
        <f>IF(ISERROR(VLOOKUP($B34, '3. Rate Classes'!$C$24:$H$45,6,0)), "", VLOOKUP($B34, '3. Rate Classes'!$C$24:$H$45,6,0))</f>
        <v>kWh</v>
      </c>
      <c r="F34" s="69">
        <f>VLOOKUP($B34, '10. Adj Conn. to Current WS'!$B$25:$R$47, 17,0)</f>
        <v>4.603458023420535E-3</v>
      </c>
      <c r="G34" s="57"/>
      <c r="H34" s="64">
        <f>VLOOKUP('9. Adj Network to Current WS'!$B34, '4. RRR Data'!$B$27:$M$49,11,0)</f>
        <v>5796428.4899999993</v>
      </c>
      <c r="I34" s="71"/>
      <c r="J34" s="64">
        <f>VLOOKUP('9. Adj Network to Current WS'!$B34, '4. RRR Data'!$B$27:$M$49,12,0)</f>
        <v>0</v>
      </c>
      <c r="K34" s="59"/>
      <c r="L34" s="60">
        <f t="shared" si="0"/>
        <v>26683.615239473875</v>
      </c>
      <c r="M34" s="55"/>
      <c r="N34" s="61">
        <f t="shared" si="1"/>
        <v>1.5232451372855392E-3</v>
      </c>
      <c r="P34" s="62">
        <f>IF(ISERROR('8. Forecast Wholesale'!$P$117*N34), "", '8. Forecast Wholesale'!$P$117*N34)</f>
        <v>28736.261375754591</v>
      </c>
      <c r="R34" s="63">
        <f t="shared" si="2"/>
        <v>4.9575805904153569E-3</v>
      </c>
    </row>
    <row r="35" spans="2:18" ht="25.5" hidden="1" customHeight="1" thickBot="1" x14ac:dyDescent="0.25">
      <c r="B35" s="15">
        <f>IF('3. Rate Classes'!Q34=1,'3. Rate Classes'!C34, 0)</f>
        <v>0</v>
      </c>
      <c r="C35" s="8"/>
      <c r="D35" s="16" t="str">
        <f>IF(ISERROR(VLOOKUP($B35, '3. Rate Classes'!$C$24:$H$45,6,0)), "", VLOOKUP($B35, '3. Rate Classes'!$C$24:$H$45,6,0))</f>
        <v/>
      </c>
      <c r="F35" s="69" t="str">
        <f>VLOOKUP($B35, '10. Adj Conn. to Current WS'!$B$25:$R$47, 17,0)</f>
        <v/>
      </c>
      <c r="G35" s="57"/>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IF(ISERROR('8. Forecast Wholesale'!$P$117*N35), "", '8. Forecast Wholesale'!$P$117*N35)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17517610.650000002</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9" orientation="landscape" r:id="rId1"/>
  <headerFooter alignWithMargins="0">
    <oddFooter>&amp;L&amp;A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abSelected="1" topLeftCell="B1" workbookViewId="0">
      <pane ySplit="24" topLeftCell="A25" activePane="bottomLeft" state="frozenSplit"/>
      <selection pane="bottomLeft"/>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98" t="s">
        <v>257</v>
      </c>
      <c r="C13" s="198"/>
      <c r="D13" s="198"/>
      <c r="E13" s="198"/>
      <c r="F13" s="198"/>
      <c r="G13" s="198"/>
      <c r="H13" s="198"/>
      <c r="I13" s="198"/>
      <c r="J13" s="198"/>
      <c r="K13" s="198"/>
      <c r="L13" s="198"/>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8" t="s">
        <v>208</v>
      </c>
      <c r="C23" s="133"/>
      <c r="D23" s="135" t="s">
        <v>209</v>
      </c>
      <c r="E23" s="134"/>
      <c r="F23" s="135" t="s">
        <v>210</v>
      </c>
      <c r="G23" s="131"/>
      <c r="H23" s="135" t="s">
        <v>211</v>
      </c>
      <c r="I23" s="132"/>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7.43029595319873E-3</v>
      </c>
      <c r="G26" s="57"/>
      <c r="H26" s="69">
        <f>VLOOKUP($B26, '12. Adj Conn. to Forecast WS'!$B$25:$R$48,17,0)</f>
        <v>5.7119950280872583E-3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6.9070356748044525E-3</v>
      </c>
      <c r="G27" s="57"/>
      <c r="H27" s="69">
        <f>VLOOKUP($B27, '12. Adj Conn. to Forecast WS'!$B$25:$R$48,17,0)</f>
        <v>4.9575805904153569E-3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69">
        <f>VLOOKUP($B28, '11. Adj Network to Forecast WS'!$B$25:$R$48,17,0)</f>
        <v>2.4337882068674603</v>
      </c>
      <c r="G28" s="57"/>
      <c r="H28" s="69">
        <f>VLOOKUP($B28, '12. Adj Conn. to Forecast WS'!$B$25:$R$48,17,0)</f>
        <v>1.8486386927694478</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General Service 50 to 4,999 kW – Interval Metered</v>
      </c>
      <c r="C29" s="8"/>
      <c r="D29" s="16" t="str">
        <f>IF(ISERROR(VLOOKUP($B29, '3. Rate Classes'!$C$24:$H$45,6,0)), "", VLOOKUP($B29, '3. Rate Classes'!$C$24:$H$45,6,0))</f>
        <v>kW</v>
      </c>
      <c r="F29" s="69">
        <f>VLOOKUP($B29, '11. Adj Network to Forecast WS'!$B$25:$R$48,17,0)</f>
        <v>3.121038256510503</v>
      </c>
      <c r="G29" s="57"/>
      <c r="H29" s="69">
        <f>VLOOKUP($B29, '12. Adj Conn. to Forecast WS'!$B$25:$R$48,17,0)</f>
        <v>2.5760019841762571</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General Service 1,000 To 4,999 kW (co-generation)</v>
      </c>
      <c r="C30" s="8"/>
      <c r="D30" s="16" t="str">
        <f>IF(ISERROR(VLOOKUP($B30, '3. Rate Classes'!$C$24:$H$45,6,0)), "", VLOOKUP($B30, '3. Rate Classes'!$C$24:$H$45,6,0))</f>
        <v>kW</v>
      </c>
      <c r="F30" s="69">
        <f>VLOOKUP($B30, '11. Adj Network to Forecast WS'!$B$25:$R$48,17,0)</f>
        <v>3.6029609729116316</v>
      </c>
      <c r="G30" s="57"/>
      <c r="H30" s="69">
        <f>VLOOKUP($B30, '12. Adj Conn. to Forecast WS'!$B$25:$R$48,17,0)</f>
        <v>2.7249449488709105</v>
      </c>
      <c r="I30" s="68"/>
      <c r="J30" s="79"/>
      <c r="K30" s="80"/>
      <c r="L30" s="81"/>
      <c r="M30" s="82"/>
      <c r="N30" s="83"/>
      <c r="O30" s="78"/>
      <c r="P30" s="81"/>
      <c r="Q30" s="78"/>
      <c r="R30" s="75"/>
      <c r="S30" s="78"/>
      <c r="T30" s="78"/>
      <c r="U30" s="85"/>
      <c r="V30" s="85"/>
      <c r="W30" s="85"/>
      <c r="X30" s="85"/>
    </row>
    <row r="31" spans="2:24" ht="25.5" customHeight="1" thickBot="1" x14ac:dyDescent="0.25">
      <c r="B31" s="15" t="str">
        <f>IF('3. Rate Classes'!Q29=1,'3. Rate Classes'!C29, 0)</f>
        <v>Standby Power - APPROVED ON AN INTERIM BASIS</v>
      </c>
      <c r="C31" s="8"/>
      <c r="D31" s="16" t="str">
        <f>IF(ISERROR(VLOOKUP($B31, '3. Rate Classes'!$C$24:$H$45,6,0)), "", VLOOKUP($B31, '3. Rate Classes'!$C$24:$H$45,6,0))</f>
        <v>kW</v>
      </c>
      <c r="F31" s="69">
        <f>VLOOKUP($B31, '11. Adj Network to Forecast WS'!$B$25:$R$48,17,0)</f>
        <v>0</v>
      </c>
      <c r="G31" s="57"/>
      <c r="H31" s="69">
        <f>VLOOKUP($B31, '12. Adj Conn. to Forecast WS'!$B$25:$R$48,17,0)</f>
        <v>0</v>
      </c>
      <c r="I31" s="68"/>
      <c r="J31" s="79"/>
      <c r="K31" s="80"/>
      <c r="L31" s="81"/>
      <c r="M31" s="82"/>
      <c r="N31" s="83"/>
      <c r="O31" s="78"/>
      <c r="P31" s="81"/>
      <c r="Q31" s="78"/>
      <c r="R31" s="75"/>
      <c r="S31" s="78"/>
      <c r="T31" s="78"/>
      <c r="U31" s="85"/>
      <c r="V31" s="85"/>
      <c r="W31" s="85"/>
      <c r="X31" s="85"/>
    </row>
    <row r="32" spans="2:24" ht="25.5" customHeight="1" thickBot="1" x14ac:dyDescent="0.25">
      <c r="B32" s="15" t="str">
        <f>IF('3. Rate Classes'!Q30=1,'3. Rate Classes'!C30, 0)</f>
        <v>Large Use</v>
      </c>
      <c r="C32" s="8"/>
      <c r="D32" s="16" t="str">
        <f>IF(ISERROR(VLOOKUP($B32, '3. Rate Classes'!$C$24:$H$45,6,0)), "", VLOOKUP($B32, '3. Rate Classes'!$C$24:$H$45,6,0))</f>
        <v>kW</v>
      </c>
      <c r="F32" s="69">
        <f>VLOOKUP($B32, '11. Adj Network to Forecast WS'!$B$25:$R$48,17,0)</f>
        <v>3.1970156489333523</v>
      </c>
      <c r="G32" s="57"/>
      <c r="H32" s="69">
        <f>VLOOKUP($B32, '12. Adj Conn. to Forecast WS'!$B$25:$R$48,17,0)</f>
        <v>2.5760019841762576</v>
      </c>
      <c r="I32" s="68"/>
      <c r="J32" s="79"/>
      <c r="K32" s="80"/>
      <c r="L32" s="81"/>
      <c r="M32" s="82"/>
      <c r="N32" s="83"/>
      <c r="O32" s="78"/>
      <c r="P32" s="81"/>
      <c r="Q32" s="78"/>
      <c r="R32" s="75"/>
      <c r="S32" s="78"/>
      <c r="T32" s="78"/>
      <c r="U32" s="85"/>
      <c r="V32" s="85"/>
      <c r="W32" s="85"/>
      <c r="X32" s="85"/>
    </row>
    <row r="33" spans="2:24" ht="25.5" customHeight="1" thickBot="1" x14ac:dyDescent="0.25">
      <c r="B33" s="15" t="str">
        <f>IF('3. Rate Classes'!Q31=1,'3. Rate Classes'!C31, 0)</f>
        <v>Street Lighting</v>
      </c>
      <c r="C33" s="8"/>
      <c r="D33" s="16" t="str">
        <f>IF(ISERROR(VLOOKUP($B33, '3. Rate Classes'!$C$24:$H$45,6,0)), "", VLOOKUP($B33, '3. Rate Classes'!$C$24:$H$45,6,0))</f>
        <v>kW</v>
      </c>
      <c r="F33" s="69">
        <f>VLOOKUP($B33, '11. Adj Network to Forecast WS'!$B$25:$R$48,17,0)</f>
        <v>2.142960144135921</v>
      </c>
      <c r="G33" s="57"/>
      <c r="H33" s="69">
        <f>VLOOKUP($B33, '12. Adj Conn. to Forecast WS'!$B$25:$R$48,17,0)</f>
        <v>1.6278108095137729</v>
      </c>
      <c r="I33" s="68"/>
      <c r="J33" s="79"/>
      <c r="K33" s="80"/>
      <c r="L33" s="81"/>
      <c r="M33" s="82"/>
      <c r="N33" s="83"/>
      <c r="O33" s="78"/>
      <c r="P33" s="81"/>
      <c r="Q33" s="78"/>
      <c r="R33" s="75"/>
      <c r="S33" s="78"/>
      <c r="T33" s="78"/>
      <c r="U33" s="85"/>
      <c r="V33" s="85"/>
      <c r="W33" s="85"/>
      <c r="X33" s="85"/>
    </row>
    <row r="34" spans="2:24" ht="25.5" customHeight="1" thickBot="1" x14ac:dyDescent="0.25">
      <c r="B34" s="15" t="str">
        <f>IF('3. Rate Classes'!Q32=1,'3. Rate Classes'!C32, 0)</f>
        <v>Sentinel Lighting</v>
      </c>
      <c r="C34" s="8"/>
      <c r="D34" s="16" t="str">
        <f>IF(ISERROR(VLOOKUP($B34, '3. Rate Classes'!$C$24:$H$45,6,0)), "", VLOOKUP($B34, '3. Rate Classes'!$C$24:$H$45,6,0))</f>
        <v>kW</v>
      </c>
      <c r="F34" s="69">
        <f>VLOOKUP($B34, '11. Adj Network to Forecast WS'!$B$25:$R$48,17,0)</f>
        <v>2.1458904016949285</v>
      </c>
      <c r="G34" s="57"/>
      <c r="H34" s="69">
        <f>VLOOKUP($B34, '12. Adj Conn. to Forecast WS'!$B$25:$R$48,17,0)</f>
        <v>1.6298585058445962</v>
      </c>
      <c r="I34" s="68"/>
      <c r="J34" s="79"/>
      <c r="K34" s="80"/>
      <c r="L34" s="81"/>
      <c r="M34" s="82"/>
      <c r="N34" s="83"/>
      <c r="O34" s="78"/>
      <c r="P34" s="81"/>
      <c r="Q34" s="78"/>
      <c r="R34" s="75"/>
      <c r="S34" s="78"/>
      <c r="T34" s="78"/>
      <c r="U34" s="85"/>
      <c r="V34" s="85"/>
      <c r="W34" s="85"/>
      <c r="X34" s="85"/>
    </row>
    <row r="35" spans="2:24" ht="25.5" customHeight="1" thickBot="1" x14ac:dyDescent="0.25">
      <c r="B35" s="15" t="str">
        <f>IF('3. Rate Classes'!Q33=1,'3. Rate Classes'!C33, 0)</f>
        <v>Unmetered Scattered Load</v>
      </c>
      <c r="C35" s="8"/>
      <c r="D35" s="16" t="str">
        <f>IF(ISERROR(VLOOKUP($B35, '3. Rate Classes'!$C$24:$H$45,6,0)), "", VLOOKUP($B35, '3. Rate Classes'!$C$24:$H$45,6,0))</f>
        <v>kWh</v>
      </c>
      <c r="F35" s="69">
        <f>VLOOKUP($B35, '11. Adj Network to Forecast WS'!$B$25:$R$48,17,0)</f>
        <v>6.9070356748044525E-3</v>
      </c>
      <c r="G35" s="57"/>
      <c r="H35" s="69">
        <f>VLOOKUP($B35, '12. Adj Conn. to Forecast WS'!$B$25:$R$48,17,0)</f>
        <v>4.9575805904153569E-3</v>
      </c>
      <c r="I35" s="68"/>
      <c r="J35" s="79"/>
      <c r="K35" s="80"/>
      <c r="L35" s="81"/>
      <c r="M35" s="82"/>
      <c r="N35" s="83"/>
      <c r="O35" s="78"/>
      <c r="P35" s="81"/>
      <c r="Q35" s="78"/>
      <c r="R35" s="75"/>
      <c r="S35" s="78"/>
      <c r="T35" s="78"/>
      <c r="U35" s="85"/>
      <c r="V35" s="85"/>
      <c r="W35" s="85"/>
      <c r="X35" s="85"/>
    </row>
    <row r="36" spans="2:24" ht="25.5" hidden="1" customHeight="1" thickBot="1" x14ac:dyDescent="0.25">
      <c r="B36" s="15">
        <f>IF('3. Rate Classes'!Q34=1,'3. Rate Classes'!C34, 0)</f>
        <v>0</v>
      </c>
      <c r="C36" s="8"/>
      <c r="D36" s="16" t="str">
        <f>IF(ISERROR(VLOOKUP($B36, '3. Rate Classes'!$C$24:$H$45,6,0)), "", VLOOKUP($B36, '3. Rate Classes'!$C$24:$H$45,6,0))</f>
        <v/>
      </c>
      <c r="F36" s="69" t="str">
        <f>VLOOKUP($B36, '11. Adj Network to Forecast WS'!$B$25:$R$48,17,0)</f>
        <v/>
      </c>
      <c r="G36" s="57"/>
      <c r="H36" s="69" t="str">
        <f>VLOOKUP($B36, '12. Adj Conn. to Forecast WS'!$B$25:$R$48,17,0)</f>
        <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1" type="noConversion"/>
  <pageMargins left="0.74803149606299213" right="0.74803149606299213" top="0.98425196850393704" bottom="0.98425196850393704" header="0.51181102362204722" footer="0.51181102362204722"/>
  <pageSetup scale="70" orientation="landscape" r:id="rId1"/>
  <headerFooter alignWithMargins="0">
    <oddFooter>&amp;L&amp;A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General Service 50 to 4,999 kW – Interval Metered</v>
      </c>
      <c r="B4" s="4">
        <v>4</v>
      </c>
    </row>
    <row r="5" spans="1:4" x14ac:dyDescent="0.2">
      <c r="A5" s="4" t="str">
        <f>IF('3. Rate Classes'!Q28=1, '3. Rate Classes'!C28, "")</f>
        <v>General Service 1,000 To 4,999 kW (co-generation)</v>
      </c>
      <c r="B5" s="4">
        <v>5</v>
      </c>
    </row>
    <row r="6" spans="1:4" x14ac:dyDescent="0.2">
      <c r="A6" s="4" t="str">
        <f>IF('3. Rate Classes'!Q29=1, '3. Rate Classes'!C29, "")</f>
        <v>Standby Power - APPROVED ON AN INTERIM BASIS</v>
      </c>
      <c r="B6" s="4">
        <v>6</v>
      </c>
    </row>
    <row r="7" spans="1:4" x14ac:dyDescent="0.2">
      <c r="A7" s="4" t="str">
        <f>IF('3. Rate Classes'!Q30=1, '3. Rate Classes'!C30, "")</f>
        <v>Large Use</v>
      </c>
      <c r="B7" s="4">
        <v>7</v>
      </c>
    </row>
    <row r="8" spans="1:4" x14ac:dyDescent="0.2">
      <c r="A8" s="4" t="str">
        <f>IF('3. Rate Classes'!Q31=1, '3. Rate Classes'!C31, "")</f>
        <v>Street Lighting</v>
      </c>
      <c r="B8" s="4">
        <v>8</v>
      </c>
    </row>
    <row r="9" spans="1:4" x14ac:dyDescent="0.2">
      <c r="A9" s="4" t="str">
        <f>IF('3. Rate Classes'!Q32=1, '3. Rate Classes'!C32, "")</f>
        <v>Sentinel Lighting</v>
      </c>
      <c r="B9" s="4">
        <v>9</v>
      </c>
    </row>
    <row r="10" spans="1:4" x14ac:dyDescent="0.2">
      <c r="A10" s="4" t="str">
        <f>IF('3. Rate Classes'!Q33=1, '3. Rate Classes'!C33, "")</f>
        <v>Unmetered Scattered Load</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election activeCell="I32" sqref="I32"/>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3" t="s">
        <v>140</v>
      </c>
      <c r="E20" s="8"/>
      <c r="F20" s="8"/>
      <c r="G20" s="8"/>
      <c r="H20" s="8"/>
      <c r="I20" s="153" t="s">
        <v>146</v>
      </c>
      <c r="J20" s="8"/>
      <c r="K20" s="8"/>
      <c r="L20" s="8"/>
      <c r="M20" s="8"/>
    </row>
    <row r="21" spans="3:13" s="74" customFormat="1" ht="15.75" x14ac:dyDescent="0.25">
      <c r="C21" s="8"/>
      <c r="D21" s="139"/>
      <c r="E21" s="8"/>
      <c r="F21" s="8"/>
      <c r="G21" s="8"/>
      <c r="H21" s="8"/>
      <c r="I21" s="139"/>
      <c r="J21" s="8"/>
      <c r="K21" s="8"/>
      <c r="L21" s="8"/>
      <c r="M21" s="8"/>
    </row>
    <row r="22" spans="3:13" s="74" customFormat="1" ht="15.75" x14ac:dyDescent="0.25">
      <c r="C22" s="8"/>
      <c r="D22" s="153" t="s">
        <v>141</v>
      </c>
      <c r="E22" s="8"/>
      <c r="F22" s="8"/>
      <c r="G22" s="8"/>
      <c r="H22" s="8"/>
      <c r="I22" s="153" t="s">
        <v>147</v>
      </c>
      <c r="J22" s="8"/>
      <c r="K22" s="8"/>
      <c r="L22" s="8"/>
      <c r="M22" s="8"/>
    </row>
    <row r="23" spans="3:13" s="74" customFormat="1" ht="15.75" x14ac:dyDescent="0.25">
      <c r="C23" s="8"/>
      <c r="D23" s="139"/>
      <c r="E23" s="8"/>
      <c r="F23" s="8"/>
      <c r="G23" s="8"/>
      <c r="H23" s="8"/>
      <c r="I23" s="139"/>
      <c r="J23" s="8"/>
      <c r="K23" s="8"/>
      <c r="L23" s="8"/>
      <c r="M23" s="8"/>
    </row>
    <row r="24" spans="3:13" s="74" customFormat="1" ht="15.75" x14ac:dyDescent="0.25">
      <c r="C24" s="8"/>
      <c r="D24" s="153" t="s">
        <v>142</v>
      </c>
      <c r="E24" s="8"/>
      <c r="F24" s="8"/>
      <c r="G24" s="8"/>
      <c r="H24" s="8"/>
      <c r="I24" s="153" t="s">
        <v>148</v>
      </c>
      <c r="J24" s="8"/>
      <c r="K24" s="8"/>
      <c r="L24" s="8"/>
      <c r="M24" s="8"/>
    </row>
    <row r="25" spans="3:13" s="74" customFormat="1" ht="15.75" x14ac:dyDescent="0.25">
      <c r="C25" s="8"/>
      <c r="D25" s="139"/>
      <c r="E25" s="8"/>
      <c r="F25" s="8"/>
      <c r="G25" s="8"/>
      <c r="H25" s="8"/>
      <c r="I25" s="139"/>
      <c r="J25" s="8"/>
      <c r="K25" s="8"/>
      <c r="L25" s="8"/>
      <c r="M25" s="8"/>
    </row>
    <row r="26" spans="3:13" s="74" customFormat="1" ht="15.75" x14ac:dyDescent="0.25">
      <c r="C26" s="8"/>
      <c r="D26" s="153" t="s">
        <v>143</v>
      </c>
      <c r="E26" s="8"/>
      <c r="F26" s="8"/>
      <c r="G26" s="8"/>
      <c r="H26" s="8"/>
      <c r="I26" s="153" t="s">
        <v>149</v>
      </c>
      <c r="J26" s="8"/>
      <c r="K26" s="8"/>
      <c r="L26" s="8"/>
      <c r="M26" s="8"/>
    </row>
    <row r="27" spans="3:13" s="74" customFormat="1" ht="15.75" x14ac:dyDescent="0.25">
      <c r="C27" s="8"/>
      <c r="D27" s="139"/>
      <c r="E27" s="8"/>
      <c r="F27" s="8"/>
      <c r="G27" s="8"/>
      <c r="H27" s="8"/>
      <c r="I27" s="139"/>
      <c r="J27" s="8"/>
      <c r="K27" s="8"/>
      <c r="L27" s="8"/>
      <c r="M27" s="8"/>
    </row>
    <row r="28" spans="3:13" s="74" customFormat="1" ht="15.75" x14ac:dyDescent="0.25">
      <c r="C28" s="8"/>
      <c r="D28" s="153" t="s">
        <v>144</v>
      </c>
      <c r="E28" s="8"/>
      <c r="F28" s="8"/>
      <c r="G28" s="8"/>
      <c r="H28" s="8"/>
      <c r="I28" s="153" t="s">
        <v>150</v>
      </c>
      <c r="J28" s="8"/>
      <c r="K28" s="8"/>
      <c r="L28" s="8"/>
      <c r="M28" s="8"/>
    </row>
    <row r="29" spans="3:13" s="74" customFormat="1" ht="15.75" x14ac:dyDescent="0.25">
      <c r="C29" s="8"/>
      <c r="D29" s="139"/>
      <c r="E29" s="8"/>
      <c r="F29" s="8"/>
      <c r="G29" s="8"/>
      <c r="H29" s="8"/>
      <c r="I29" s="139"/>
      <c r="J29" s="8"/>
      <c r="K29" s="8"/>
      <c r="L29" s="8"/>
      <c r="M29" s="8"/>
    </row>
    <row r="30" spans="3:13" s="74" customFormat="1" ht="15.75" x14ac:dyDescent="0.25">
      <c r="C30" s="8"/>
      <c r="D30" s="153" t="s">
        <v>145</v>
      </c>
      <c r="E30" s="8"/>
      <c r="F30" s="8"/>
      <c r="G30" s="8"/>
      <c r="H30" s="8"/>
      <c r="I30" s="153"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3"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4803149606299213" right="0.74803149606299213" top="0.98425196850393704" bottom="0.98425196850393704" header="0.51181102362204722" footer="0.51181102362204722"/>
  <pageSetup scale="84" orientation="landscape" r:id="rId1"/>
  <headerFooter alignWithMargins="0">
    <oddFooter>&amp;L&amp;A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pane="bottomLeft" activeCell="M32" sqref="M32:N32"/>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98" t="s">
        <v>242</v>
      </c>
      <c r="D13" s="198"/>
      <c r="E13" s="198"/>
      <c r="F13" s="198"/>
      <c r="G13" s="198"/>
      <c r="H13" s="198"/>
      <c r="I13" s="198"/>
      <c r="J13" s="198"/>
      <c r="K13" s="198"/>
      <c r="L13" s="198"/>
      <c r="M13" s="198"/>
      <c r="N13" s="198"/>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39" t="s">
        <v>208</v>
      </c>
      <c r="D22" s="139"/>
      <c r="E22" s="139"/>
      <c r="F22" s="139"/>
      <c r="G22" s="139"/>
      <c r="H22" s="139" t="s">
        <v>209</v>
      </c>
      <c r="I22" s="139"/>
      <c r="J22" s="139" t="s">
        <v>243</v>
      </c>
      <c r="K22" s="139"/>
      <c r="L22" s="139"/>
      <c r="M22" s="139" t="s">
        <v>244</v>
      </c>
    </row>
    <row r="24" spans="3:28" x14ac:dyDescent="0.2">
      <c r="C24" s="197" t="s">
        <v>29</v>
      </c>
      <c r="D24" s="197"/>
      <c r="E24" s="197"/>
      <c r="F24" s="197"/>
      <c r="G24" s="10"/>
      <c r="H24" s="3" t="s">
        <v>271</v>
      </c>
      <c r="I24" s="14"/>
      <c r="J24" s="196">
        <v>7.1000000000000004E-3</v>
      </c>
      <c r="K24" s="196"/>
      <c r="L24" s="7"/>
      <c r="M24" s="196">
        <v>5.3E-3</v>
      </c>
      <c r="N24" s="196"/>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97" t="s">
        <v>31</v>
      </c>
      <c r="D25" s="197"/>
      <c r="E25" s="197"/>
      <c r="F25" s="197"/>
      <c r="G25" s="10"/>
      <c r="H25" s="151" t="s">
        <v>271</v>
      </c>
      <c r="I25" s="6"/>
      <c r="J25" s="195">
        <v>6.6E-3</v>
      </c>
      <c r="K25" s="195"/>
      <c r="L25" s="8"/>
      <c r="M25" s="195">
        <v>4.5999999999999999E-3</v>
      </c>
      <c r="N25" s="195"/>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97" t="s">
        <v>70</v>
      </c>
      <c r="D26" s="197"/>
      <c r="E26" s="197"/>
      <c r="F26" s="197"/>
      <c r="G26" s="10"/>
      <c r="H26" s="151" t="s">
        <v>113</v>
      </c>
      <c r="I26" s="6"/>
      <c r="J26" s="195">
        <v>2.3256000000000001</v>
      </c>
      <c r="K26" s="195"/>
      <c r="L26" s="8"/>
      <c r="M26" s="195">
        <v>1.7153</v>
      </c>
      <c r="N26" s="195"/>
      <c r="Q26">
        <f t="shared" si="0"/>
        <v>1</v>
      </c>
      <c r="R26" t="str">
        <f t="shared" si="1"/>
        <v>C26</v>
      </c>
      <c r="S26" t="str">
        <f t="shared" si="2"/>
        <v/>
      </c>
      <c r="AB26" t="s">
        <v>33</v>
      </c>
    </row>
    <row r="27" spans="3:28" x14ac:dyDescent="0.2">
      <c r="C27" s="197" t="s">
        <v>71</v>
      </c>
      <c r="D27" s="197"/>
      <c r="E27" s="197"/>
      <c r="F27" s="197"/>
      <c r="G27" s="10"/>
      <c r="H27" s="151" t="s">
        <v>113</v>
      </c>
      <c r="I27" s="6"/>
      <c r="J27" s="195">
        <v>2.9823</v>
      </c>
      <c r="K27" s="195"/>
      <c r="L27" s="8"/>
      <c r="M27" s="195">
        <v>2.3902000000000001</v>
      </c>
      <c r="N27" s="195"/>
      <c r="Q27">
        <f t="shared" si="0"/>
        <v>1</v>
      </c>
      <c r="R27" t="str">
        <f t="shared" si="1"/>
        <v>C27</v>
      </c>
      <c r="S27" t="str">
        <f t="shared" si="2"/>
        <v/>
      </c>
      <c r="AB27" t="s">
        <v>35</v>
      </c>
    </row>
    <row r="28" spans="3:28" x14ac:dyDescent="0.2">
      <c r="C28" s="197" t="s">
        <v>79</v>
      </c>
      <c r="D28" s="197"/>
      <c r="E28" s="197"/>
      <c r="F28" s="197"/>
      <c r="G28" s="10"/>
      <c r="H28" s="151" t="s">
        <v>113</v>
      </c>
      <c r="I28" s="6"/>
      <c r="J28" s="195">
        <v>3.4428000000000001</v>
      </c>
      <c r="K28" s="195"/>
      <c r="L28" s="8"/>
      <c r="M28" s="195">
        <v>2.5284</v>
      </c>
      <c r="N28" s="195"/>
      <c r="Q28">
        <f t="shared" si="0"/>
        <v>1</v>
      </c>
      <c r="R28" t="str">
        <f t="shared" si="1"/>
        <v>C28</v>
      </c>
      <c r="S28" t="str">
        <f t="shared" si="2"/>
        <v/>
      </c>
      <c r="AB28" t="s">
        <v>37</v>
      </c>
    </row>
    <row r="29" spans="3:28" x14ac:dyDescent="0.2">
      <c r="C29" s="197" t="s">
        <v>105</v>
      </c>
      <c r="D29" s="197"/>
      <c r="E29" s="197"/>
      <c r="F29" s="197"/>
      <c r="G29" s="10"/>
      <c r="H29" s="151" t="s">
        <v>113</v>
      </c>
      <c r="I29" s="6"/>
      <c r="J29" s="195"/>
      <c r="K29" s="195"/>
      <c r="L29" s="8"/>
      <c r="M29" s="195"/>
      <c r="N29" s="195"/>
      <c r="Q29">
        <f t="shared" si="0"/>
        <v>1</v>
      </c>
      <c r="R29" t="str">
        <f t="shared" si="1"/>
        <v>C29</v>
      </c>
      <c r="S29" t="str">
        <f t="shared" si="2"/>
        <v/>
      </c>
      <c r="AB29" t="s">
        <v>39</v>
      </c>
    </row>
    <row r="30" spans="3:28" x14ac:dyDescent="0.2">
      <c r="C30" s="197" t="s">
        <v>36</v>
      </c>
      <c r="D30" s="197"/>
      <c r="E30" s="197"/>
      <c r="F30" s="197"/>
      <c r="G30" s="10"/>
      <c r="H30" s="151" t="s">
        <v>113</v>
      </c>
      <c r="I30" s="6"/>
      <c r="J30" s="195">
        <v>3.0548999999999999</v>
      </c>
      <c r="K30" s="195"/>
      <c r="L30" s="8"/>
      <c r="M30" s="195">
        <v>2.3902000000000001</v>
      </c>
      <c r="N30" s="195"/>
      <c r="Q30">
        <f t="shared" si="0"/>
        <v>1</v>
      </c>
      <c r="R30" t="str">
        <f t="shared" si="1"/>
        <v>C30</v>
      </c>
      <c r="S30" t="str">
        <f t="shared" si="2"/>
        <v/>
      </c>
      <c r="AB30" t="s">
        <v>41</v>
      </c>
    </row>
    <row r="31" spans="3:28" x14ac:dyDescent="0.2">
      <c r="C31" s="197" t="s">
        <v>42</v>
      </c>
      <c r="D31" s="197"/>
      <c r="E31" s="197"/>
      <c r="F31" s="197"/>
      <c r="G31" s="10"/>
      <c r="H31" s="151" t="s">
        <v>113</v>
      </c>
      <c r="I31" s="6"/>
      <c r="J31" s="195">
        <v>2.0476999999999999</v>
      </c>
      <c r="K31" s="195"/>
      <c r="L31" s="8"/>
      <c r="M31" s="195">
        <v>1.5104</v>
      </c>
      <c r="N31" s="195"/>
      <c r="Q31">
        <f t="shared" si="0"/>
        <v>1</v>
      </c>
      <c r="R31" t="str">
        <f t="shared" si="1"/>
        <v>C31</v>
      </c>
      <c r="S31" t="str">
        <f t="shared" si="2"/>
        <v/>
      </c>
      <c r="AB31" t="s">
        <v>43</v>
      </c>
    </row>
    <row r="32" spans="3:28" x14ac:dyDescent="0.2">
      <c r="C32" s="197" t="s">
        <v>40</v>
      </c>
      <c r="D32" s="197"/>
      <c r="E32" s="197"/>
      <c r="F32" s="197"/>
      <c r="G32" s="10"/>
      <c r="H32" s="151" t="s">
        <v>113</v>
      </c>
      <c r="I32" s="6"/>
      <c r="J32" s="195">
        <v>2.0505</v>
      </c>
      <c r="K32" s="195"/>
      <c r="L32" s="8"/>
      <c r="M32" s="195">
        <v>1.5123</v>
      </c>
      <c r="N32" s="195"/>
      <c r="Q32">
        <f t="shared" si="0"/>
        <v>1</v>
      </c>
      <c r="R32" t="str">
        <f t="shared" si="1"/>
        <v>C32</v>
      </c>
      <c r="S32" t="str">
        <f t="shared" si="2"/>
        <v/>
      </c>
      <c r="AB32" t="s">
        <v>44</v>
      </c>
    </row>
    <row r="33" spans="3:28" x14ac:dyDescent="0.2">
      <c r="C33" s="197" t="s">
        <v>38</v>
      </c>
      <c r="D33" s="197"/>
      <c r="E33" s="197"/>
      <c r="F33" s="197"/>
      <c r="G33" s="10"/>
      <c r="H33" s="151" t="s">
        <v>271</v>
      </c>
      <c r="I33" s="6"/>
      <c r="J33" s="195">
        <v>6.6E-3</v>
      </c>
      <c r="K33" s="195"/>
      <c r="L33" s="8"/>
      <c r="M33" s="195">
        <v>4.5999999999999999E-3</v>
      </c>
      <c r="N33" s="195"/>
      <c r="Q33">
        <f t="shared" si="0"/>
        <v>1</v>
      </c>
      <c r="R33" t="str">
        <f t="shared" si="1"/>
        <v>C33</v>
      </c>
      <c r="S33" t="str">
        <f t="shared" si="2"/>
        <v/>
      </c>
      <c r="AB33" t="s">
        <v>45</v>
      </c>
    </row>
    <row r="34" spans="3:28" x14ac:dyDescent="0.2">
      <c r="C34" s="197" t="s">
        <v>30</v>
      </c>
      <c r="D34" s="197"/>
      <c r="E34" s="197"/>
      <c r="F34" s="197"/>
      <c r="G34" s="10"/>
      <c r="H34" s="152"/>
      <c r="I34" s="6"/>
      <c r="J34" s="195"/>
      <c r="K34" s="195"/>
      <c r="L34" s="8"/>
      <c r="M34" s="195"/>
      <c r="N34" s="195"/>
      <c r="Q34">
        <f t="shared" si="0"/>
        <v>0</v>
      </c>
      <c r="R34" t="str">
        <f t="shared" si="1"/>
        <v>C34</v>
      </c>
      <c r="S34" t="str">
        <f t="shared" si="2"/>
        <v/>
      </c>
      <c r="AB34" t="s">
        <v>46</v>
      </c>
    </row>
    <row r="35" spans="3:28" x14ac:dyDescent="0.2">
      <c r="C35" s="197" t="s">
        <v>30</v>
      </c>
      <c r="D35" s="197"/>
      <c r="E35" s="197"/>
      <c r="F35" s="197"/>
      <c r="G35" s="10"/>
      <c r="H35" s="152"/>
      <c r="I35" s="6"/>
      <c r="J35" s="195"/>
      <c r="K35" s="195"/>
      <c r="L35" s="8"/>
      <c r="M35" s="195"/>
      <c r="N35" s="195"/>
      <c r="Q35">
        <f t="shared" si="0"/>
        <v>0</v>
      </c>
      <c r="R35" t="str">
        <f t="shared" si="1"/>
        <v>C35</v>
      </c>
      <c r="S35" t="str">
        <f t="shared" si="2"/>
        <v/>
      </c>
      <c r="AB35" t="s">
        <v>47</v>
      </c>
    </row>
    <row r="36" spans="3:28" x14ac:dyDescent="0.2">
      <c r="C36" s="197" t="s">
        <v>30</v>
      </c>
      <c r="D36" s="197"/>
      <c r="E36" s="197"/>
      <c r="F36" s="197"/>
      <c r="G36" s="10"/>
      <c r="H36" s="152"/>
      <c r="I36" s="6"/>
      <c r="J36" s="195"/>
      <c r="K36" s="195"/>
      <c r="L36" s="8"/>
      <c r="M36" s="195"/>
      <c r="N36" s="195"/>
      <c r="Q36">
        <f t="shared" si="0"/>
        <v>0</v>
      </c>
      <c r="R36" t="str">
        <f t="shared" si="1"/>
        <v>C36</v>
      </c>
      <c r="S36" t="str">
        <f t="shared" si="2"/>
        <v/>
      </c>
      <c r="AB36" t="s">
        <v>48</v>
      </c>
    </row>
    <row r="37" spans="3:28" x14ac:dyDescent="0.2">
      <c r="C37" s="197" t="s">
        <v>30</v>
      </c>
      <c r="D37" s="197"/>
      <c r="E37" s="197"/>
      <c r="F37" s="197"/>
      <c r="G37" s="10"/>
      <c r="H37" s="152"/>
      <c r="I37" s="6"/>
      <c r="J37" s="195"/>
      <c r="K37" s="195"/>
      <c r="L37" s="8"/>
      <c r="M37" s="195"/>
      <c r="N37" s="195"/>
      <c r="Q37">
        <f t="shared" si="0"/>
        <v>0</v>
      </c>
      <c r="R37" t="str">
        <f t="shared" si="1"/>
        <v>C37</v>
      </c>
      <c r="S37" t="str">
        <f t="shared" si="2"/>
        <v/>
      </c>
      <c r="AB37" t="s">
        <v>49</v>
      </c>
    </row>
    <row r="38" spans="3:28" x14ac:dyDescent="0.2">
      <c r="C38" s="197" t="s">
        <v>30</v>
      </c>
      <c r="D38" s="197"/>
      <c r="E38" s="197"/>
      <c r="F38" s="197"/>
      <c r="G38" s="10"/>
      <c r="H38" s="152"/>
      <c r="I38" s="6"/>
      <c r="J38" s="195"/>
      <c r="K38" s="195"/>
      <c r="L38" s="8"/>
      <c r="M38" s="195"/>
      <c r="N38" s="195"/>
      <c r="Q38">
        <f t="shared" si="0"/>
        <v>0</v>
      </c>
      <c r="R38" t="str">
        <f t="shared" si="1"/>
        <v>C38</v>
      </c>
      <c r="S38" t="str">
        <f t="shared" si="2"/>
        <v/>
      </c>
      <c r="AB38" t="s">
        <v>50</v>
      </c>
    </row>
    <row r="39" spans="3:28" x14ac:dyDescent="0.2">
      <c r="C39" s="197" t="s">
        <v>30</v>
      </c>
      <c r="D39" s="197"/>
      <c r="E39" s="197"/>
      <c r="F39" s="197"/>
      <c r="G39" s="10"/>
      <c r="H39" s="152"/>
      <c r="I39" s="6"/>
      <c r="J39" s="195"/>
      <c r="K39" s="195"/>
      <c r="L39" s="8"/>
      <c r="M39" s="195"/>
      <c r="N39" s="195"/>
      <c r="Q39">
        <f t="shared" si="0"/>
        <v>0</v>
      </c>
      <c r="R39" t="str">
        <f t="shared" si="1"/>
        <v>C39</v>
      </c>
      <c r="S39" t="str">
        <f t="shared" si="2"/>
        <v/>
      </c>
    </row>
    <row r="40" spans="3:28" x14ac:dyDescent="0.2">
      <c r="C40" s="197" t="s">
        <v>30</v>
      </c>
      <c r="D40" s="197"/>
      <c r="E40" s="197"/>
      <c r="F40" s="197"/>
      <c r="G40" s="10"/>
      <c r="H40" s="152"/>
      <c r="I40" s="6"/>
      <c r="J40" s="195"/>
      <c r="K40" s="195"/>
      <c r="L40" s="8"/>
      <c r="M40" s="195"/>
      <c r="N40" s="195"/>
      <c r="Q40">
        <f t="shared" si="0"/>
        <v>0</v>
      </c>
      <c r="R40" t="str">
        <f t="shared" si="1"/>
        <v>C40</v>
      </c>
      <c r="S40" t="str">
        <f t="shared" si="2"/>
        <v/>
      </c>
      <c r="AB40" t="s">
        <v>31</v>
      </c>
    </row>
    <row r="41" spans="3:28" x14ac:dyDescent="0.2">
      <c r="C41" s="197" t="s">
        <v>30</v>
      </c>
      <c r="D41" s="197"/>
      <c r="E41" s="197"/>
      <c r="F41" s="197"/>
      <c r="G41" s="10"/>
      <c r="H41" s="152"/>
      <c r="I41" s="6"/>
      <c r="J41" s="195"/>
      <c r="K41" s="195"/>
      <c r="L41" s="8"/>
      <c r="M41" s="195"/>
      <c r="N41" s="195"/>
      <c r="Q41">
        <f t="shared" si="0"/>
        <v>0</v>
      </c>
      <c r="R41" t="str">
        <f t="shared" si="1"/>
        <v>C41</v>
      </c>
      <c r="S41" t="str">
        <f t="shared" si="2"/>
        <v/>
      </c>
      <c r="AB41" t="s">
        <v>51</v>
      </c>
    </row>
    <row r="42" spans="3:28" x14ac:dyDescent="0.2">
      <c r="C42" s="197" t="s">
        <v>30</v>
      </c>
      <c r="D42" s="197"/>
      <c r="E42" s="197"/>
      <c r="F42" s="197"/>
      <c r="G42" s="10"/>
      <c r="H42" s="152"/>
      <c r="I42" s="6"/>
      <c r="J42" s="195"/>
      <c r="K42" s="195"/>
      <c r="L42" s="8"/>
      <c r="M42" s="195"/>
      <c r="N42" s="195"/>
      <c r="Q42">
        <f t="shared" si="0"/>
        <v>0</v>
      </c>
      <c r="R42" t="str">
        <f t="shared" si="1"/>
        <v>C42</v>
      </c>
      <c r="S42" t="str">
        <f t="shared" si="2"/>
        <v/>
      </c>
      <c r="AB42" t="s">
        <v>52</v>
      </c>
    </row>
    <row r="43" spans="3:28" x14ac:dyDescent="0.2">
      <c r="C43" s="197" t="s">
        <v>30</v>
      </c>
      <c r="D43" s="197"/>
      <c r="E43" s="197"/>
      <c r="F43" s="197"/>
      <c r="G43" s="10"/>
      <c r="H43" s="152"/>
      <c r="I43" s="6"/>
      <c r="J43" s="195"/>
      <c r="K43" s="195"/>
      <c r="L43" s="8"/>
      <c r="M43" s="195"/>
      <c r="N43" s="195"/>
      <c r="Q43">
        <f t="shared" si="0"/>
        <v>0</v>
      </c>
      <c r="R43" t="str">
        <f t="shared" si="1"/>
        <v>C43</v>
      </c>
      <c r="S43" t="str">
        <f t="shared" si="2"/>
        <v/>
      </c>
      <c r="AB43" t="s">
        <v>53</v>
      </c>
    </row>
    <row r="44" spans="3:28" x14ac:dyDescent="0.2">
      <c r="C44" s="197" t="s">
        <v>30</v>
      </c>
      <c r="D44" s="197"/>
      <c r="E44" s="197"/>
      <c r="F44" s="197"/>
      <c r="G44" s="10"/>
      <c r="H44" s="152"/>
      <c r="I44" s="6"/>
      <c r="J44" s="195"/>
      <c r="K44" s="195"/>
      <c r="L44" s="8"/>
      <c r="M44" s="195"/>
      <c r="N44" s="195"/>
      <c r="Q44">
        <f t="shared" si="0"/>
        <v>0</v>
      </c>
      <c r="R44" t="str">
        <f t="shared" si="1"/>
        <v>C44</v>
      </c>
      <c r="S44" t="str">
        <f t="shared" si="2"/>
        <v/>
      </c>
      <c r="AB44" t="s">
        <v>54</v>
      </c>
    </row>
    <row r="45" spans="3:28" x14ac:dyDescent="0.2">
      <c r="C45" s="197" t="s">
        <v>30</v>
      </c>
      <c r="D45" s="197"/>
      <c r="E45" s="197"/>
      <c r="F45" s="197"/>
      <c r="G45" s="10"/>
      <c r="H45" s="152"/>
      <c r="I45" s="6"/>
      <c r="J45" s="195"/>
      <c r="K45" s="195"/>
      <c r="L45" s="8"/>
      <c r="M45" s="195"/>
      <c r="N45" s="195"/>
      <c r="Q45">
        <f t="shared" si="0"/>
        <v>0</v>
      </c>
      <c r="R45" t="str">
        <f t="shared" si="1"/>
        <v>C45</v>
      </c>
      <c r="S45" t="str">
        <f t="shared" si="2"/>
        <v/>
      </c>
      <c r="AB45" t="s">
        <v>55</v>
      </c>
    </row>
    <row r="46" spans="3:28" x14ac:dyDescent="0.2">
      <c r="C46" s="199"/>
      <c r="D46" s="199"/>
      <c r="E46" s="199"/>
      <c r="F46" s="199"/>
      <c r="G46" s="10"/>
      <c r="H46" s="10"/>
      <c r="S46">
        <f>COUNTIF(S24:S45, "x")</f>
        <v>0</v>
      </c>
      <c r="AB46" t="s">
        <v>56</v>
      </c>
    </row>
    <row r="47" spans="3:28" x14ac:dyDescent="0.2">
      <c r="C47" s="199"/>
      <c r="D47" s="199"/>
      <c r="E47" s="199"/>
      <c r="F47" s="199"/>
      <c r="G47" s="10"/>
      <c r="H47" s="10"/>
      <c r="AB47" t="s">
        <v>57</v>
      </c>
    </row>
    <row r="48" spans="3:28" x14ac:dyDescent="0.2">
      <c r="C48" s="199"/>
      <c r="D48" s="199"/>
      <c r="E48" s="199"/>
      <c r="F48" s="199"/>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disablePrompts="1"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4803149606299213" right="0.74803149606299213" top="0.98425196850393704" bottom="0.98425196850393704" header="0.51181102362204722" footer="0.51181102362204722"/>
  <pageSetup scale="77" orientation="landscape" r:id="rId1"/>
  <headerFooter alignWithMargins="0">
    <oddFooter>&amp;L&amp;A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workbookViewId="0">
      <pane ySplit="25" topLeftCell="A26" activePane="bottomLeft" state="frozenSplit"/>
      <selection pane="bottomLeft" activeCell="H48" sqref="H48:I48"/>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4" t="s">
        <v>241</v>
      </c>
      <c r="C13" s="204"/>
      <c r="D13" s="204"/>
      <c r="E13" s="204"/>
      <c r="F13" s="204"/>
      <c r="G13" s="204"/>
      <c r="H13" s="204"/>
      <c r="I13" s="204"/>
      <c r="J13" s="204"/>
      <c r="K13" s="204"/>
      <c r="L13" s="204"/>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7"/>
      <c r="C21" s="146"/>
      <c r="D21" s="148"/>
      <c r="E21" s="146"/>
      <c r="F21" s="146"/>
      <c r="G21" s="146"/>
      <c r="H21" s="146"/>
      <c r="I21" s="146"/>
      <c r="J21" s="203"/>
      <c r="K21" s="203"/>
      <c r="L21" s="146"/>
      <c r="M21" s="146"/>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7" t="s">
        <v>208</v>
      </c>
      <c r="C24" s="146"/>
      <c r="D24" s="148" t="s">
        <v>209</v>
      </c>
      <c r="E24" s="146"/>
      <c r="F24" s="146" t="s">
        <v>236</v>
      </c>
      <c r="G24" s="146" t="s">
        <v>237</v>
      </c>
      <c r="H24" s="146" t="s">
        <v>238</v>
      </c>
      <c r="I24" s="146"/>
      <c r="J24" s="203" t="s">
        <v>239</v>
      </c>
      <c r="K24" s="203"/>
      <c r="L24" s="146" t="s">
        <v>214</v>
      </c>
      <c r="M24" s="146"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62">
        <v>1103889962</v>
      </c>
      <c r="G27" s="149"/>
      <c r="H27" s="201">
        <v>1.0349999999999999</v>
      </c>
      <c r="I27" s="201"/>
      <c r="J27" s="202" t="str">
        <f t="shared" ref="J27:J32" si="0">IF(ISERROR(F27/(G27*30.4*24)), "", IF(D27="kW", F27/(G27*30.4*24), ""))</f>
        <v/>
      </c>
      <c r="K27" s="202"/>
      <c r="L27" s="97">
        <f>IF(OR(H27=0, OR(ISBLANK(H27), TRIM(H27)="")), F27, F27*H27)</f>
        <v>1142526110.6699998</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50">
        <v>400003533</v>
      </c>
      <c r="G28" s="150"/>
      <c r="H28" s="201">
        <v>1.0349999999999999</v>
      </c>
      <c r="I28" s="201"/>
      <c r="J28" s="202" t="str">
        <f t="shared" si="0"/>
        <v/>
      </c>
      <c r="K28" s="202"/>
      <c r="L28" s="97">
        <f t="shared" ref="L28:L48" si="1">IF(OR(H28=0, OR(ISBLANK(H28), TRIM(H28)="")), F28, F28*H28)</f>
        <v>414003656.65499997</v>
      </c>
      <c r="M28" s="97">
        <f t="shared" ref="M28:M48" si="2">IF(OR(H28=0, OR(ISBLANK(H28), TRIM(H28)="")), G28, G28)</f>
        <v>0</v>
      </c>
    </row>
    <row r="29" spans="2:14" ht="25.5" customHeight="1" thickBot="1" x14ac:dyDescent="0.25">
      <c r="B29" s="94" t="str">
        <f>IF('3. Rate Classes'!Q26=1,'3. Rate Classes'!C26, 0)</f>
        <v>General Service 50 to 4,999 kW</v>
      </c>
      <c r="C29" s="95"/>
      <c r="D29" s="96" t="str">
        <f>IF(OR(VLOOKUP($B29, '3. Rate Classes'!$C$24:$H$45,6,0)=0, ISERROR(VLOOKUP($B29, '3. Rate Classes'!$C$24:$H$45,6,0))), "", VLOOKUP($B29, '3. Rate Classes'!$C$24:$H$45,6,0))</f>
        <v>kW</v>
      </c>
      <c r="F29" s="150">
        <v>405941130</v>
      </c>
      <c r="G29" s="149">
        <v>1167979</v>
      </c>
      <c r="H29" s="200"/>
      <c r="I29" s="200"/>
      <c r="J29" s="202">
        <f t="shared" si="0"/>
        <v>0.47636867631812591</v>
      </c>
      <c r="K29" s="202"/>
      <c r="L29" s="97">
        <f t="shared" si="1"/>
        <v>405941130</v>
      </c>
      <c r="M29" s="97">
        <f t="shared" si="2"/>
        <v>1167979</v>
      </c>
    </row>
    <row r="30" spans="2:14" ht="25.5" customHeight="1" thickBot="1" x14ac:dyDescent="0.25">
      <c r="B30" s="94" t="str">
        <f>IF('3. Rate Classes'!Q27=1,'3. Rate Classes'!C27, 0)</f>
        <v>General Service 50 to 4,999 kW – Interval Metered</v>
      </c>
      <c r="C30" s="95"/>
      <c r="D30" s="96" t="str">
        <f>IF(OR(VLOOKUP($B30, '3. Rate Classes'!$C$24:$H$45,6,0)=0, ISERROR(VLOOKUP($B30, '3. Rate Classes'!$C$24:$H$45,6,0))), "", VLOOKUP($B30, '3. Rate Classes'!$C$24:$H$45,6,0))</f>
        <v>kW</v>
      </c>
      <c r="F30" s="150">
        <v>1089147192</v>
      </c>
      <c r="G30" s="150">
        <v>2662421</v>
      </c>
      <c r="H30" s="200"/>
      <c r="I30" s="200"/>
      <c r="J30" s="202">
        <f t="shared" si="0"/>
        <v>0.56069285347117492</v>
      </c>
      <c r="K30" s="202"/>
      <c r="L30" s="97">
        <f t="shared" si="1"/>
        <v>1089147192</v>
      </c>
      <c r="M30" s="97">
        <f t="shared" si="2"/>
        <v>2662421</v>
      </c>
    </row>
    <row r="31" spans="2:14" ht="25.5" customHeight="1" thickBot="1" x14ac:dyDescent="0.25">
      <c r="B31" s="94" t="str">
        <f>IF('3. Rate Classes'!Q28=1,'3. Rate Classes'!C28, 0)</f>
        <v>General Service 1,000 To 4,999 kW (co-generation)</v>
      </c>
      <c r="C31" s="95"/>
      <c r="D31" s="96" t="str">
        <f>IF(OR(VLOOKUP($B31, '3. Rate Classes'!$C$24:$H$45,6,0)=0, ISERROR(VLOOKUP($B31, '3. Rate Classes'!$C$24:$H$45,6,0))), "", VLOOKUP($B31, '3. Rate Classes'!$C$24:$H$45,6,0))</f>
        <v>kW</v>
      </c>
      <c r="F31" s="150">
        <v>39375740</v>
      </c>
      <c r="G31" s="149">
        <v>46415</v>
      </c>
      <c r="H31" s="200"/>
      <c r="I31" s="200"/>
      <c r="J31" s="202">
        <f t="shared" si="0"/>
        <v>1.1627478592257872</v>
      </c>
      <c r="K31" s="202"/>
      <c r="L31" s="97">
        <f t="shared" si="1"/>
        <v>39375740</v>
      </c>
      <c r="M31" s="97">
        <f t="shared" si="2"/>
        <v>46415</v>
      </c>
    </row>
    <row r="32" spans="2:14" ht="25.5" customHeight="1" thickBot="1" x14ac:dyDescent="0.25">
      <c r="B32" s="94" t="str">
        <f>IF('3. Rate Classes'!Q29=1,'3. Rate Classes'!C29, 0)</f>
        <v>Standby Power - APPROVED ON AN INTERIM BASIS</v>
      </c>
      <c r="C32" s="95"/>
      <c r="D32" s="96" t="str">
        <f>IF(OR(VLOOKUP($B32, '3. Rate Classes'!$C$24:$H$45,6,0)=0, ISERROR(VLOOKUP($B32, '3. Rate Classes'!$C$24:$H$45,6,0))), "", VLOOKUP($B32, '3. Rate Classes'!$C$24:$H$45,6,0))</f>
        <v>kW</v>
      </c>
      <c r="F32" s="150"/>
      <c r="G32" s="150">
        <v>154800</v>
      </c>
      <c r="H32" s="200"/>
      <c r="I32" s="200"/>
      <c r="J32" s="202">
        <f t="shared" si="0"/>
        <v>0</v>
      </c>
      <c r="K32" s="202"/>
      <c r="L32" s="97">
        <f t="shared" si="1"/>
        <v>0</v>
      </c>
      <c r="M32" s="97">
        <f t="shared" si="2"/>
        <v>154800</v>
      </c>
    </row>
    <row r="33" spans="2:13" ht="25.5" customHeight="1" thickBot="1" x14ac:dyDescent="0.25">
      <c r="B33" s="94" t="str">
        <f>IF('3. Rate Classes'!Q30=1,'3. Rate Classes'!C30, 0)</f>
        <v>Large Use</v>
      </c>
      <c r="C33" s="95"/>
      <c r="D33" s="96" t="str">
        <f>IF(OR(VLOOKUP($B33, '3. Rate Classes'!$C$24:$H$45,6,0)=0, ISERROR(VLOOKUP($B33, '3. Rate Classes'!$C$24:$H$45,6,0))), "", VLOOKUP($B33, '3. Rate Classes'!$C$24:$H$45,6,0))</f>
        <v>kW</v>
      </c>
      <c r="F33" s="150">
        <v>183363380</v>
      </c>
      <c r="G33" s="150">
        <v>389123</v>
      </c>
      <c r="H33" s="200"/>
      <c r="I33" s="200"/>
      <c r="J33" s="202">
        <f t="shared" ref="J33:J48" si="3">IF(ISERROR(F33/(G33*30.4*24)), "", IF(D33="kW", F33/(G33*30.4*24), ""))</f>
        <v>0.64586370414784744</v>
      </c>
      <c r="K33" s="202"/>
      <c r="L33" s="97">
        <f t="shared" si="1"/>
        <v>183363380</v>
      </c>
      <c r="M33" s="97">
        <f t="shared" si="2"/>
        <v>389123</v>
      </c>
    </row>
    <row r="34" spans="2:13" ht="25.5" customHeight="1" thickBot="1" x14ac:dyDescent="0.25">
      <c r="B34" s="94" t="str">
        <f>IF('3. Rate Classes'!Q31=1,'3. Rate Classes'!C31, 0)</f>
        <v>Street Lighting</v>
      </c>
      <c r="C34" s="95"/>
      <c r="D34" s="96" t="str">
        <f>IF(OR(VLOOKUP($B34, '3. Rate Classes'!$C$24:$H$45,6,0)=0, ISERROR(VLOOKUP($B34, '3. Rate Classes'!$C$24:$H$45,6,0))), "", VLOOKUP($B34, '3. Rate Classes'!$C$24:$H$45,6,0))</f>
        <v>kW</v>
      </c>
      <c r="F34" s="150">
        <v>23812743</v>
      </c>
      <c r="G34" s="150">
        <v>66305</v>
      </c>
      <c r="H34" s="200"/>
      <c r="I34" s="200"/>
      <c r="J34" s="202">
        <f t="shared" si="3"/>
        <v>0.49224160726546778</v>
      </c>
      <c r="K34" s="202"/>
      <c r="L34" s="97">
        <f t="shared" si="1"/>
        <v>23812743</v>
      </c>
      <c r="M34" s="97">
        <f t="shared" si="2"/>
        <v>66305</v>
      </c>
    </row>
    <row r="35" spans="2:13" ht="25.5" customHeight="1" thickBot="1" x14ac:dyDescent="0.25">
      <c r="B35" s="94" t="str">
        <f>IF('3. Rate Classes'!Q32=1,'3. Rate Classes'!C32, 0)</f>
        <v>Sentinel Lighting</v>
      </c>
      <c r="C35" s="95"/>
      <c r="D35" s="96" t="str">
        <f>IF(OR(VLOOKUP($B35, '3. Rate Classes'!$C$24:$H$45,6,0)=0, ISERROR(VLOOKUP($B35, '3. Rate Classes'!$C$24:$H$45,6,0))), "", VLOOKUP($B35, '3. Rate Classes'!$C$24:$H$45,6,0))</f>
        <v>kW</v>
      </c>
      <c r="F35" s="150">
        <v>790064</v>
      </c>
      <c r="G35" s="150">
        <v>2146</v>
      </c>
      <c r="H35" s="200"/>
      <c r="I35" s="200"/>
      <c r="J35" s="202">
        <f t="shared" si="3"/>
        <v>0.50460056244992724</v>
      </c>
      <c r="K35" s="202"/>
      <c r="L35" s="97">
        <f t="shared" si="1"/>
        <v>790064</v>
      </c>
      <c r="M35" s="97">
        <f t="shared" si="2"/>
        <v>2146</v>
      </c>
    </row>
    <row r="36" spans="2:13" ht="25.5" customHeight="1" thickBot="1" x14ac:dyDescent="0.25">
      <c r="B36" s="94" t="str">
        <f>IF('3. Rate Classes'!Q33=1,'3. Rate Classes'!C33, 0)</f>
        <v>Unmetered Scattered Load</v>
      </c>
      <c r="C36" s="95"/>
      <c r="D36" s="96" t="str">
        <f>IF(OR(VLOOKUP($B36, '3. Rate Classes'!$C$24:$H$45,6,0)=0, ISERROR(VLOOKUP($B36, '3. Rate Classes'!$C$24:$H$45,6,0))), "", VLOOKUP($B36, '3. Rate Classes'!$C$24:$H$45,6,0))</f>
        <v>kWh</v>
      </c>
      <c r="F36" s="150">
        <v>5600414</v>
      </c>
      <c r="G36" s="150"/>
      <c r="H36" s="201">
        <v>1.0349999999999999</v>
      </c>
      <c r="I36" s="201"/>
      <c r="J36" s="202" t="str">
        <f t="shared" si="3"/>
        <v/>
      </c>
      <c r="K36" s="202"/>
      <c r="L36" s="97">
        <f t="shared" si="1"/>
        <v>5796428.4899999993</v>
      </c>
      <c r="M36" s="97">
        <f t="shared" si="2"/>
        <v>0</v>
      </c>
    </row>
    <row r="37" spans="2:13" ht="25.5" hidden="1" customHeight="1" thickBot="1" x14ac:dyDescent="0.25">
      <c r="B37" s="94">
        <f>IF('3. Rate Classes'!Q34=1,'3. Rate Classes'!C34, 0)</f>
        <v>0</v>
      </c>
      <c r="C37" s="95"/>
      <c r="D37" s="96" t="e">
        <f>IF(OR(VLOOKUP($B37, '3. Rate Classes'!$C$24:$H$45,6,0)=0, ISERROR(VLOOKUP($B37, '3. Rate Classes'!$C$24:$H$45,6,0))), "", VLOOKUP($B37, '3. Rate Classes'!$C$24:$H$45,6,0))</f>
        <v>#N/A</v>
      </c>
      <c r="F37" s="150"/>
      <c r="G37" s="149"/>
      <c r="H37" s="200"/>
      <c r="I37" s="200"/>
      <c r="J37" s="202" t="str">
        <f t="shared" si="3"/>
        <v/>
      </c>
      <c r="K37" s="202"/>
      <c r="L37" s="97">
        <f t="shared" si="1"/>
        <v>0</v>
      </c>
      <c r="M37" s="97">
        <f t="shared" si="2"/>
        <v>0</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0"/>
      <c r="G38" s="150"/>
      <c r="H38" s="200"/>
      <c r="I38" s="200"/>
      <c r="J38" s="202" t="str">
        <f t="shared" si="3"/>
        <v/>
      </c>
      <c r="K38" s="202"/>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0"/>
      <c r="G39" s="149"/>
      <c r="H39" s="200"/>
      <c r="I39" s="200"/>
      <c r="J39" s="202" t="str">
        <f t="shared" si="3"/>
        <v/>
      </c>
      <c r="K39" s="202"/>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0"/>
      <c r="G40" s="150"/>
      <c r="H40" s="200"/>
      <c r="I40" s="200"/>
      <c r="J40" s="202" t="str">
        <f t="shared" si="3"/>
        <v/>
      </c>
      <c r="K40" s="202"/>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0"/>
      <c r="G41" s="149"/>
      <c r="H41" s="200"/>
      <c r="I41" s="200"/>
      <c r="J41" s="202" t="str">
        <f t="shared" si="3"/>
        <v/>
      </c>
      <c r="K41" s="202"/>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0"/>
      <c r="G42" s="150"/>
      <c r="H42" s="200"/>
      <c r="I42" s="200"/>
      <c r="J42" s="202" t="str">
        <f t="shared" si="3"/>
        <v/>
      </c>
      <c r="K42" s="202"/>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0"/>
      <c r="G43" s="149"/>
      <c r="H43" s="200"/>
      <c r="I43" s="200"/>
      <c r="J43" s="202" t="str">
        <f t="shared" si="3"/>
        <v/>
      </c>
      <c r="K43" s="202"/>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0"/>
      <c r="G44" s="150"/>
      <c r="H44" s="200"/>
      <c r="I44" s="200"/>
      <c r="J44" s="202" t="str">
        <f t="shared" si="3"/>
        <v/>
      </c>
      <c r="K44" s="202"/>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0"/>
      <c r="G45" s="149"/>
      <c r="H45" s="200"/>
      <c r="I45" s="200"/>
      <c r="J45" s="202" t="str">
        <f t="shared" si="3"/>
        <v/>
      </c>
      <c r="K45" s="202"/>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0"/>
      <c r="G46" s="150"/>
      <c r="H46" s="200"/>
      <c r="I46" s="200"/>
      <c r="J46" s="202" t="str">
        <f t="shared" si="3"/>
        <v/>
      </c>
      <c r="K46" s="202"/>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0"/>
      <c r="G47" s="149"/>
      <c r="H47" s="200"/>
      <c r="I47" s="200"/>
      <c r="J47" s="202" t="str">
        <f t="shared" si="3"/>
        <v/>
      </c>
      <c r="K47" s="202"/>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0"/>
      <c r="G48" s="150"/>
      <c r="H48" s="200"/>
      <c r="I48" s="200"/>
      <c r="J48" s="202" t="str">
        <f t="shared" si="3"/>
        <v/>
      </c>
      <c r="K48" s="202"/>
      <c r="L48" s="97">
        <f t="shared" si="1"/>
        <v>0</v>
      </c>
      <c r="M48" s="97">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4803149606299213" right="0.74803149606299213" top="0.98425196850393704" bottom="0.98425196850393704" header="0.51181102362204722" footer="0.51181102362204722"/>
  <pageSetup scale="75" orientation="landscape" r:id="rId1"/>
  <headerFooter alignWithMargins="0">
    <oddFooter>&amp;L&amp;A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95"/>
  <sheetViews>
    <sheetView showGridLines="0" zoomScale="90" zoomScaleNormal="90" workbookViewId="0">
      <pane ySplit="16" topLeftCell="A122" activePane="bottomLeft" state="frozenSplit"/>
      <selection activeCell="I48" sqref="I48"/>
      <selection pane="bottomLeft" activeCell="T38" sqref="T38"/>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4"/>
      <c r="C15" s="145"/>
      <c r="D15" s="5"/>
      <c r="E15" s="145"/>
      <c r="F15" s="5"/>
      <c r="G15" s="145"/>
      <c r="H15" s="5"/>
      <c r="I15" s="145"/>
    </row>
    <row r="17" spans="2:9" ht="15.75" x14ac:dyDescent="0.25">
      <c r="B17" s="17"/>
      <c r="C17" s="17"/>
      <c r="D17" s="18"/>
      <c r="E17" s="21"/>
      <c r="F17" s="17"/>
      <c r="G17" s="21"/>
      <c r="H17" s="17"/>
    </row>
    <row r="18" spans="2:9" ht="25.5" x14ac:dyDescent="0.2">
      <c r="B18" s="143" t="s">
        <v>232</v>
      </c>
      <c r="C18" s="142" t="s">
        <v>209</v>
      </c>
      <c r="E18" s="142" t="s">
        <v>233</v>
      </c>
      <c r="G18" s="142" t="s">
        <v>234</v>
      </c>
      <c r="I18" s="142"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3.82</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0.82</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1.98</v>
      </c>
    </row>
    <row r="27" spans="2:9" x14ac:dyDescent="0.2">
      <c r="B27" s="19"/>
      <c r="C27" s="19"/>
      <c r="E27" s="19"/>
      <c r="F27" s="19"/>
      <c r="G27" s="19"/>
      <c r="H27" s="19"/>
    </row>
    <row r="28" spans="2:9" x14ac:dyDescent="0.2">
      <c r="B28" s="19"/>
      <c r="C28" s="19"/>
      <c r="E28" s="19"/>
      <c r="F28" s="19"/>
      <c r="G28" s="19"/>
      <c r="H28" s="19"/>
    </row>
    <row r="29" spans="2:9" ht="25.5" x14ac:dyDescent="0.2">
      <c r="B29" s="143" t="s">
        <v>235</v>
      </c>
      <c r="C29" s="142" t="s">
        <v>209</v>
      </c>
      <c r="E29" s="142" t="s">
        <v>233</v>
      </c>
      <c r="G29" s="142" t="s">
        <v>234</v>
      </c>
      <c r="I29" s="142"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3.23</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0.65</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1.62</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2.27</v>
      </c>
    </row>
    <row r="42" spans="2:9" ht="15.75" x14ac:dyDescent="0.25">
      <c r="B42" s="17"/>
      <c r="C42" s="17"/>
      <c r="E42" s="22"/>
      <c r="F42" s="19"/>
      <c r="G42" s="22"/>
      <c r="H42" s="19"/>
    </row>
    <row r="43" spans="2:9" x14ac:dyDescent="0.2">
      <c r="C43" s="19"/>
      <c r="E43" s="19"/>
      <c r="F43" s="19"/>
      <c r="G43" s="19"/>
      <c r="H43" s="19"/>
    </row>
    <row r="44" spans="2:9" ht="25.5" x14ac:dyDescent="0.2">
      <c r="B44" s="174" t="s">
        <v>263</v>
      </c>
      <c r="C44" s="173" t="s">
        <v>209</v>
      </c>
      <c r="E44" s="173" t="s">
        <v>233</v>
      </c>
      <c r="G44" s="173" t="s">
        <v>234</v>
      </c>
      <c r="I44" s="173"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4" t="s">
        <v>264</v>
      </c>
      <c r="C59" s="173" t="s">
        <v>209</v>
      </c>
      <c r="E59" s="173" t="s">
        <v>233</v>
      </c>
      <c r="G59" s="173" t="s">
        <v>234</v>
      </c>
      <c r="I59" s="173"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3" t="s">
        <v>247</v>
      </c>
      <c r="C75" s="142" t="s">
        <v>209</v>
      </c>
      <c r="E75" s="142" t="s">
        <v>233</v>
      </c>
      <c r="G75" s="142" t="s">
        <v>234</v>
      </c>
      <c r="I75" s="142"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0">
        <v>0.14649999999999999</v>
      </c>
    </row>
    <row r="80" spans="2:9" ht="15.75" x14ac:dyDescent="0.25">
      <c r="B80" s="17"/>
      <c r="C80" s="17"/>
      <c r="D80" s="37"/>
      <c r="E80" s="24"/>
      <c r="F80" s="25"/>
      <c r="G80" s="24"/>
      <c r="H80" s="23"/>
      <c r="I80" s="159"/>
    </row>
    <row r="81" spans="2:9" ht="17.25" x14ac:dyDescent="0.3">
      <c r="B81" s="35" t="s">
        <v>121</v>
      </c>
      <c r="C81" s="33" t="s">
        <v>113</v>
      </c>
      <c r="D81" s="36"/>
      <c r="E81" s="38">
        <v>0</v>
      </c>
      <c r="F81" s="31"/>
      <c r="G81" s="38">
        <v>6.6699999999999995E-2</v>
      </c>
      <c r="H81" s="23"/>
      <c r="I81" s="160">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0">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0">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0">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0">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1" t="s">
        <v>259</v>
      </c>
      <c r="F94" s="171"/>
      <c r="G94" s="171" t="s">
        <v>260</v>
      </c>
      <c r="H94" s="171"/>
      <c r="I94" s="171" t="s">
        <v>261</v>
      </c>
    </row>
    <row r="95" spans="2:9" ht="34.5" x14ac:dyDescent="0.3">
      <c r="B95" s="175" t="s">
        <v>265</v>
      </c>
      <c r="C95" s="33" t="s">
        <v>256</v>
      </c>
      <c r="E95" s="187"/>
      <c r="F95" s="38"/>
      <c r="G95" s="187"/>
      <c r="H95" s="38"/>
      <c r="I95" s="18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46" orientation="portrait" r:id="rId1"/>
  <headerFooter alignWithMargins="0">
    <oddFooter>&amp;L&amp;A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117"/>
  <sheetViews>
    <sheetView showGridLines="0" topLeftCell="B1" zoomScaleNormal="100" workbookViewId="0">
      <pane ySplit="16" topLeftCell="A26" activePane="bottomLeft" state="frozenSplit"/>
      <selection activeCell="I48" sqref="I48"/>
      <selection pane="bottomLeft" activeCell="U35" sqref="U35"/>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1" t="s">
        <v>226</v>
      </c>
      <c r="C21" s="140"/>
      <c r="D21" s="205" t="s">
        <v>227</v>
      </c>
      <c r="E21" s="205"/>
      <c r="F21" s="205"/>
      <c r="G21" s="140"/>
      <c r="H21" s="205" t="s">
        <v>230</v>
      </c>
      <c r="I21" s="205"/>
      <c r="J21" s="205"/>
      <c r="K21" s="140"/>
      <c r="L21" s="205" t="s">
        <v>229</v>
      </c>
      <c r="M21" s="205"/>
      <c r="N21" s="205"/>
      <c r="O21" s="140"/>
      <c r="P21" s="141"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4">
        <v>485762</v>
      </c>
      <c r="E24" s="155">
        <f t="shared" ref="E24" si="0">IF(D24&lt;&gt;0,F24/D24,0)</f>
        <v>3.5700000000000003</v>
      </c>
      <c r="F24" s="156">
        <v>1734170.34</v>
      </c>
      <c r="G24" s="17"/>
      <c r="H24" s="154">
        <v>516521</v>
      </c>
      <c r="I24" s="155">
        <f t="shared" ref="I24" si="1">IF(H24&lt;&gt;0,J24/H24,0)</f>
        <v>0.79999999999999993</v>
      </c>
      <c r="J24" s="157">
        <v>413216.8</v>
      </c>
      <c r="K24" s="17"/>
      <c r="L24" s="154">
        <v>516521</v>
      </c>
      <c r="M24" s="155">
        <f t="shared" ref="M24" si="2">IF(L24&lt;&gt;0,N24/L24,0)</f>
        <v>1.86</v>
      </c>
      <c r="N24" s="156">
        <v>960729.06</v>
      </c>
      <c r="O24" s="17"/>
      <c r="P24" s="47">
        <f t="shared" ref="P24:P35" si="3">J24+N24</f>
        <v>1373945.86</v>
      </c>
      <c r="Q24" s="17"/>
    </row>
    <row r="25" spans="2:17" ht="15.75" x14ac:dyDescent="0.25">
      <c r="B25" s="48" t="s">
        <v>128</v>
      </c>
      <c r="C25" s="17"/>
      <c r="D25" s="154">
        <v>457849</v>
      </c>
      <c r="E25" s="155">
        <f t="shared" ref="E25:E35" si="4">IF(D25&lt;&gt;0,F25/D25,0)</f>
        <v>3.57</v>
      </c>
      <c r="F25" s="156">
        <v>1634520.93</v>
      </c>
      <c r="G25" s="17"/>
      <c r="H25" s="154">
        <v>490710</v>
      </c>
      <c r="I25" s="155">
        <f t="shared" ref="I25:I35" si="5">IF(H25&lt;&gt;0,J25/H25,0)</f>
        <v>0.8</v>
      </c>
      <c r="J25" s="157">
        <v>392568</v>
      </c>
      <c r="K25" s="17"/>
      <c r="L25" s="154">
        <v>490710</v>
      </c>
      <c r="M25" s="155">
        <f t="shared" ref="M25:M35" si="6">IF(L25&lt;&gt;0,N25/L25,0)</f>
        <v>1.8599999999999999</v>
      </c>
      <c r="N25" s="156">
        <v>912720.6</v>
      </c>
      <c r="O25" s="17"/>
      <c r="P25" s="47">
        <f t="shared" si="3"/>
        <v>1305288.6000000001</v>
      </c>
      <c r="Q25" s="17"/>
    </row>
    <row r="26" spans="2:17" ht="15.75" x14ac:dyDescent="0.25">
      <c r="B26" s="48" t="s">
        <v>129</v>
      </c>
      <c r="C26" s="17"/>
      <c r="D26" s="154">
        <v>450864</v>
      </c>
      <c r="E26" s="155">
        <f t="shared" si="4"/>
        <v>3.57</v>
      </c>
      <c r="F26" s="156">
        <v>1609584.48</v>
      </c>
      <c r="G26" s="17"/>
      <c r="H26" s="154">
        <v>473676</v>
      </c>
      <c r="I26" s="155">
        <f t="shared" si="5"/>
        <v>0.79999999999999993</v>
      </c>
      <c r="J26" s="157">
        <v>378940.8</v>
      </c>
      <c r="K26" s="17"/>
      <c r="L26" s="154">
        <v>473676</v>
      </c>
      <c r="M26" s="155">
        <f t="shared" si="6"/>
        <v>1.8599999999999999</v>
      </c>
      <c r="N26" s="156">
        <v>881037.36</v>
      </c>
      <c r="O26" s="17"/>
      <c r="P26" s="47">
        <f t="shared" si="3"/>
        <v>1259978.1599999999</v>
      </c>
      <c r="Q26" s="17"/>
    </row>
    <row r="27" spans="2:17" ht="15.75" x14ac:dyDescent="0.25">
      <c r="B27" s="48" t="s">
        <v>130</v>
      </c>
      <c r="C27" s="17"/>
      <c r="D27" s="154">
        <v>410704</v>
      </c>
      <c r="E27" s="155">
        <f t="shared" si="4"/>
        <v>3.5700000000000003</v>
      </c>
      <c r="F27" s="156">
        <v>1466213.28</v>
      </c>
      <c r="G27" s="17"/>
      <c r="H27" s="154">
        <v>526691</v>
      </c>
      <c r="I27" s="155">
        <f t="shared" si="5"/>
        <v>0.79999925952788253</v>
      </c>
      <c r="J27" s="157">
        <v>421352.41</v>
      </c>
      <c r="K27" s="17"/>
      <c r="L27" s="154">
        <v>523472</v>
      </c>
      <c r="M27" s="155">
        <f t="shared" si="6"/>
        <v>1.8600012990188586</v>
      </c>
      <c r="N27" s="156">
        <v>973658.6</v>
      </c>
      <c r="O27" s="17"/>
      <c r="P27" s="47">
        <f t="shared" si="3"/>
        <v>1395011.01</v>
      </c>
      <c r="Q27" s="17"/>
    </row>
    <row r="28" spans="2:17" ht="15.75" x14ac:dyDescent="0.25">
      <c r="B28" s="48" t="s">
        <v>131</v>
      </c>
      <c r="C28" s="17"/>
      <c r="D28" s="154">
        <v>580620</v>
      </c>
      <c r="E28" s="155">
        <f t="shared" si="4"/>
        <v>3.57</v>
      </c>
      <c r="F28" s="156">
        <v>2072813.4</v>
      </c>
      <c r="G28" s="17"/>
      <c r="H28" s="154">
        <v>593343</v>
      </c>
      <c r="I28" s="155">
        <f t="shared" si="5"/>
        <v>0.8</v>
      </c>
      <c r="J28" s="157">
        <v>474674.4</v>
      </c>
      <c r="K28" s="17"/>
      <c r="L28" s="154">
        <v>593343</v>
      </c>
      <c r="M28" s="155">
        <f t="shared" si="6"/>
        <v>1.8599999999999999</v>
      </c>
      <c r="N28" s="156">
        <v>1103617.98</v>
      </c>
      <c r="O28" s="17"/>
      <c r="P28" s="47">
        <f t="shared" si="3"/>
        <v>1578292.38</v>
      </c>
      <c r="Q28" s="17"/>
    </row>
    <row r="29" spans="2:17" ht="15.75" x14ac:dyDescent="0.25">
      <c r="B29" s="48" t="s">
        <v>132</v>
      </c>
      <c r="C29" s="17"/>
      <c r="D29" s="154">
        <v>670610</v>
      </c>
      <c r="E29" s="155">
        <f t="shared" si="4"/>
        <v>3.5700000000000003</v>
      </c>
      <c r="F29" s="156">
        <v>2394077.7000000002</v>
      </c>
      <c r="G29" s="17"/>
      <c r="H29" s="154">
        <v>713682</v>
      </c>
      <c r="I29" s="155">
        <f t="shared" si="5"/>
        <v>0.79999999999999993</v>
      </c>
      <c r="J29" s="157">
        <v>570945.6</v>
      </c>
      <c r="K29" s="17"/>
      <c r="L29" s="154">
        <v>713682</v>
      </c>
      <c r="M29" s="155">
        <f t="shared" si="6"/>
        <v>1.86</v>
      </c>
      <c r="N29" s="156">
        <v>1327448.52</v>
      </c>
      <c r="O29" s="17"/>
      <c r="P29" s="47">
        <f t="shared" si="3"/>
        <v>1898394.12</v>
      </c>
      <c r="Q29" s="17"/>
    </row>
    <row r="30" spans="2:17" ht="15.75" x14ac:dyDescent="0.25">
      <c r="B30" s="48" t="s">
        <v>133</v>
      </c>
      <c r="C30" s="17"/>
      <c r="D30" s="154">
        <v>695594</v>
      </c>
      <c r="E30" s="155">
        <f t="shared" si="4"/>
        <v>3.5700000000000003</v>
      </c>
      <c r="F30" s="156">
        <v>2483270.58</v>
      </c>
      <c r="G30" s="17"/>
      <c r="H30" s="154">
        <v>718615</v>
      </c>
      <c r="I30" s="155">
        <f t="shared" si="5"/>
        <v>0.8</v>
      </c>
      <c r="J30" s="157">
        <v>574892</v>
      </c>
      <c r="K30" s="17"/>
      <c r="L30" s="154">
        <v>718615</v>
      </c>
      <c r="M30" s="155">
        <f t="shared" si="6"/>
        <v>1.8599999999999999</v>
      </c>
      <c r="N30" s="156">
        <v>1336623.8999999999</v>
      </c>
      <c r="O30" s="17"/>
      <c r="P30" s="47">
        <f t="shared" si="3"/>
        <v>1911515.9</v>
      </c>
      <c r="Q30" s="17"/>
    </row>
    <row r="31" spans="2:17" ht="15.75" x14ac:dyDescent="0.25">
      <c r="B31" s="48" t="s">
        <v>134</v>
      </c>
      <c r="C31" s="17"/>
      <c r="D31" s="154">
        <v>612979</v>
      </c>
      <c r="E31" s="155">
        <f t="shared" si="4"/>
        <v>3.57</v>
      </c>
      <c r="F31" s="156">
        <v>2188335.0299999998</v>
      </c>
      <c r="G31" s="17"/>
      <c r="H31" s="154">
        <v>627097</v>
      </c>
      <c r="I31" s="155">
        <f t="shared" si="5"/>
        <v>0.79999999999999993</v>
      </c>
      <c r="J31" s="157">
        <v>501677.6</v>
      </c>
      <c r="K31" s="17"/>
      <c r="L31" s="154">
        <v>627097</v>
      </c>
      <c r="M31" s="155">
        <f t="shared" si="6"/>
        <v>1.8599999999999999</v>
      </c>
      <c r="N31" s="156">
        <v>1166400.42</v>
      </c>
      <c r="O31" s="17"/>
      <c r="P31" s="47">
        <f t="shared" si="3"/>
        <v>1668078.02</v>
      </c>
      <c r="Q31" s="17"/>
    </row>
    <row r="32" spans="2:17" ht="15.75" x14ac:dyDescent="0.25">
      <c r="B32" s="48" t="s">
        <v>135</v>
      </c>
      <c r="C32" s="17"/>
      <c r="D32" s="154">
        <v>562961</v>
      </c>
      <c r="E32" s="155">
        <f t="shared" si="4"/>
        <v>3.57</v>
      </c>
      <c r="F32" s="156">
        <v>2009770.77</v>
      </c>
      <c r="G32" s="17"/>
      <c r="H32" s="154">
        <v>596219</v>
      </c>
      <c r="I32" s="155">
        <f t="shared" si="5"/>
        <v>0.8</v>
      </c>
      <c r="J32" s="157">
        <v>476975.2</v>
      </c>
      <c r="K32" s="17"/>
      <c r="L32" s="154">
        <v>596219</v>
      </c>
      <c r="M32" s="155">
        <f t="shared" si="6"/>
        <v>1.86</v>
      </c>
      <c r="N32" s="156">
        <v>1108967.3400000001</v>
      </c>
      <c r="O32" s="17"/>
      <c r="P32" s="47">
        <f t="shared" si="3"/>
        <v>1585942.54</v>
      </c>
      <c r="Q32" s="17"/>
    </row>
    <row r="33" spans="2:17" ht="15.75" x14ac:dyDescent="0.25">
      <c r="B33" s="48" t="s">
        <v>136</v>
      </c>
      <c r="C33" s="17"/>
      <c r="D33" s="154">
        <v>464290</v>
      </c>
      <c r="E33" s="155">
        <f t="shared" si="4"/>
        <v>3.5700000000000003</v>
      </c>
      <c r="F33" s="156">
        <v>1657515.3</v>
      </c>
      <c r="G33" s="17"/>
      <c r="H33" s="154">
        <v>499230</v>
      </c>
      <c r="I33" s="155">
        <f t="shared" si="5"/>
        <v>0.8</v>
      </c>
      <c r="J33" s="157">
        <v>399384</v>
      </c>
      <c r="K33" s="17"/>
      <c r="L33" s="154">
        <v>499230</v>
      </c>
      <c r="M33" s="155">
        <f t="shared" si="6"/>
        <v>1.86</v>
      </c>
      <c r="N33" s="156">
        <v>928567.8</v>
      </c>
      <c r="O33" s="17"/>
      <c r="P33" s="47">
        <f t="shared" si="3"/>
        <v>1327951.8</v>
      </c>
      <c r="Q33" s="17"/>
    </row>
    <row r="34" spans="2:17" ht="15.75" x14ac:dyDescent="0.25">
      <c r="B34" s="48" t="s">
        <v>137</v>
      </c>
      <c r="C34" s="17"/>
      <c r="D34" s="154">
        <v>459555</v>
      </c>
      <c r="E34" s="155">
        <f t="shared" si="4"/>
        <v>3.5700000000000003</v>
      </c>
      <c r="F34" s="156">
        <v>1640611.35</v>
      </c>
      <c r="G34" s="17"/>
      <c r="H34" s="154">
        <v>487279</v>
      </c>
      <c r="I34" s="155">
        <f t="shared" si="5"/>
        <v>0.8</v>
      </c>
      <c r="J34" s="157">
        <v>389823.2</v>
      </c>
      <c r="K34" s="17"/>
      <c r="L34" s="154">
        <v>487279</v>
      </c>
      <c r="M34" s="155">
        <f t="shared" si="6"/>
        <v>1.8599999999999999</v>
      </c>
      <c r="N34" s="156">
        <v>906338.94</v>
      </c>
      <c r="O34" s="17"/>
      <c r="P34" s="47">
        <f t="shared" si="3"/>
        <v>1296162.1399999999</v>
      </c>
      <c r="Q34" s="17"/>
    </row>
    <row r="35" spans="2:17" ht="15.75" x14ac:dyDescent="0.25">
      <c r="B35" s="48" t="s">
        <v>138</v>
      </c>
      <c r="C35" s="17"/>
      <c r="D35" s="154">
        <v>456843</v>
      </c>
      <c r="E35" s="155">
        <f t="shared" si="4"/>
        <v>3.57</v>
      </c>
      <c r="F35" s="156">
        <v>1630929.51</v>
      </c>
      <c r="G35" s="17"/>
      <c r="H35" s="154">
        <v>496770</v>
      </c>
      <c r="I35" s="155">
        <f t="shared" si="5"/>
        <v>0.8</v>
      </c>
      <c r="J35" s="157">
        <v>397416</v>
      </c>
      <c r="K35" s="17"/>
      <c r="L35" s="154">
        <v>496770</v>
      </c>
      <c r="M35" s="155">
        <f t="shared" si="6"/>
        <v>1.8599999999999999</v>
      </c>
      <c r="N35" s="156">
        <v>923992.2</v>
      </c>
      <c r="O35" s="17"/>
      <c r="P35" s="47">
        <f t="shared" si="3"/>
        <v>1321408.2</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6308631</v>
      </c>
      <c r="E37" s="51">
        <f>IF(D37&lt;&gt;0,F37/D37,0)</f>
        <v>3.5700000000000003</v>
      </c>
      <c r="F37" s="52">
        <f>SUM(F24:F35)</f>
        <v>22521812.670000002</v>
      </c>
      <c r="G37" s="17"/>
      <c r="H37" s="50">
        <f>SUM(H24:H35)</f>
        <v>6739833</v>
      </c>
      <c r="I37" s="51">
        <f>IF(H37&lt;&gt;0,J37/H37,0)</f>
        <v>0.79999994213506487</v>
      </c>
      <c r="J37" s="52">
        <f>SUM(J24:J35)</f>
        <v>5391866.0100000007</v>
      </c>
      <c r="K37" s="17"/>
      <c r="L37" s="50">
        <f>SUM(L24:L35)</f>
        <v>6736614</v>
      </c>
      <c r="M37" s="51">
        <f>IF(L37&lt;&gt;0,N37/L37,0)</f>
        <v>1.8600001009409177</v>
      </c>
      <c r="N37" s="52">
        <f>SUM(N24:N35)</f>
        <v>12530102.719999999</v>
      </c>
      <c r="O37" s="17"/>
      <c r="P37" s="52">
        <f>SUM(P24:P35)</f>
        <v>17921968.73</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4"/>
      <c r="E43" s="155">
        <f t="shared" ref="E43" si="7">IF(D43&lt;&gt;0,F43/D43,0)</f>
        <v>0</v>
      </c>
      <c r="F43" s="156"/>
      <c r="G43" s="17"/>
      <c r="H43" s="154"/>
      <c r="I43" s="155">
        <f t="shared" ref="I43" si="8">IF(H43&lt;&gt;0,J43/H43,0)</f>
        <v>0</v>
      </c>
      <c r="J43" s="157"/>
      <c r="K43" s="17"/>
      <c r="L43" s="154"/>
      <c r="M43" s="155">
        <f t="shared" ref="M43" si="9">IF(L43&lt;&gt;0,N43/L43,0)</f>
        <v>0</v>
      </c>
      <c r="N43" s="156"/>
      <c r="O43" s="17"/>
      <c r="P43" s="47">
        <f t="shared" ref="P43:P54" si="10">J43+N43</f>
        <v>0</v>
      </c>
      <c r="Q43" s="17"/>
    </row>
    <row r="44" spans="2:17" ht="15.75" x14ac:dyDescent="0.25">
      <c r="B44" s="48" t="s">
        <v>128</v>
      </c>
      <c r="C44" s="17"/>
      <c r="D44" s="154"/>
      <c r="E44" s="155">
        <f t="shared" ref="E44:E54" si="11">IF(D44&lt;&gt;0,F44/D44,0)</f>
        <v>0</v>
      </c>
      <c r="F44" s="156"/>
      <c r="G44" s="17"/>
      <c r="H44" s="154"/>
      <c r="I44" s="155">
        <f t="shared" ref="I44:I54" si="12">IF(H44&lt;&gt;0,J44/H44,0)</f>
        <v>0</v>
      </c>
      <c r="J44" s="157"/>
      <c r="K44" s="17"/>
      <c r="L44" s="154"/>
      <c r="M44" s="155">
        <f t="shared" ref="M44:M54" si="13">IF(L44&lt;&gt;0,N44/L44,0)</f>
        <v>0</v>
      </c>
      <c r="N44" s="156"/>
      <c r="O44" s="17"/>
      <c r="P44" s="47">
        <f t="shared" si="10"/>
        <v>0</v>
      </c>
      <c r="Q44" s="17"/>
    </row>
    <row r="45" spans="2:17" ht="15.75" x14ac:dyDescent="0.25">
      <c r="B45" s="48" t="s">
        <v>129</v>
      </c>
      <c r="C45" s="17"/>
      <c r="D45" s="154"/>
      <c r="E45" s="155">
        <f t="shared" si="11"/>
        <v>0</v>
      </c>
      <c r="F45" s="156"/>
      <c r="G45" s="17"/>
      <c r="H45" s="154"/>
      <c r="I45" s="155">
        <f t="shared" si="12"/>
        <v>0</v>
      </c>
      <c r="J45" s="157"/>
      <c r="K45" s="17"/>
      <c r="L45" s="154"/>
      <c r="M45" s="155">
        <f t="shared" si="13"/>
        <v>0</v>
      </c>
      <c r="N45" s="156"/>
      <c r="O45" s="17"/>
      <c r="P45" s="47">
        <f t="shared" si="10"/>
        <v>0</v>
      </c>
      <c r="Q45" s="17"/>
    </row>
    <row r="46" spans="2:17" ht="15.75" x14ac:dyDescent="0.25">
      <c r="B46" s="48" t="s">
        <v>130</v>
      </c>
      <c r="C46" s="17"/>
      <c r="D46" s="154"/>
      <c r="E46" s="155">
        <f t="shared" si="11"/>
        <v>0</v>
      </c>
      <c r="F46" s="156"/>
      <c r="G46" s="17"/>
      <c r="H46" s="154"/>
      <c r="I46" s="155">
        <f t="shared" si="12"/>
        <v>0</v>
      </c>
      <c r="J46" s="157"/>
      <c r="K46" s="17"/>
      <c r="L46" s="154"/>
      <c r="M46" s="155">
        <f t="shared" si="13"/>
        <v>0</v>
      </c>
      <c r="N46" s="156"/>
      <c r="O46" s="17"/>
      <c r="P46" s="47">
        <f t="shared" si="10"/>
        <v>0</v>
      </c>
      <c r="Q46" s="17"/>
    </row>
    <row r="47" spans="2:17" ht="15.75" x14ac:dyDescent="0.25">
      <c r="B47" s="48" t="s">
        <v>131</v>
      </c>
      <c r="C47" s="17"/>
      <c r="D47" s="154"/>
      <c r="E47" s="155">
        <f t="shared" si="11"/>
        <v>0</v>
      </c>
      <c r="F47" s="156"/>
      <c r="G47" s="17"/>
      <c r="H47" s="154"/>
      <c r="I47" s="155">
        <f t="shared" si="12"/>
        <v>0</v>
      </c>
      <c r="J47" s="157"/>
      <c r="K47" s="17"/>
      <c r="L47" s="154"/>
      <c r="M47" s="155">
        <f t="shared" si="13"/>
        <v>0</v>
      </c>
      <c r="N47" s="156"/>
      <c r="O47" s="17"/>
      <c r="P47" s="47">
        <f t="shared" si="10"/>
        <v>0</v>
      </c>
      <c r="Q47" s="17"/>
    </row>
    <row r="48" spans="2:17" ht="15.75" x14ac:dyDescent="0.25">
      <c r="B48" s="48" t="s">
        <v>132</v>
      </c>
      <c r="C48" s="17"/>
      <c r="D48" s="154"/>
      <c r="E48" s="155">
        <f t="shared" si="11"/>
        <v>0</v>
      </c>
      <c r="F48" s="156"/>
      <c r="G48" s="17"/>
      <c r="H48" s="154"/>
      <c r="I48" s="155">
        <f t="shared" si="12"/>
        <v>0</v>
      </c>
      <c r="J48" s="157"/>
      <c r="K48" s="17"/>
      <c r="L48" s="154"/>
      <c r="M48" s="155">
        <f t="shared" si="13"/>
        <v>0</v>
      </c>
      <c r="N48" s="156"/>
      <c r="O48" s="17"/>
      <c r="P48" s="47">
        <f t="shared" si="10"/>
        <v>0</v>
      </c>
      <c r="Q48" s="17"/>
    </row>
    <row r="49" spans="2:17" ht="15.75" x14ac:dyDescent="0.25">
      <c r="B49" s="48" t="s">
        <v>133</v>
      </c>
      <c r="C49" s="17"/>
      <c r="D49" s="154"/>
      <c r="E49" s="155">
        <f t="shared" si="11"/>
        <v>0</v>
      </c>
      <c r="F49" s="156"/>
      <c r="G49" s="17"/>
      <c r="H49" s="154"/>
      <c r="I49" s="155">
        <f t="shared" si="12"/>
        <v>0</v>
      </c>
      <c r="J49" s="157"/>
      <c r="K49" s="17"/>
      <c r="L49" s="154"/>
      <c r="M49" s="155">
        <f t="shared" si="13"/>
        <v>0</v>
      </c>
      <c r="N49" s="156"/>
      <c r="O49" s="17"/>
      <c r="P49" s="47">
        <f t="shared" si="10"/>
        <v>0</v>
      </c>
      <c r="Q49" s="17"/>
    </row>
    <row r="50" spans="2:17" ht="15.75" x14ac:dyDescent="0.25">
      <c r="B50" s="48" t="s">
        <v>134</v>
      </c>
      <c r="C50" s="17"/>
      <c r="D50" s="154"/>
      <c r="E50" s="155">
        <f t="shared" si="11"/>
        <v>0</v>
      </c>
      <c r="F50" s="156"/>
      <c r="G50" s="17"/>
      <c r="H50" s="154"/>
      <c r="I50" s="155">
        <f t="shared" si="12"/>
        <v>0</v>
      </c>
      <c r="J50" s="157"/>
      <c r="K50" s="17"/>
      <c r="L50" s="154"/>
      <c r="M50" s="155">
        <f t="shared" si="13"/>
        <v>0</v>
      </c>
      <c r="N50" s="156"/>
      <c r="O50" s="17"/>
      <c r="P50" s="47">
        <f t="shared" si="10"/>
        <v>0</v>
      </c>
      <c r="Q50" s="17"/>
    </row>
    <row r="51" spans="2:17" ht="15.75" x14ac:dyDescent="0.25">
      <c r="B51" s="48" t="s">
        <v>135</v>
      </c>
      <c r="C51" s="17"/>
      <c r="D51" s="154"/>
      <c r="E51" s="155">
        <f t="shared" si="11"/>
        <v>0</v>
      </c>
      <c r="F51" s="156"/>
      <c r="G51" s="17"/>
      <c r="H51" s="154"/>
      <c r="I51" s="155">
        <f t="shared" si="12"/>
        <v>0</v>
      </c>
      <c r="J51" s="157"/>
      <c r="K51" s="17"/>
      <c r="L51" s="154"/>
      <c r="M51" s="155">
        <f t="shared" si="13"/>
        <v>0</v>
      </c>
      <c r="N51" s="156"/>
      <c r="O51" s="17"/>
      <c r="P51" s="47">
        <f t="shared" si="10"/>
        <v>0</v>
      </c>
      <c r="Q51" s="17"/>
    </row>
    <row r="52" spans="2:17" ht="15.75" x14ac:dyDescent="0.25">
      <c r="B52" s="48" t="s">
        <v>136</v>
      </c>
      <c r="C52" s="17"/>
      <c r="D52" s="154"/>
      <c r="E52" s="155">
        <f t="shared" si="11"/>
        <v>0</v>
      </c>
      <c r="F52" s="156"/>
      <c r="G52" s="17"/>
      <c r="H52" s="154"/>
      <c r="I52" s="155">
        <f t="shared" si="12"/>
        <v>0</v>
      </c>
      <c r="J52" s="157"/>
      <c r="K52" s="17"/>
      <c r="L52" s="154"/>
      <c r="M52" s="155">
        <f t="shared" si="13"/>
        <v>0</v>
      </c>
      <c r="N52" s="156"/>
      <c r="O52" s="17"/>
      <c r="P52" s="47">
        <f t="shared" si="10"/>
        <v>0</v>
      </c>
      <c r="Q52" s="17"/>
    </row>
    <row r="53" spans="2:17" ht="15.75" x14ac:dyDescent="0.25">
      <c r="B53" s="48" t="s">
        <v>137</v>
      </c>
      <c r="C53" s="17"/>
      <c r="D53" s="154"/>
      <c r="E53" s="155">
        <f t="shared" si="11"/>
        <v>0</v>
      </c>
      <c r="F53" s="156"/>
      <c r="G53" s="17"/>
      <c r="H53" s="154"/>
      <c r="I53" s="155">
        <f t="shared" si="12"/>
        <v>0</v>
      </c>
      <c r="J53" s="157"/>
      <c r="K53" s="17"/>
      <c r="L53" s="154"/>
      <c r="M53" s="155">
        <f t="shared" si="13"/>
        <v>0</v>
      </c>
      <c r="N53" s="156"/>
      <c r="O53" s="17"/>
      <c r="P53" s="47">
        <f t="shared" si="10"/>
        <v>0</v>
      </c>
      <c r="Q53" s="17"/>
    </row>
    <row r="54" spans="2:17" ht="15.75" x14ac:dyDescent="0.25">
      <c r="B54" s="48" t="s">
        <v>138</v>
      </c>
      <c r="C54" s="17"/>
      <c r="D54" s="154"/>
      <c r="E54" s="155">
        <f t="shared" si="11"/>
        <v>0</v>
      </c>
      <c r="F54" s="156"/>
      <c r="G54" s="17"/>
      <c r="H54" s="154"/>
      <c r="I54" s="155">
        <f t="shared" si="12"/>
        <v>0</v>
      </c>
      <c r="J54" s="157"/>
      <c r="K54" s="17"/>
      <c r="L54" s="154"/>
      <c r="M54" s="155">
        <f t="shared" si="13"/>
        <v>0</v>
      </c>
      <c r="N54" s="156"/>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6" t="s">
        <v>252</v>
      </c>
      <c r="C58" s="140"/>
      <c r="D58" s="205" t="s">
        <v>227</v>
      </c>
      <c r="E58" s="205"/>
      <c r="F58" s="205"/>
      <c r="G58" s="140"/>
      <c r="H58" s="205" t="s">
        <v>230</v>
      </c>
      <c r="I58" s="205"/>
      <c r="J58" s="205"/>
      <c r="K58" s="140"/>
      <c r="L58" s="205" t="s">
        <v>229</v>
      </c>
      <c r="M58" s="205"/>
      <c r="N58" s="205"/>
      <c r="O58" s="140"/>
      <c r="P58" s="163" t="s">
        <v>228</v>
      </c>
      <c r="Q58" s="17"/>
    </row>
    <row r="59" spans="2:17" ht="16.5" x14ac:dyDescent="0.3">
      <c r="B59" s="167"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4"/>
      <c r="E62" s="155">
        <f t="shared" ref="E62:E73" si="14">IF(D62&lt;&gt;0,F62/D62,0)</f>
        <v>0</v>
      </c>
      <c r="F62" s="156"/>
      <c r="G62" s="17"/>
      <c r="H62" s="154"/>
      <c r="I62" s="155">
        <f t="shared" ref="I62:I73" si="15">IF(H62&lt;&gt;0,J62/H62,0)</f>
        <v>0</v>
      </c>
      <c r="J62" s="157"/>
      <c r="K62" s="17"/>
      <c r="L62" s="154"/>
      <c r="M62" s="155">
        <f t="shared" ref="M62:M73" si="16">IF(L62&lt;&gt;0,N62/L62,0)</f>
        <v>0</v>
      </c>
      <c r="N62" s="156"/>
      <c r="O62" s="17"/>
      <c r="P62" s="47">
        <f t="shared" ref="P62:P73" si="17">J62+N62</f>
        <v>0</v>
      </c>
      <c r="Q62" s="17"/>
    </row>
    <row r="63" spans="2:17" ht="15.75" x14ac:dyDescent="0.25">
      <c r="B63" s="48" t="s">
        <v>128</v>
      </c>
      <c r="C63" s="17"/>
      <c r="D63" s="154"/>
      <c r="E63" s="155">
        <f t="shared" si="14"/>
        <v>0</v>
      </c>
      <c r="F63" s="156"/>
      <c r="G63" s="17"/>
      <c r="H63" s="154"/>
      <c r="I63" s="155">
        <f t="shared" si="15"/>
        <v>0</v>
      </c>
      <c r="J63" s="157"/>
      <c r="K63" s="17"/>
      <c r="L63" s="154"/>
      <c r="M63" s="155">
        <f t="shared" si="16"/>
        <v>0</v>
      </c>
      <c r="N63" s="156"/>
      <c r="O63" s="17"/>
      <c r="P63" s="47">
        <f t="shared" si="17"/>
        <v>0</v>
      </c>
      <c r="Q63" s="17"/>
    </row>
    <row r="64" spans="2:17" ht="15.75" x14ac:dyDescent="0.25">
      <c r="B64" s="48" t="s">
        <v>129</v>
      </c>
      <c r="C64" s="17"/>
      <c r="D64" s="154"/>
      <c r="E64" s="155">
        <f t="shared" si="14"/>
        <v>0</v>
      </c>
      <c r="F64" s="156"/>
      <c r="G64" s="17"/>
      <c r="H64" s="154"/>
      <c r="I64" s="155">
        <f t="shared" si="15"/>
        <v>0</v>
      </c>
      <c r="J64" s="157"/>
      <c r="K64" s="17"/>
      <c r="L64" s="154"/>
      <c r="M64" s="155">
        <f t="shared" si="16"/>
        <v>0</v>
      </c>
      <c r="N64" s="156"/>
      <c r="O64" s="17"/>
      <c r="P64" s="47">
        <f t="shared" si="17"/>
        <v>0</v>
      </c>
      <c r="Q64" s="17"/>
    </row>
    <row r="65" spans="2:17" ht="15.75" x14ac:dyDescent="0.25">
      <c r="B65" s="48" t="s">
        <v>130</v>
      </c>
      <c r="C65" s="17"/>
      <c r="D65" s="154"/>
      <c r="E65" s="155">
        <f t="shared" si="14"/>
        <v>0</v>
      </c>
      <c r="F65" s="156"/>
      <c r="G65" s="17"/>
      <c r="H65" s="154"/>
      <c r="I65" s="155">
        <f t="shared" si="15"/>
        <v>0</v>
      </c>
      <c r="J65" s="157"/>
      <c r="K65" s="17"/>
      <c r="L65" s="154"/>
      <c r="M65" s="155">
        <f t="shared" si="16"/>
        <v>0</v>
      </c>
      <c r="N65" s="156"/>
      <c r="O65" s="17"/>
      <c r="P65" s="47">
        <f t="shared" si="17"/>
        <v>0</v>
      </c>
      <c r="Q65" s="17"/>
    </row>
    <row r="66" spans="2:17" ht="15.75" x14ac:dyDescent="0.25">
      <c r="B66" s="48" t="s">
        <v>131</v>
      </c>
      <c r="C66" s="17"/>
      <c r="D66" s="154"/>
      <c r="E66" s="155">
        <f t="shared" si="14"/>
        <v>0</v>
      </c>
      <c r="F66" s="156"/>
      <c r="G66" s="17"/>
      <c r="H66" s="154"/>
      <c r="I66" s="155">
        <f t="shared" si="15"/>
        <v>0</v>
      </c>
      <c r="J66" s="157"/>
      <c r="K66" s="17"/>
      <c r="L66" s="154"/>
      <c r="M66" s="155">
        <f t="shared" si="16"/>
        <v>0</v>
      </c>
      <c r="N66" s="156"/>
      <c r="O66" s="17"/>
      <c r="P66" s="47">
        <f t="shared" si="17"/>
        <v>0</v>
      </c>
      <c r="Q66" s="17"/>
    </row>
    <row r="67" spans="2:17" ht="15.75" x14ac:dyDescent="0.25">
      <c r="B67" s="48" t="s">
        <v>132</v>
      </c>
      <c r="C67" s="17"/>
      <c r="D67" s="154"/>
      <c r="E67" s="155">
        <f t="shared" si="14"/>
        <v>0</v>
      </c>
      <c r="F67" s="156"/>
      <c r="G67" s="17"/>
      <c r="H67" s="154"/>
      <c r="I67" s="155">
        <f t="shared" si="15"/>
        <v>0</v>
      </c>
      <c r="J67" s="157"/>
      <c r="K67" s="17"/>
      <c r="L67" s="154"/>
      <c r="M67" s="155">
        <f t="shared" si="16"/>
        <v>0</v>
      </c>
      <c r="N67" s="156"/>
      <c r="O67" s="17"/>
      <c r="P67" s="47">
        <f t="shared" si="17"/>
        <v>0</v>
      </c>
      <c r="Q67" s="17"/>
    </row>
    <row r="68" spans="2:17" ht="15.75" x14ac:dyDescent="0.25">
      <c r="B68" s="48" t="s">
        <v>133</v>
      </c>
      <c r="C68" s="17"/>
      <c r="D68" s="154"/>
      <c r="E68" s="155">
        <f t="shared" si="14"/>
        <v>0</v>
      </c>
      <c r="F68" s="156"/>
      <c r="G68" s="17"/>
      <c r="H68" s="154"/>
      <c r="I68" s="155">
        <f t="shared" si="15"/>
        <v>0</v>
      </c>
      <c r="J68" s="157"/>
      <c r="K68" s="17"/>
      <c r="L68" s="154"/>
      <c r="M68" s="155">
        <f t="shared" si="16"/>
        <v>0</v>
      </c>
      <c r="N68" s="156"/>
      <c r="O68" s="17"/>
      <c r="P68" s="47">
        <f t="shared" si="17"/>
        <v>0</v>
      </c>
      <c r="Q68" s="17"/>
    </row>
    <row r="69" spans="2:17" ht="15.75" x14ac:dyDescent="0.25">
      <c r="B69" s="48" t="s">
        <v>134</v>
      </c>
      <c r="C69" s="17"/>
      <c r="D69" s="154"/>
      <c r="E69" s="155">
        <f t="shared" si="14"/>
        <v>0</v>
      </c>
      <c r="F69" s="156"/>
      <c r="G69" s="17"/>
      <c r="H69" s="154"/>
      <c r="I69" s="155">
        <f t="shared" si="15"/>
        <v>0</v>
      </c>
      <c r="J69" s="157"/>
      <c r="K69" s="17"/>
      <c r="L69" s="154"/>
      <c r="M69" s="155">
        <f t="shared" si="16"/>
        <v>0</v>
      </c>
      <c r="N69" s="156"/>
      <c r="O69" s="17"/>
      <c r="P69" s="47">
        <f t="shared" si="17"/>
        <v>0</v>
      </c>
      <c r="Q69" s="17"/>
    </row>
    <row r="70" spans="2:17" ht="15.75" x14ac:dyDescent="0.25">
      <c r="B70" s="48" t="s">
        <v>135</v>
      </c>
      <c r="C70" s="17"/>
      <c r="D70" s="154"/>
      <c r="E70" s="155">
        <f t="shared" si="14"/>
        <v>0</v>
      </c>
      <c r="F70" s="156"/>
      <c r="G70" s="17"/>
      <c r="H70" s="154"/>
      <c r="I70" s="155">
        <f t="shared" si="15"/>
        <v>0</v>
      </c>
      <c r="J70" s="157"/>
      <c r="K70" s="17"/>
      <c r="L70" s="154"/>
      <c r="M70" s="155">
        <f t="shared" si="16"/>
        <v>0</v>
      </c>
      <c r="N70" s="156"/>
      <c r="O70" s="17"/>
      <c r="P70" s="47">
        <f t="shared" si="17"/>
        <v>0</v>
      </c>
      <c r="Q70" s="17"/>
    </row>
    <row r="71" spans="2:17" ht="15.75" x14ac:dyDescent="0.25">
      <c r="B71" s="48" t="s">
        <v>136</v>
      </c>
      <c r="C71" s="17"/>
      <c r="D71" s="154"/>
      <c r="E71" s="155">
        <f t="shared" si="14"/>
        <v>0</v>
      </c>
      <c r="F71" s="156"/>
      <c r="G71" s="17"/>
      <c r="H71" s="154"/>
      <c r="I71" s="155">
        <f t="shared" si="15"/>
        <v>0</v>
      </c>
      <c r="J71" s="157"/>
      <c r="K71" s="17"/>
      <c r="L71" s="154"/>
      <c r="M71" s="155">
        <f t="shared" si="16"/>
        <v>0</v>
      </c>
      <c r="N71" s="156"/>
      <c r="O71" s="17"/>
      <c r="P71" s="47">
        <f t="shared" si="17"/>
        <v>0</v>
      </c>
      <c r="Q71" s="17"/>
    </row>
    <row r="72" spans="2:17" ht="15.75" x14ac:dyDescent="0.25">
      <c r="B72" s="48" t="s">
        <v>137</v>
      </c>
      <c r="C72" s="17"/>
      <c r="D72" s="154"/>
      <c r="E72" s="155">
        <f t="shared" si="14"/>
        <v>0</v>
      </c>
      <c r="F72" s="156"/>
      <c r="G72" s="17"/>
      <c r="H72" s="154"/>
      <c r="I72" s="155">
        <f t="shared" si="15"/>
        <v>0</v>
      </c>
      <c r="J72" s="157"/>
      <c r="K72" s="17"/>
      <c r="L72" s="154"/>
      <c r="M72" s="155">
        <f t="shared" si="16"/>
        <v>0</v>
      </c>
      <c r="N72" s="156"/>
      <c r="O72" s="17"/>
      <c r="P72" s="47">
        <f t="shared" si="17"/>
        <v>0</v>
      </c>
      <c r="Q72" s="17"/>
    </row>
    <row r="73" spans="2:17" ht="15.75" x14ac:dyDescent="0.25">
      <c r="B73" s="48" t="s">
        <v>138</v>
      </c>
      <c r="C73" s="17"/>
      <c r="D73" s="154"/>
      <c r="E73" s="155">
        <f t="shared" si="14"/>
        <v>0</v>
      </c>
      <c r="F73" s="156"/>
      <c r="G73" s="17"/>
      <c r="H73" s="154"/>
      <c r="I73" s="155">
        <f t="shared" si="15"/>
        <v>0</v>
      </c>
      <c r="J73" s="157"/>
      <c r="K73" s="17"/>
      <c r="L73" s="154"/>
      <c r="M73" s="155">
        <f t="shared" si="16"/>
        <v>0</v>
      </c>
      <c r="N73" s="156"/>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6" t="s">
        <v>253</v>
      </c>
      <c r="C77" s="140"/>
      <c r="D77" s="205" t="s">
        <v>227</v>
      </c>
      <c r="E77" s="205"/>
      <c r="F77" s="205"/>
      <c r="G77" s="140"/>
      <c r="H77" s="205" t="s">
        <v>230</v>
      </c>
      <c r="I77" s="205"/>
      <c r="J77" s="205"/>
      <c r="K77" s="140"/>
      <c r="L77" s="205" t="s">
        <v>229</v>
      </c>
      <c r="M77" s="205"/>
      <c r="N77" s="205"/>
      <c r="O77" s="140"/>
      <c r="P77" s="163" t="s">
        <v>228</v>
      </c>
      <c r="Q77" s="17"/>
    </row>
    <row r="78" spans="2:17" ht="16.5" x14ac:dyDescent="0.3">
      <c r="B78" s="167"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4"/>
      <c r="E81" s="155">
        <f t="shared" ref="E81:E92" si="18">IF(D81&lt;&gt;0,F81/D81,0)</f>
        <v>0</v>
      </c>
      <c r="F81" s="156"/>
      <c r="G81" s="17"/>
      <c r="H81" s="154"/>
      <c r="I81" s="155">
        <f t="shared" ref="I81:I92" si="19">IF(H81&lt;&gt;0,J81/H81,0)</f>
        <v>0</v>
      </c>
      <c r="J81" s="157"/>
      <c r="K81" s="17"/>
      <c r="L81" s="154"/>
      <c r="M81" s="155">
        <f t="shared" ref="M81:M92" si="20">IF(L81&lt;&gt;0,N81/L81,0)</f>
        <v>0</v>
      </c>
      <c r="N81" s="156"/>
      <c r="O81" s="17"/>
      <c r="P81" s="47">
        <f t="shared" ref="P81:P92" si="21">J81+N81</f>
        <v>0</v>
      </c>
      <c r="Q81" s="17"/>
    </row>
    <row r="82" spans="2:17" ht="15.75" x14ac:dyDescent="0.25">
      <c r="B82" s="48" t="s">
        <v>128</v>
      </c>
      <c r="C82" s="17"/>
      <c r="D82" s="154"/>
      <c r="E82" s="155">
        <f t="shared" si="18"/>
        <v>0</v>
      </c>
      <c r="F82" s="156"/>
      <c r="G82" s="17"/>
      <c r="H82" s="154"/>
      <c r="I82" s="155">
        <f t="shared" si="19"/>
        <v>0</v>
      </c>
      <c r="J82" s="157"/>
      <c r="K82" s="17"/>
      <c r="L82" s="154"/>
      <c r="M82" s="155">
        <f t="shared" si="20"/>
        <v>0</v>
      </c>
      <c r="N82" s="156"/>
      <c r="O82" s="17"/>
      <c r="P82" s="47">
        <f t="shared" si="21"/>
        <v>0</v>
      </c>
      <c r="Q82" s="17"/>
    </row>
    <row r="83" spans="2:17" ht="15.75" x14ac:dyDescent="0.25">
      <c r="B83" s="48" t="s">
        <v>129</v>
      </c>
      <c r="C83" s="17"/>
      <c r="D83" s="154"/>
      <c r="E83" s="155">
        <f t="shared" si="18"/>
        <v>0</v>
      </c>
      <c r="F83" s="156"/>
      <c r="G83" s="17"/>
      <c r="H83" s="154"/>
      <c r="I83" s="155">
        <f t="shared" si="19"/>
        <v>0</v>
      </c>
      <c r="J83" s="157"/>
      <c r="K83" s="17"/>
      <c r="L83" s="154"/>
      <c r="M83" s="155">
        <f t="shared" si="20"/>
        <v>0</v>
      </c>
      <c r="N83" s="156"/>
      <c r="O83" s="17"/>
      <c r="P83" s="47">
        <f t="shared" si="21"/>
        <v>0</v>
      </c>
      <c r="Q83" s="17"/>
    </row>
    <row r="84" spans="2:17" ht="15.75" x14ac:dyDescent="0.25">
      <c r="B84" s="48" t="s">
        <v>130</v>
      </c>
      <c r="C84" s="17"/>
      <c r="D84" s="154"/>
      <c r="E84" s="155">
        <f t="shared" si="18"/>
        <v>0</v>
      </c>
      <c r="F84" s="156"/>
      <c r="G84" s="17"/>
      <c r="H84" s="154"/>
      <c r="I84" s="155">
        <f t="shared" si="19"/>
        <v>0</v>
      </c>
      <c r="J84" s="157"/>
      <c r="K84" s="17"/>
      <c r="L84" s="154"/>
      <c r="M84" s="155">
        <f t="shared" si="20"/>
        <v>0</v>
      </c>
      <c r="N84" s="156"/>
      <c r="O84" s="17"/>
      <c r="P84" s="47">
        <f t="shared" si="21"/>
        <v>0</v>
      </c>
      <c r="Q84" s="17"/>
    </row>
    <row r="85" spans="2:17" ht="15.75" x14ac:dyDescent="0.25">
      <c r="B85" s="48" t="s">
        <v>131</v>
      </c>
      <c r="C85" s="17"/>
      <c r="D85" s="154"/>
      <c r="E85" s="155">
        <f t="shared" si="18"/>
        <v>0</v>
      </c>
      <c r="F85" s="156"/>
      <c r="G85" s="17"/>
      <c r="H85" s="154"/>
      <c r="I85" s="155">
        <f t="shared" si="19"/>
        <v>0</v>
      </c>
      <c r="J85" s="157"/>
      <c r="K85" s="17"/>
      <c r="L85" s="154"/>
      <c r="M85" s="155">
        <f t="shared" si="20"/>
        <v>0</v>
      </c>
      <c r="N85" s="156"/>
      <c r="O85" s="17"/>
      <c r="P85" s="47">
        <f t="shared" si="21"/>
        <v>0</v>
      </c>
      <c r="Q85" s="17"/>
    </row>
    <row r="86" spans="2:17" ht="15.75" x14ac:dyDescent="0.25">
      <c r="B86" s="48" t="s">
        <v>132</v>
      </c>
      <c r="C86" s="17"/>
      <c r="D86" s="154"/>
      <c r="E86" s="155">
        <f t="shared" si="18"/>
        <v>0</v>
      </c>
      <c r="F86" s="156"/>
      <c r="G86" s="17"/>
      <c r="H86" s="154"/>
      <c r="I86" s="155">
        <f t="shared" si="19"/>
        <v>0</v>
      </c>
      <c r="J86" s="157"/>
      <c r="K86" s="17"/>
      <c r="L86" s="154"/>
      <c r="M86" s="155">
        <f t="shared" si="20"/>
        <v>0</v>
      </c>
      <c r="N86" s="156"/>
      <c r="O86" s="17"/>
      <c r="P86" s="47">
        <f t="shared" si="21"/>
        <v>0</v>
      </c>
      <c r="Q86" s="17"/>
    </row>
    <row r="87" spans="2:17" ht="15.75" x14ac:dyDescent="0.25">
      <c r="B87" s="48" t="s">
        <v>133</v>
      </c>
      <c r="C87" s="17"/>
      <c r="D87" s="154"/>
      <c r="E87" s="155">
        <f t="shared" si="18"/>
        <v>0</v>
      </c>
      <c r="F87" s="156"/>
      <c r="G87" s="17"/>
      <c r="H87" s="154"/>
      <c r="I87" s="155">
        <f t="shared" si="19"/>
        <v>0</v>
      </c>
      <c r="J87" s="157"/>
      <c r="K87" s="17"/>
      <c r="L87" s="154"/>
      <c r="M87" s="155">
        <f t="shared" si="20"/>
        <v>0</v>
      </c>
      <c r="N87" s="156"/>
      <c r="O87" s="17"/>
      <c r="P87" s="47">
        <f t="shared" si="21"/>
        <v>0</v>
      </c>
      <c r="Q87" s="17"/>
    </row>
    <row r="88" spans="2:17" ht="15.75" x14ac:dyDescent="0.25">
      <c r="B88" s="48" t="s">
        <v>134</v>
      </c>
      <c r="C88" s="17"/>
      <c r="D88" s="154"/>
      <c r="E88" s="155">
        <f t="shared" si="18"/>
        <v>0</v>
      </c>
      <c r="F88" s="156"/>
      <c r="G88" s="17"/>
      <c r="H88" s="154"/>
      <c r="I88" s="155">
        <f t="shared" si="19"/>
        <v>0</v>
      </c>
      <c r="J88" s="157"/>
      <c r="K88" s="17"/>
      <c r="L88" s="154"/>
      <c r="M88" s="155">
        <f t="shared" si="20"/>
        <v>0</v>
      </c>
      <c r="N88" s="156"/>
      <c r="O88" s="17"/>
      <c r="P88" s="47">
        <f t="shared" si="21"/>
        <v>0</v>
      </c>
      <c r="Q88" s="17"/>
    </row>
    <row r="89" spans="2:17" ht="15.75" x14ac:dyDescent="0.25">
      <c r="B89" s="48" t="s">
        <v>135</v>
      </c>
      <c r="C89" s="17"/>
      <c r="D89" s="154"/>
      <c r="E89" s="155">
        <f t="shared" si="18"/>
        <v>0</v>
      </c>
      <c r="F89" s="156"/>
      <c r="G89" s="17"/>
      <c r="H89" s="154"/>
      <c r="I89" s="155">
        <f t="shared" si="19"/>
        <v>0</v>
      </c>
      <c r="J89" s="157"/>
      <c r="K89" s="17"/>
      <c r="L89" s="154"/>
      <c r="M89" s="155">
        <f t="shared" si="20"/>
        <v>0</v>
      </c>
      <c r="N89" s="156"/>
      <c r="O89" s="17"/>
      <c r="P89" s="47">
        <f t="shared" si="21"/>
        <v>0</v>
      </c>
      <c r="Q89" s="17"/>
    </row>
    <row r="90" spans="2:17" ht="15.75" x14ac:dyDescent="0.25">
      <c r="B90" s="48" t="s">
        <v>136</v>
      </c>
      <c r="C90" s="17"/>
      <c r="D90" s="154"/>
      <c r="E90" s="155">
        <f t="shared" si="18"/>
        <v>0</v>
      </c>
      <c r="F90" s="156"/>
      <c r="G90" s="17"/>
      <c r="H90" s="154"/>
      <c r="I90" s="155">
        <f t="shared" si="19"/>
        <v>0</v>
      </c>
      <c r="J90" s="157"/>
      <c r="K90" s="17"/>
      <c r="L90" s="154"/>
      <c r="M90" s="155">
        <f t="shared" si="20"/>
        <v>0</v>
      </c>
      <c r="N90" s="156"/>
      <c r="O90" s="17"/>
      <c r="P90" s="47">
        <f t="shared" si="21"/>
        <v>0</v>
      </c>
      <c r="Q90" s="17"/>
    </row>
    <row r="91" spans="2:17" ht="15.75" x14ac:dyDescent="0.25">
      <c r="B91" s="48" t="s">
        <v>137</v>
      </c>
      <c r="C91" s="17"/>
      <c r="D91" s="154"/>
      <c r="E91" s="155">
        <f t="shared" si="18"/>
        <v>0</v>
      </c>
      <c r="F91" s="156"/>
      <c r="G91" s="17"/>
      <c r="H91" s="154"/>
      <c r="I91" s="155">
        <f t="shared" si="19"/>
        <v>0</v>
      </c>
      <c r="J91" s="157"/>
      <c r="K91" s="17"/>
      <c r="L91" s="154"/>
      <c r="M91" s="155">
        <f t="shared" si="20"/>
        <v>0</v>
      </c>
      <c r="N91" s="156"/>
      <c r="O91" s="17"/>
      <c r="P91" s="47">
        <f t="shared" si="21"/>
        <v>0</v>
      </c>
      <c r="Q91" s="17"/>
    </row>
    <row r="92" spans="2:17" ht="15.75" x14ac:dyDescent="0.25">
      <c r="B92" s="48" t="s">
        <v>138</v>
      </c>
      <c r="C92" s="17"/>
      <c r="D92" s="154"/>
      <c r="E92" s="155">
        <f t="shared" si="18"/>
        <v>0</v>
      </c>
      <c r="F92" s="156"/>
      <c r="G92" s="17"/>
      <c r="H92" s="154"/>
      <c r="I92" s="155">
        <f t="shared" si="19"/>
        <v>0</v>
      </c>
      <c r="J92" s="157"/>
      <c r="K92" s="17"/>
      <c r="L92" s="154"/>
      <c r="M92" s="155">
        <f t="shared" si="20"/>
        <v>0</v>
      </c>
      <c r="N92" s="156"/>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485762</v>
      </c>
      <c r="E100" s="86">
        <f t="shared" ref="E100:E111" si="22">IF(D100&lt;&gt;0,F100/D100,0)</f>
        <v>3.5700000000000003</v>
      </c>
      <c r="F100" s="47">
        <f>F24+F43+F62+F81</f>
        <v>1734170.34</v>
      </c>
      <c r="G100" s="17"/>
      <c r="H100" s="53">
        <f>H24+H43+H62+H81</f>
        <v>516521</v>
      </c>
      <c r="I100" s="86">
        <f t="shared" ref="I100:I111" si="23">IF(H100&lt;&gt;0,J100/H100,0)</f>
        <v>0.79999999999999993</v>
      </c>
      <c r="J100" s="47">
        <f>J24+J43+J62+J81</f>
        <v>413216.8</v>
      </c>
      <c r="K100" s="17"/>
      <c r="L100" s="53">
        <f>L24+L43+L62+L81</f>
        <v>516521</v>
      </c>
      <c r="M100" s="86">
        <f t="shared" ref="M100:M111" si="24">IF(L100&lt;&gt;0,N100/L100,0)</f>
        <v>1.86</v>
      </c>
      <c r="N100" s="47">
        <f>N24+N43+N62+N81</f>
        <v>960729.06</v>
      </c>
      <c r="O100" s="17"/>
      <c r="P100" s="47">
        <f t="shared" ref="P100:P111" si="25">J100+N100</f>
        <v>1373945.86</v>
      </c>
      <c r="Q100" s="17"/>
    </row>
    <row r="101" spans="2:17" ht="15.75" x14ac:dyDescent="0.25">
      <c r="B101" s="48" t="s">
        <v>128</v>
      </c>
      <c r="C101" s="17"/>
      <c r="D101" s="53">
        <f t="shared" ref="D101:D111" si="26">D25+D44+D63+D82</f>
        <v>457849</v>
      </c>
      <c r="E101" s="86">
        <f t="shared" si="22"/>
        <v>3.57</v>
      </c>
      <c r="F101" s="47">
        <f t="shared" ref="F101:F111" si="27">F25+F44+F63+F82</f>
        <v>1634520.93</v>
      </c>
      <c r="G101" s="17"/>
      <c r="H101" s="53">
        <f t="shared" ref="H101:H111" si="28">H25+H44+H63+H82</f>
        <v>490710</v>
      </c>
      <c r="I101" s="86">
        <f t="shared" si="23"/>
        <v>0.8</v>
      </c>
      <c r="J101" s="47">
        <f t="shared" ref="J101:J111" si="29">J25+J44+J63+J82</f>
        <v>392568</v>
      </c>
      <c r="K101" s="17"/>
      <c r="L101" s="53">
        <f t="shared" ref="L101:L111" si="30">L25+L44+L63+L82</f>
        <v>490710</v>
      </c>
      <c r="M101" s="86">
        <f t="shared" si="24"/>
        <v>1.8599999999999999</v>
      </c>
      <c r="N101" s="47">
        <f t="shared" ref="N101:N111" si="31">N25+N44+N63+N82</f>
        <v>912720.6</v>
      </c>
      <c r="O101" s="17"/>
      <c r="P101" s="47">
        <f t="shared" si="25"/>
        <v>1305288.6000000001</v>
      </c>
      <c r="Q101" s="17"/>
    </row>
    <row r="102" spans="2:17" ht="15.75" x14ac:dyDescent="0.25">
      <c r="B102" s="48" t="s">
        <v>129</v>
      </c>
      <c r="C102" s="17"/>
      <c r="D102" s="53">
        <f t="shared" si="26"/>
        <v>450864</v>
      </c>
      <c r="E102" s="86">
        <f t="shared" si="22"/>
        <v>3.57</v>
      </c>
      <c r="F102" s="47">
        <f t="shared" si="27"/>
        <v>1609584.48</v>
      </c>
      <c r="G102" s="17"/>
      <c r="H102" s="53">
        <f t="shared" si="28"/>
        <v>473676</v>
      </c>
      <c r="I102" s="86">
        <f t="shared" si="23"/>
        <v>0.79999999999999993</v>
      </c>
      <c r="J102" s="47">
        <f t="shared" si="29"/>
        <v>378940.8</v>
      </c>
      <c r="K102" s="17"/>
      <c r="L102" s="53">
        <f t="shared" si="30"/>
        <v>473676</v>
      </c>
      <c r="M102" s="86">
        <f t="shared" si="24"/>
        <v>1.8599999999999999</v>
      </c>
      <c r="N102" s="47">
        <f t="shared" si="31"/>
        <v>881037.36</v>
      </c>
      <c r="O102" s="17"/>
      <c r="P102" s="47">
        <f t="shared" si="25"/>
        <v>1259978.1599999999</v>
      </c>
      <c r="Q102" s="17"/>
    </row>
    <row r="103" spans="2:17" ht="15.75" x14ac:dyDescent="0.25">
      <c r="B103" s="48" t="s">
        <v>130</v>
      </c>
      <c r="C103" s="17"/>
      <c r="D103" s="53">
        <f t="shared" si="26"/>
        <v>410704</v>
      </c>
      <c r="E103" s="86">
        <f t="shared" si="22"/>
        <v>3.5700000000000003</v>
      </c>
      <c r="F103" s="47">
        <f t="shared" si="27"/>
        <v>1466213.28</v>
      </c>
      <c r="G103" s="17"/>
      <c r="H103" s="53">
        <f t="shared" si="28"/>
        <v>526691</v>
      </c>
      <c r="I103" s="86">
        <f t="shared" si="23"/>
        <v>0.79999925952788253</v>
      </c>
      <c r="J103" s="47">
        <f t="shared" si="29"/>
        <v>421352.41</v>
      </c>
      <c r="K103" s="17"/>
      <c r="L103" s="53">
        <f t="shared" si="30"/>
        <v>523472</v>
      </c>
      <c r="M103" s="86">
        <f t="shared" si="24"/>
        <v>1.8600012990188586</v>
      </c>
      <c r="N103" s="47">
        <f t="shared" si="31"/>
        <v>973658.6</v>
      </c>
      <c r="O103" s="17"/>
      <c r="P103" s="47">
        <f t="shared" si="25"/>
        <v>1395011.01</v>
      </c>
      <c r="Q103" s="17"/>
    </row>
    <row r="104" spans="2:17" ht="15.75" x14ac:dyDescent="0.25">
      <c r="B104" s="48" t="s">
        <v>131</v>
      </c>
      <c r="C104" s="17"/>
      <c r="D104" s="53">
        <f t="shared" si="26"/>
        <v>580620</v>
      </c>
      <c r="E104" s="86">
        <f t="shared" si="22"/>
        <v>3.57</v>
      </c>
      <c r="F104" s="47">
        <f t="shared" si="27"/>
        <v>2072813.4</v>
      </c>
      <c r="G104" s="17"/>
      <c r="H104" s="53">
        <f t="shared" si="28"/>
        <v>593343</v>
      </c>
      <c r="I104" s="86">
        <f t="shared" si="23"/>
        <v>0.8</v>
      </c>
      <c r="J104" s="47">
        <f t="shared" si="29"/>
        <v>474674.4</v>
      </c>
      <c r="K104" s="17"/>
      <c r="L104" s="53">
        <f t="shared" si="30"/>
        <v>593343</v>
      </c>
      <c r="M104" s="86">
        <f t="shared" si="24"/>
        <v>1.8599999999999999</v>
      </c>
      <c r="N104" s="47">
        <f t="shared" si="31"/>
        <v>1103617.98</v>
      </c>
      <c r="O104" s="17"/>
      <c r="P104" s="47">
        <f t="shared" si="25"/>
        <v>1578292.38</v>
      </c>
      <c r="Q104" s="17"/>
    </row>
    <row r="105" spans="2:17" ht="15.75" x14ac:dyDescent="0.25">
      <c r="B105" s="48" t="s">
        <v>132</v>
      </c>
      <c r="C105" s="17"/>
      <c r="D105" s="53">
        <f t="shared" si="26"/>
        <v>670610</v>
      </c>
      <c r="E105" s="86">
        <f t="shared" si="22"/>
        <v>3.5700000000000003</v>
      </c>
      <c r="F105" s="47">
        <f t="shared" si="27"/>
        <v>2394077.7000000002</v>
      </c>
      <c r="G105" s="17"/>
      <c r="H105" s="53">
        <f t="shared" si="28"/>
        <v>713682</v>
      </c>
      <c r="I105" s="86">
        <f t="shared" si="23"/>
        <v>0.79999999999999993</v>
      </c>
      <c r="J105" s="47">
        <f t="shared" si="29"/>
        <v>570945.6</v>
      </c>
      <c r="K105" s="17"/>
      <c r="L105" s="53">
        <f t="shared" si="30"/>
        <v>713682</v>
      </c>
      <c r="M105" s="86">
        <f t="shared" si="24"/>
        <v>1.86</v>
      </c>
      <c r="N105" s="47">
        <f t="shared" si="31"/>
        <v>1327448.52</v>
      </c>
      <c r="O105" s="17"/>
      <c r="P105" s="47">
        <f t="shared" si="25"/>
        <v>1898394.12</v>
      </c>
      <c r="Q105" s="17"/>
    </row>
    <row r="106" spans="2:17" ht="15.75" x14ac:dyDescent="0.25">
      <c r="B106" s="48" t="s">
        <v>133</v>
      </c>
      <c r="C106" s="17"/>
      <c r="D106" s="53">
        <f t="shared" si="26"/>
        <v>695594</v>
      </c>
      <c r="E106" s="86">
        <f t="shared" si="22"/>
        <v>3.5700000000000003</v>
      </c>
      <c r="F106" s="47">
        <f t="shared" si="27"/>
        <v>2483270.58</v>
      </c>
      <c r="G106" s="17"/>
      <c r="H106" s="53">
        <f t="shared" si="28"/>
        <v>718615</v>
      </c>
      <c r="I106" s="86">
        <f t="shared" si="23"/>
        <v>0.8</v>
      </c>
      <c r="J106" s="47">
        <f t="shared" si="29"/>
        <v>574892</v>
      </c>
      <c r="K106" s="17"/>
      <c r="L106" s="53">
        <f t="shared" si="30"/>
        <v>718615</v>
      </c>
      <c r="M106" s="86">
        <f t="shared" si="24"/>
        <v>1.8599999999999999</v>
      </c>
      <c r="N106" s="47">
        <f t="shared" si="31"/>
        <v>1336623.8999999999</v>
      </c>
      <c r="O106" s="17"/>
      <c r="P106" s="47">
        <f t="shared" si="25"/>
        <v>1911515.9</v>
      </c>
      <c r="Q106" s="17"/>
    </row>
    <row r="107" spans="2:17" ht="15.75" x14ac:dyDescent="0.25">
      <c r="B107" s="48" t="s">
        <v>134</v>
      </c>
      <c r="C107" s="17"/>
      <c r="D107" s="53">
        <f t="shared" si="26"/>
        <v>612979</v>
      </c>
      <c r="E107" s="86">
        <f t="shared" si="22"/>
        <v>3.57</v>
      </c>
      <c r="F107" s="47">
        <f t="shared" si="27"/>
        <v>2188335.0299999998</v>
      </c>
      <c r="G107" s="17"/>
      <c r="H107" s="53">
        <f t="shared" si="28"/>
        <v>627097</v>
      </c>
      <c r="I107" s="86">
        <f t="shared" si="23"/>
        <v>0.79999999999999993</v>
      </c>
      <c r="J107" s="47">
        <f t="shared" si="29"/>
        <v>501677.6</v>
      </c>
      <c r="K107" s="17"/>
      <c r="L107" s="53">
        <f t="shared" si="30"/>
        <v>627097</v>
      </c>
      <c r="M107" s="86">
        <f t="shared" si="24"/>
        <v>1.8599999999999999</v>
      </c>
      <c r="N107" s="47">
        <f t="shared" si="31"/>
        <v>1166400.42</v>
      </c>
      <c r="O107" s="17"/>
      <c r="P107" s="47">
        <f t="shared" si="25"/>
        <v>1668078.02</v>
      </c>
      <c r="Q107" s="17"/>
    </row>
    <row r="108" spans="2:17" ht="15.75" x14ac:dyDescent="0.25">
      <c r="B108" s="48" t="s">
        <v>135</v>
      </c>
      <c r="C108" s="17"/>
      <c r="D108" s="53">
        <f t="shared" si="26"/>
        <v>562961</v>
      </c>
      <c r="E108" s="86">
        <f t="shared" si="22"/>
        <v>3.57</v>
      </c>
      <c r="F108" s="47">
        <f t="shared" si="27"/>
        <v>2009770.77</v>
      </c>
      <c r="G108" s="17"/>
      <c r="H108" s="53">
        <f t="shared" si="28"/>
        <v>596219</v>
      </c>
      <c r="I108" s="86">
        <f t="shared" si="23"/>
        <v>0.8</v>
      </c>
      <c r="J108" s="47">
        <f t="shared" si="29"/>
        <v>476975.2</v>
      </c>
      <c r="K108" s="17"/>
      <c r="L108" s="53">
        <f t="shared" si="30"/>
        <v>596219</v>
      </c>
      <c r="M108" s="86">
        <f t="shared" si="24"/>
        <v>1.86</v>
      </c>
      <c r="N108" s="47">
        <f t="shared" si="31"/>
        <v>1108967.3400000001</v>
      </c>
      <c r="O108" s="17"/>
      <c r="P108" s="47">
        <f t="shared" si="25"/>
        <v>1585942.54</v>
      </c>
      <c r="Q108" s="17"/>
    </row>
    <row r="109" spans="2:17" ht="15.75" x14ac:dyDescent="0.25">
      <c r="B109" s="48" t="s">
        <v>136</v>
      </c>
      <c r="C109" s="17"/>
      <c r="D109" s="53">
        <f t="shared" si="26"/>
        <v>464290</v>
      </c>
      <c r="E109" s="86">
        <f t="shared" si="22"/>
        <v>3.5700000000000003</v>
      </c>
      <c r="F109" s="47">
        <f t="shared" si="27"/>
        <v>1657515.3</v>
      </c>
      <c r="G109" s="17"/>
      <c r="H109" s="53">
        <f t="shared" si="28"/>
        <v>499230</v>
      </c>
      <c r="I109" s="86">
        <f t="shared" si="23"/>
        <v>0.8</v>
      </c>
      <c r="J109" s="47">
        <f t="shared" si="29"/>
        <v>399384</v>
      </c>
      <c r="K109" s="17"/>
      <c r="L109" s="53">
        <f t="shared" si="30"/>
        <v>499230</v>
      </c>
      <c r="M109" s="86">
        <f t="shared" si="24"/>
        <v>1.86</v>
      </c>
      <c r="N109" s="47">
        <f t="shared" si="31"/>
        <v>928567.8</v>
      </c>
      <c r="O109" s="17"/>
      <c r="P109" s="47">
        <f t="shared" si="25"/>
        <v>1327951.8</v>
      </c>
      <c r="Q109" s="17"/>
    </row>
    <row r="110" spans="2:17" ht="15.75" x14ac:dyDescent="0.25">
      <c r="B110" s="48" t="s">
        <v>137</v>
      </c>
      <c r="C110" s="17"/>
      <c r="D110" s="53">
        <f t="shared" si="26"/>
        <v>459555</v>
      </c>
      <c r="E110" s="86">
        <f t="shared" si="22"/>
        <v>3.5700000000000003</v>
      </c>
      <c r="F110" s="47">
        <f t="shared" si="27"/>
        <v>1640611.35</v>
      </c>
      <c r="G110" s="17"/>
      <c r="H110" s="53">
        <f t="shared" si="28"/>
        <v>487279</v>
      </c>
      <c r="I110" s="86">
        <f t="shared" si="23"/>
        <v>0.8</v>
      </c>
      <c r="J110" s="47">
        <f t="shared" si="29"/>
        <v>389823.2</v>
      </c>
      <c r="K110" s="17"/>
      <c r="L110" s="53">
        <f t="shared" si="30"/>
        <v>487279</v>
      </c>
      <c r="M110" s="86">
        <f t="shared" si="24"/>
        <v>1.8599999999999999</v>
      </c>
      <c r="N110" s="47">
        <f t="shared" si="31"/>
        <v>906338.94</v>
      </c>
      <c r="O110" s="17"/>
      <c r="P110" s="47">
        <f t="shared" si="25"/>
        <v>1296162.1399999999</v>
      </c>
      <c r="Q110" s="17"/>
    </row>
    <row r="111" spans="2:17" ht="15.75" x14ac:dyDescent="0.25">
      <c r="B111" s="48" t="s">
        <v>138</v>
      </c>
      <c r="C111" s="17"/>
      <c r="D111" s="53">
        <f t="shared" si="26"/>
        <v>456843</v>
      </c>
      <c r="E111" s="86">
        <f t="shared" si="22"/>
        <v>3.57</v>
      </c>
      <c r="F111" s="47">
        <f t="shared" si="27"/>
        <v>1630929.51</v>
      </c>
      <c r="G111" s="17"/>
      <c r="H111" s="53">
        <f t="shared" si="28"/>
        <v>496770</v>
      </c>
      <c r="I111" s="86">
        <f t="shared" si="23"/>
        <v>0.8</v>
      </c>
      <c r="J111" s="47">
        <f t="shared" si="29"/>
        <v>397416</v>
      </c>
      <c r="K111" s="17"/>
      <c r="L111" s="53">
        <f t="shared" si="30"/>
        <v>496770</v>
      </c>
      <c r="M111" s="86">
        <f t="shared" si="24"/>
        <v>1.8599999999999999</v>
      </c>
      <c r="N111" s="47">
        <f t="shared" si="31"/>
        <v>923992.2</v>
      </c>
      <c r="O111" s="17"/>
      <c r="P111" s="47">
        <f t="shared" si="25"/>
        <v>1321408.2</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6308631</v>
      </c>
      <c r="E113" s="51">
        <f>IF(D113&lt;&gt;0,F113/D113,0)</f>
        <v>3.5700000000000003</v>
      </c>
      <c r="F113" s="52">
        <f>SUM(F100:F111)</f>
        <v>22521812.670000002</v>
      </c>
      <c r="G113" s="17"/>
      <c r="H113" s="50">
        <f>SUM(H100:H111)</f>
        <v>6739833</v>
      </c>
      <c r="I113" s="51">
        <f>IF(H113&lt;&gt;0,J113/H113,0)</f>
        <v>0.79999994213506487</v>
      </c>
      <c r="J113" s="52">
        <f>SUM(J100:J111)</f>
        <v>5391866.0100000007</v>
      </c>
      <c r="K113" s="17"/>
      <c r="L113" s="50">
        <f>SUM(L100:L111)</f>
        <v>6736614</v>
      </c>
      <c r="M113" s="51">
        <f>IF(L113&lt;&gt;0,N113/L113,0)</f>
        <v>1.8600001009409177</v>
      </c>
      <c r="N113" s="52">
        <f>SUM(N100:N111)</f>
        <v>12530102.719999999</v>
      </c>
      <c r="O113" s="17"/>
      <c r="P113" s="52">
        <f>SUM(P100:P111)</f>
        <v>17921968.73</v>
      </c>
      <c r="Q113" s="17"/>
    </row>
    <row r="114" spans="2:17" x14ac:dyDescent="0.2">
      <c r="P114" s="47"/>
    </row>
    <row r="115" spans="2:17" x14ac:dyDescent="0.2">
      <c r="M115" s="168"/>
      <c r="N115" s="169" t="s">
        <v>255</v>
      </c>
      <c r="P115" s="172">
        <f>'5. UTRs and Sub-Transmission'!E95</f>
        <v>0</v>
      </c>
    </row>
    <row r="117" spans="2:17" ht="13.5" thickBot="1" x14ac:dyDescent="0.25">
      <c r="N117" s="170" t="s">
        <v>258</v>
      </c>
      <c r="P117" s="52">
        <f>P113+P115</f>
        <v>17921968.73</v>
      </c>
    </row>
  </sheetData>
  <sheetProtection password="F8BD" sheet="1" objects="1" scenarios="1"/>
  <mergeCells count="18">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 ref="H96:J96"/>
    <mergeCell ref="L96:N96"/>
    <mergeCell ref="H97:J97"/>
    <mergeCell ref="L97:N97"/>
  </mergeCells>
  <phoneticPr fontId="21" type="noConversion"/>
  <pageMargins left="0.74803149606299213" right="0.74803149606299213" top="0.98425196850393704" bottom="0.35433070866141736" header="0.51181102362204722" footer="0.15748031496062992"/>
  <pageSetup scale="53" orientation="portrait" r:id="rId1"/>
  <headerFooter alignWithMargins="0">
    <oddFooter>&amp;L&amp;A</oddFooter>
  </headerFooter>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117"/>
  <sheetViews>
    <sheetView showGridLines="0" topLeftCell="B1" zoomScaleNormal="100" workbookViewId="0">
      <pane ySplit="16" topLeftCell="A17" activePane="bottomLeft" state="frozenSplit"/>
      <selection activeCell="I48" sqref="I48"/>
      <selection pane="bottomLeft" activeCell="E108" sqref="E108"/>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07" t="s">
        <v>250</v>
      </c>
      <c r="C13" s="207"/>
      <c r="D13" s="207"/>
      <c r="E13" s="207"/>
      <c r="F13" s="207"/>
      <c r="G13" s="207"/>
      <c r="H13" s="207"/>
      <c r="I13" s="207"/>
      <c r="J13" s="207"/>
      <c r="K13" s="207"/>
      <c r="L13" s="207"/>
    </row>
    <row r="19" spans="2:17" ht="15.75" x14ac:dyDescent="0.25">
      <c r="B19" s="17"/>
      <c r="C19" s="17"/>
      <c r="D19" s="18"/>
      <c r="E19" s="21"/>
      <c r="F19" s="17"/>
      <c r="G19" s="21"/>
      <c r="H19" s="17"/>
    </row>
    <row r="20" spans="2:17" ht="15.75" x14ac:dyDescent="0.2">
      <c r="B20" s="141" t="s">
        <v>226</v>
      </c>
      <c r="C20" s="140"/>
      <c r="D20" s="205" t="s">
        <v>227</v>
      </c>
      <c r="E20" s="205"/>
      <c r="F20" s="205"/>
      <c r="G20" s="140"/>
      <c r="H20" s="205" t="s">
        <v>230</v>
      </c>
      <c r="I20" s="205"/>
      <c r="J20" s="205"/>
      <c r="K20" s="140"/>
      <c r="L20" s="205" t="s">
        <v>229</v>
      </c>
      <c r="M20" s="205"/>
      <c r="N20" s="205"/>
      <c r="O20" s="140"/>
      <c r="P20" s="141" t="s">
        <v>228</v>
      </c>
      <c r="Q20" s="17"/>
    </row>
    <row r="21" spans="2:17" ht="15.75" x14ac:dyDescent="0.25">
      <c r="B21" s="17"/>
      <c r="C21" s="17"/>
      <c r="D21" s="206"/>
      <c r="E21" s="206"/>
      <c r="F21" s="206"/>
      <c r="G21" s="44"/>
      <c r="H21" s="206"/>
      <c r="I21" s="206"/>
      <c r="J21" s="206"/>
      <c r="K21" s="44"/>
      <c r="L21" s="206"/>
      <c r="M21" s="206"/>
      <c r="N21" s="206"/>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485762</v>
      </c>
      <c r="E24" s="88">
        <f>'5. UTRs and Sub-Transmission'!G22</f>
        <v>3.63</v>
      </c>
      <c r="F24" s="89">
        <f>D24*E24</f>
        <v>1763316.06</v>
      </c>
      <c r="G24" s="17"/>
      <c r="H24" s="87">
        <f>'6. Historical Wholesale'!H24</f>
        <v>516521</v>
      </c>
      <c r="I24" s="88">
        <f>'5. UTRs and Sub-Transmission'!G24</f>
        <v>0.75</v>
      </c>
      <c r="J24" s="89">
        <f>H24*I24</f>
        <v>387390.75</v>
      </c>
      <c r="K24" s="17"/>
      <c r="L24" s="87">
        <f>'6. Historical Wholesale'!L24</f>
        <v>516521</v>
      </c>
      <c r="M24" s="88">
        <f>'5. UTRs and Sub-Transmission'!G26</f>
        <v>1.85</v>
      </c>
      <c r="N24" s="89">
        <f>L24*M24</f>
        <v>955563.85000000009</v>
      </c>
      <c r="O24" s="17"/>
      <c r="P24" s="47">
        <f t="shared" ref="P24:P35" si="0">J24+N24</f>
        <v>1342954.6</v>
      </c>
      <c r="Q24" s="17"/>
    </row>
    <row r="25" spans="2:17" ht="15.75" x14ac:dyDescent="0.25">
      <c r="B25" s="48" t="s">
        <v>128</v>
      </c>
      <c r="C25" s="17"/>
      <c r="D25" s="87">
        <f>'6. Historical Wholesale'!D25</f>
        <v>457849</v>
      </c>
      <c r="E25" s="88">
        <f>E24</f>
        <v>3.63</v>
      </c>
      <c r="F25" s="89">
        <f t="shared" ref="F25:F35" si="1">D25*E25</f>
        <v>1661991.8699999999</v>
      </c>
      <c r="G25" s="17"/>
      <c r="H25" s="87">
        <f>'6. Historical Wholesale'!H25</f>
        <v>490710</v>
      </c>
      <c r="I25" s="88">
        <f>I24</f>
        <v>0.75</v>
      </c>
      <c r="J25" s="89">
        <f t="shared" ref="J25:J35" si="2">H25*I25</f>
        <v>368032.5</v>
      </c>
      <c r="K25" s="17"/>
      <c r="L25" s="87">
        <f>'6. Historical Wholesale'!L25</f>
        <v>490710</v>
      </c>
      <c r="M25" s="88">
        <f>M24</f>
        <v>1.85</v>
      </c>
      <c r="N25" s="89">
        <f t="shared" ref="N25:N35" si="3">L25*M25</f>
        <v>907813.5</v>
      </c>
      <c r="O25" s="17"/>
      <c r="P25" s="47">
        <f t="shared" si="0"/>
        <v>1275846</v>
      </c>
      <c r="Q25" s="17"/>
    </row>
    <row r="26" spans="2:17" ht="15.75" x14ac:dyDescent="0.25">
      <c r="B26" s="48" t="s">
        <v>129</v>
      </c>
      <c r="C26" s="17"/>
      <c r="D26" s="87">
        <f>'6. Historical Wholesale'!D26</f>
        <v>450864</v>
      </c>
      <c r="E26" s="88">
        <f t="shared" ref="E26:E35" si="4">E25</f>
        <v>3.63</v>
      </c>
      <c r="F26" s="89">
        <f t="shared" si="1"/>
        <v>1636636.32</v>
      </c>
      <c r="G26" s="17"/>
      <c r="H26" s="87">
        <f>'6. Historical Wholesale'!H26</f>
        <v>473676</v>
      </c>
      <c r="I26" s="88">
        <f t="shared" ref="I26:I35" si="5">I25</f>
        <v>0.75</v>
      </c>
      <c r="J26" s="89">
        <f t="shared" si="2"/>
        <v>355257</v>
      </c>
      <c r="K26" s="17"/>
      <c r="L26" s="87">
        <f>'6. Historical Wholesale'!L26</f>
        <v>473676</v>
      </c>
      <c r="M26" s="88">
        <f t="shared" ref="M26:M35" si="6">M25</f>
        <v>1.85</v>
      </c>
      <c r="N26" s="89">
        <f t="shared" si="3"/>
        <v>876300.60000000009</v>
      </c>
      <c r="O26" s="17"/>
      <c r="P26" s="47">
        <f t="shared" si="0"/>
        <v>1231557.6000000001</v>
      </c>
      <c r="Q26" s="17"/>
    </row>
    <row r="27" spans="2:17" ht="15.75" x14ac:dyDescent="0.25">
      <c r="B27" s="48" t="s">
        <v>130</v>
      </c>
      <c r="C27" s="17"/>
      <c r="D27" s="87">
        <f>'6. Historical Wholesale'!D27</f>
        <v>410704</v>
      </c>
      <c r="E27" s="88">
        <f t="shared" si="4"/>
        <v>3.63</v>
      </c>
      <c r="F27" s="89">
        <f t="shared" si="1"/>
        <v>1490855.52</v>
      </c>
      <c r="G27" s="17"/>
      <c r="H27" s="87">
        <f>'6. Historical Wholesale'!H27</f>
        <v>526691</v>
      </c>
      <c r="I27" s="88">
        <f t="shared" si="5"/>
        <v>0.75</v>
      </c>
      <c r="J27" s="89">
        <f t="shared" si="2"/>
        <v>395018.25</v>
      </c>
      <c r="K27" s="17"/>
      <c r="L27" s="87">
        <f>'6. Historical Wholesale'!L27</f>
        <v>523472</v>
      </c>
      <c r="M27" s="88">
        <f t="shared" si="6"/>
        <v>1.85</v>
      </c>
      <c r="N27" s="89">
        <f t="shared" si="3"/>
        <v>968423.20000000007</v>
      </c>
      <c r="O27" s="17"/>
      <c r="P27" s="47">
        <f t="shared" si="0"/>
        <v>1363441.4500000002</v>
      </c>
      <c r="Q27" s="17"/>
    </row>
    <row r="28" spans="2:17" ht="15.75" x14ac:dyDescent="0.25">
      <c r="B28" s="48" t="s">
        <v>131</v>
      </c>
      <c r="C28" s="17"/>
      <c r="D28" s="87">
        <f>'6. Historical Wholesale'!D28</f>
        <v>580620</v>
      </c>
      <c r="E28" s="88">
        <f t="shared" si="4"/>
        <v>3.63</v>
      </c>
      <c r="F28" s="89">
        <f t="shared" si="1"/>
        <v>2107650.6</v>
      </c>
      <c r="G28" s="17"/>
      <c r="H28" s="87">
        <f>'6. Historical Wholesale'!H28</f>
        <v>593343</v>
      </c>
      <c r="I28" s="88">
        <f t="shared" si="5"/>
        <v>0.75</v>
      </c>
      <c r="J28" s="89">
        <f t="shared" si="2"/>
        <v>445007.25</v>
      </c>
      <c r="K28" s="17"/>
      <c r="L28" s="87">
        <f>'6. Historical Wholesale'!L28</f>
        <v>593343</v>
      </c>
      <c r="M28" s="88">
        <f t="shared" si="6"/>
        <v>1.85</v>
      </c>
      <c r="N28" s="89">
        <f t="shared" si="3"/>
        <v>1097684.55</v>
      </c>
      <c r="O28" s="17"/>
      <c r="P28" s="47">
        <f t="shared" si="0"/>
        <v>1542691.8</v>
      </c>
      <c r="Q28" s="17"/>
    </row>
    <row r="29" spans="2:17" ht="15.75" x14ac:dyDescent="0.25">
      <c r="B29" s="48" t="s">
        <v>132</v>
      </c>
      <c r="C29" s="17"/>
      <c r="D29" s="87">
        <f>'6. Historical Wholesale'!D29</f>
        <v>670610</v>
      </c>
      <c r="E29" s="88">
        <f t="shared" si="4"/>
        <v>3.63</v>
      </c>
      <c r="F29" s="89">
        <f t="shared" si="1"/>
        <v>2434314.2999999998</v>
      </c>
      <c r="G29" s="17"/>
      <c r="H29" s="87">
        <f>'6. Historical Wholesale'!H29</f>
        <v>713682</v>
      </c>
      <c r="I29" s="88">
        <f t="shared" si="5"/>
        <v>0.75</v>
      </c>
      <c r="J29" s="89">
        <f t="shared" si="2"/>
        <v>535261.5</v>
      </c>
      <c r="K29" s="17"/>
      <c r="L29" s="87">
        <f>'6. Historical Wholesale'!L29</f>
        <v>713682</v>
      </c>
      <c r="M29" s="88">
        <f t="shared" si="6"/>
        <v>1.85</v>
      </c>
      <c r="N29" s="89">
        <f t="shared" si="3"/>
        <v>1320311.7</v>
      </c>
      <c r="O29" s="17"/>
      <c r="P29" s="47">
        <f t="shared" si="0"/>
        <v>1855573.2</v>
      </c>
      <c r="Q29" s="17"/>
    </row>
    <row r="30" spans="2:17" ht="15.75" x14ac:dyDescent="0.25">
      <c r="B30" s="48" t="s">
        <v>133</v>
      </c>
      <c r="C30" s="17"/>
      <c r="D30" s="87">
        <f>'6. Historical Wholesale'!D30</f>
        <v>695594</v>
      </c>
      <c r="E30" s="88">
        <f t="shared" si="4"/>
        <v>3.63</v>
      </c>
      <c r="F30" s="89">
        <f t="shared" si="1"/>
        <v>2525006.2199999997</v>
      </c>
      <c r="G30" s="17"/>
      <c r="H30" s="87">
        <f>'6. Historical Wholesale'!H30</f>
        <v>718615</v>
      </c>
      <c r="I30" s="88">
        <f t="shared" si="5"/>
        <v>0.75</v>
      </c>
      <c r="J30" s="89">
        <f t="shared" si="2"/>
        <v>538961.25</v>
      </c>
      <c r="K30" s="17"/>
      <c r="L30" s="87">
        <f>'6. Historical Wholesale'!L30</f>
        <v>718615</v>
      </c>
      <c r="M30" s="88">
        <f t="shared" si="6"/>
        <v>1.85</v>
      </c>
      <c r="N30" s="89">
        <f t="shared" si="3"/>
        <v>1329437.75</v>
      </c>
      <c r="O30" s="17"/>
      <c r="P30" s="47">
        <f t="shared" si="0"/>
        <v>1868399</v>
      </c>
      <c r="Q30" s="17"/>
    </row>
    <row r="31" spans="2:17" ht="15.75" x14ac:dyDescent="0.25">
      <c r="B31" s="48" t="s">
        <v>134</v>
      </c>
      <c r="C31" s="17"/>
      <c r="D31" s="87">
        <f>'6. Historical Wholesale'!D31</f>
        <v>612979</v>
      </c>
      <c r="E31" s="88">
        <f t="shared" si="4"/>
        <v>3.63</v>
      </c>
      <c r="F31" s="89">
        <f t="shared" si="1"/>
        <v>2225113.77</v>
      </c>
      <c r="G31" s="17"/>
      <c r="H31" s="87">
        <f>'6. Historical Wholesale'!H31</f>
        <v>627097</v>
      </c>
      <c r="I31" s="88">
        <f t="shared" si="5"/>
        <v>0.75</v>
      </c>
      <c r="J31" s="89">
        <f t="shared" si="2"/>
        <v>470322.75</v>
      </c>
      <c r="K31" s="17"/>
      <c r="L31" s="87">
        <f>'6. Historical Wholesale'!L31</f>
        <v>627097</v>
      </c>
      <c r="M31" s="88">
        <f t="shared" si="6"/>
        <v>1.85</v>
      </c>
      <c r="N31" s="89">
        <f t="shared" si="3"/>
        <v>1160129.45</v>
      </c>
      <c r="O31" s="17"/>
      <c r="P31" s="47">
        <f t="shared" si="0"/>
        <v>1630452.2</v>
      </c>
      <c r="Q31" s="17"/>
    </row>
    <row r="32" spans="2:17" ht="15.75" x14ac:dyDescent="0.25">
      <c r="B32" s="48" t="s">
        <v>135</v>
      </c>
      <c r="C32" s="17"/>
      <c r="D32" s="87">
        <f>'6. Historical Wholesale'!D32</f>
        <v>562961</v>
      </c>
      <c r="E32" s="88">
        <f t="shared" si="4"/>
        <v>3.63</v>
      </c>
      <c r="F32" s="89">
        <f t="shared" si="1"/>
        <v>2043548.43</v>
      </c>
      <c r="G32" s="17"/>
      <c r="H32" s="87">
        <f>'6. Historical Wholesale'!H32</f>
        <v>596219</v>
      </c>
      <c r="I32" s="88">
        <f t="shared" si="5"/>
        <v>0.75</v>
      </c>
      <c r="J32" s="89">
        <f t="shared" si="2"/>
        <v>447164.25</v>
      </c>
      <c r="K32" s="17"/>
      <c r="L32" s="87">
        <f>'6. Historical Wholesale'!L32</f>
        <v>596219</v>
      </c>
      <c r="M32" s="88">
        <f t="shared" si="6"/>
        <v>1.85</v>
      </c>
      <c r="N32" s="89">
        <f t="shared" si="3"/>
        <v>1103005.1500000001</v>
      </c>
      <c r="O32" s="17"/>
      <c r="P32" s="47">
        <f t="shared" si="0"/>
        <v>1550169.4000000001</v>
      </c>
      <c r="Q32" s="17"/>
    </row>
    <row r="33" spans="2:17" ht="15.75" x14ac:dyDescent="0.25">
      <c r="B33" s="48" t="s">
        <v>136</v>
      </c>
      <c r="C33" s="17"/>
      <c r="D33" s="87">
        <f>'6. Historical Wholesale'!D33</f>
        <v>464290</v>
      </c>
      <c r="E33" s="88">
        <f t="shared" si="4"/>
        <v>3.63</v>
      </c>
      <c r="F33" s="89">
        <f t="shared" si="1"/>
        <v>1685372.7</v>
      </c>
      <c r="G33" s="17"/>
      <c r="H33" s="87">
        <f>'6. Historical Wholesale'!H33</f>
        <v>499230</v>
      </c>
      <c r="I33" s="88">
        <f t="shared" si="5"/>
        <v>0.75</v>
      </c>
      <c r="J33" s="89">
        <f t="shared" si="2"/>
        <v>374422.5</v>
      </c>
      <c r="K33" s="17"/>
      <c r="L33" s="87">
        <f>'6. Historical Wholesale'!L33</f>
        <v>499230</v>
      </c>
      <c r="M33" s="88">
        <f t="shared" si="6"/>
        <v>1.85</v>
      </c>
      <c r="N33" s="89">
        <f t="shared" si="3"/>
        <v>923575.5</v>
      </c>
      <c r="O33" s="17"/>
      <c r="P33" s="47">
        <f t="shared" si="0"/>
        <v>1297998</v>
      </c>
      <c r="Q33" s="17"/>
    </row>
    <row r="34" spans="2:17" ht="15.75" x14ac:dyDescent="0.25">
      <c r="B34" s="48" t="s">
        <v>137</v>
      </c>
      <c r="C34" s="17"/>
      <c r="D34" s="87">
        <f>'6. Historical Wholesale'!D34</f>
        <v>459555</v>
      </c>
      <c r="E34" s="88">
        <f t="shared" si="4"/>
        <v>3.63</v>
      </c>
      <c r="F34" s="89">
        <f t="shared" si="1"/>
        <v>1668184.65</v>
      </c>
      <c r="G34" s="17"/>
      <c r="H34" s="87">
        <f>'6. Historical Wholesale'!H34</f>
        <v>487279</v>
      </c>
      <c r="I34" s="88">
        <f t="shared" si="5"/>
        <v>0.75</v>
      </c>
      <c r="J34" s="89">
        <f t="shared" si="2"/>
        <v>365459.25</v>
      </c>
      <c r="K34" s="17"/>
      <c r="L34" s="87">
        <f>'6. Historical Wholesale'!L34</f>
        <v>487279</v>
      </c>
      <c r="M34" s="88">
        <f t="shared" si="6"/>
        <v>1.85</v>
      </c>
      <c r="N34" s="89">
        <f t="shared" si="3"/>
        <v>901466.15</v>
      </c>
      <c r="O34" s="17"/>
      <c r="P34" s="47">
        <f t="shared" si="0"/>
        <v>1266925.3999999999</v>
      </c>
      <c r="Q34" s="17"/>
    </row>
    <row r="35" spans="2:17" ht="15.75" x14ac:dyDescent="0.25">
      <c r="B35" s="48" t="s">
        <v>138</v>
      </c>
      <c r="C35" s="17"/>
      <c r="D35" s="87">
        <f>'6. Historical Wholesale'!D35</f>
        <v>456843</v>
      </c>
      <c r="E35" s="88">
        <f t="shared" si="4"/>
        <v>3.63</v>
      </c>
      <c r="F35" s="89">
        <f t="shared" si="1"/>
        <v>1658340.0899999999</v>
      </c>
      <c r="G35" s="17"/>
      <c r="H35" s="87">
        <f>'6. Historical Wholesale'!H35</f>
        <v>496770</v>
      </c>
      <c r="I35" s="88">
        <f t="shared" si="5"/>
        <v>0.75</v>
      </c>
      <c r="J35" s="89">
        <f t="shared" si="2"/>
        <v>372577.5</v>
      </c>
      <c r="K35" s="17"/>
      <c r="L35" s="87">
        <f>'6. Historical Wholesale'!L35</f>
        <v>496770</v>
      </c>
      <c r="M35" s="88">
        <f t="shared" si="6"/>
        <v>1.85</v>
      </c>
      <c r="N35" s="89">
        <f t="shared" si="3"/>
        <v>919024.5</v>
      </c>
      <c r="O35" s="17"/>
      <c r="P35" s="47">
        <f t="shared" si="0"/>
        <v>1291602</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6308631</v>
      </c>
      <c r="E37" s="51">
        <f>IF(D37&lt;&gt;0,F37/D37,0)</f>
        <v>3.629999999999999</v>
      </c>
      <c r="F37" s="52">
        <f>SUM(F24:F35)</f>
        <v>22900330.529999994</v>
      </c>
      <c r="G37" s="17"/>
      <c r="H37" s="50">
        <f>SUM(H24:H35)</f>
        <v>6739833</v>
      </c>
      <c r="I37" s="51">
        <f>IF(H37&lt;&gt;0,J37/H37,0)</f>
        <v>0.75</v>
      </c>
      <c r="J37" s="52">
        <f>SUM(J24:J35)</f>
        <v>5054874.75</v>
      </c>
      <c r="K37" s="17"/>
      <c r="L37" s="50">
        <f>SUM(L24:L35)</f>
        <v>6736614</v>
      </c>
      <c r="M37" s="51">
        <f>IF(L37&lt;&gt;0,N37/L37,0)</f>
        <v>1.85</v>
      </c>
      <c r="N37" s="52">
        <f>SUM(N24:N35)</f>
        <v>12462735.9</v>
      </c>
      <c r="O37" s="17"/>
      <c r="P37" s="52">
        <f>SUM(P24:P35)</f>
        <v>17517610.649999999</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Sub-Transmission'!G35+'5. UTRs and Sub-Transmission'!G79</f>
        <v>3.3265000000000002</v>
      </c>
      <c r="F43" s="89">
        <f>D43*E43</f>
        <v>0</v>
      </c>
      <c r="G43" s="17"/>
      <c r="H43" s="87">
        <f>'6. Historical Wholesale'!H43</f>
        <v>0</v>
      </c>
      <c r="I43" s="88">
        <f>'5. UTRs and Sub-Transmission'!G37+'5. UTRs and Sub-Transmission'!G81</f>
        <v>0.76669999999999994</v>
      </c>
      <c r="J43" s="89">
        <f>H43*I43</f>
        <v>0</v>
      </c>
      <c r="K43" s="17"/>
      <c r="L43" s="87">
        <f>'6. Historical Wholesale'!L43</f>
        <v>0</v>
      </c>
      <c r="M43" s="88">
        <f>'5. UTRs and Sub-Transmission'!G39</f>
        <v>1.63</v>
      </c>
      <c r="N43" s="89">
        <f>L43*M43</f>
        <v>0</v>
      </c>
      <c r="O43" s="17"/>
      <c r="P43" s="47">
        <f t="shared" ref="P43:P54" si="7">J43+N43</f>
        <v>0</v>
      </c>
      <c r="Q43" s="17"/>
    </row>
    <row r="44" spans="2:17" ht="15.75" x14ac:dyDescent="0.25">
      <c r="B44" s="48" t="s">
        <v>128</v>
      </c>
      <c r="C44" s="17"/>
      <c r="D44" s="87">
        <f>'6. Historical Wholesale'!D44</f>
        <v>0</v>
      </c>
      <c r="E44" s="88">
        <f>E43</f>
        <v>3.3265000000000002</v>
      </c>
      <c r="F44" s="89">
        <f t="shared" ref="F44:F54" si="8">D44*E44</f>
        <v>0</v>
      </c>
      <c r="G44" s="17"/>
      <c r="H44" s="87">
        <f>'6. Historical Wholesale'!H44</f>
        <v>0</v>
      </c>
      <c r="I44" s="88">
        <f>I43</f>
        <v>0.76669999999999994</v>
      </c>
      <c r="J44" s="89">
        <f t="shared" ref="J44:J54" si="9">H44*I44</f>
        <v>0</v>
      </c>
      <c r="K44" s="17"/>
      <c r="L44" s="87">
        <f>'6. Historical Wholesale'!L44</f>
        <v>0</v>
      </c>
      <c r="M44" s="88">
        <f>M43</f>
        <v>1.63</v>
      </c>
      <c r="N44" s="89">
        <f t="shared" ref="N44:N54" si="10">L44*M44</f>
        <v>0</v>
      </c>
      <c r="O44" s="17"/>
      <c r="P44" s="47">
        <f t="shared" si="7"/>
        <v>0</v>
      </c>
      <c r="Q44" s="17"/>
    </row>
    <row r="45" spans="2:17" ht="15.75" x14ac:dyDescent="0.25">
      <c r="B45" s="48" t="s">
        <v>129</v>
      </c>
      <c r="C45" s="17"/>
      <c r="D45" s="87">
        <f>'6. Historical Wholesale'!D45</f>
        <v>0</v>
      </c>
      <c r="E45" s="88">
        <f t="shared" ref="E45:E54" si="11">E44</f>
        <v>3.3265000000000002</v>
      </c>
      <c r="F45" s="89">
        <f t="shared" si="8"/>
        <v>0</v>
      </c>
      <c r="G45" s="17"/>
      <c r="H45" s="87">
        <f>'6. Historical Wholesale'!H45</f>
        <v>0</v>
      </c>
      <c r="I45" s="88">
        <f t="shared" ref="I45:I54" si="12">I44</f>
        <v>0.76669999999999994</v>
      </c>
      <c r="J45" s="89">
        <f t="shared" si="9"/>
        <v>0</v>
      </c>
      <c r="K45" s="17"/>
      <c r="L45" s="87">
        <f>'6. Historical Wholesale'!L45</f>
        <v>0</v>
      </c>
      <c r="M45" s="88">
        <f>M44</f>
        <v>1.63</v>
      </c>
      <c r="N45" s="89">
        <f t="shared" si="10"/>
        <v>0</v>
      </c>
      <c r="O45" s="17"/>
      <c r="P45" s="47">
        <f t="shared" si="7"/>
        <v>0</v>
      </c>
      <c r="Q45" s="17"/>
    </row>
    <row r="46" spans="2:17" ht="15.75" x14ac:dyDescent="0.25">
      <c r="B46" s="48" t="s">
        <v>130</v>
      </c>
      <c r="C46" s="17"/>
      <c r="D46" s="87">
        <f>'6. Historical Wholesale'!D46</f>
        <v>0</v>
      </c>
      <c r="E46" s="88">
        <f t="shared" si="11"/>
        <v>3.3265000000000002</v>
      </c>
      <c r="F46" s="89">
        <f t="shared" si="8"/>
        <v>0</v>
      </c>
      <c r="G46" s="17"/>
      <c r="H46" s="87">
        <f>'6. Historical Wholesale'!H46</f>
        <v>0</v>
      </c>
      <c r="I46" s="88">
        <f t="shared" si="12"/>
        <v>0.76669999999999994</v>
      </c>
      <c r="J46" s="89">
        <f t="shared" si="9"/>
        <v>0</v>
      </c>
      <c r="K46" s="17"/>
      <c r="L46" s="87">
        <f>'6. Historical Wholesale'!L46</f>
        <v>0</v>
      </c>
      <c r="M46" s="88">
        <f t="shared" ref="M46:M54" si="13">M45</f>
        <v>1.63</v>
      </c>
      <c r="N46" s="89">
        <f t="shared" si="10"/>
        <v>0</v>
      </c>
      <c r="O46" s="17"/>
      <c r="P46" s="47">
        <f t="shared" si="7"/>
        <v>0</v>
      </c>
      <c r="Q46" s="17"/>
    </row>
    <row r="47" spans="2:17" ht="15.75" x14ac:dyDescent="0.25">
      <c r="B47" s="48" t="s">
        <v>131</v>
      </c>
      <c r="C47" s="17"/>
      <c r="D47" s="87">
        <f>'6. Historical Wholesale'!D47</f>
        <v>0</v>
      </c>
      <c r="E47" s="88">
        <f t="shared" si="11"/>
        <v>3.3265000000000002</v>
      </c>
      <c r="F47" s="89">
        <f t="shared" si="8"/>
        <v>0</v>
      </c>
      <c r="G47" s="17"/>
      <c r="H47" s="87">
        <f>'6. Historical Wholesale'!H47</f>
        <v>0</v>
      </c>
      <c r="I47" s="88">
        <f t="shared" si="12"/>
        <v>0.76669999999999994</v>
      </c>
      <c r="J47" s="89">
        <f t="shared" si="9"/>
        <v>0</v>
      </c>
      <c r="K47" s="17"/>
      <c r="L47" s="87">
        <f>'6. Historical Wholesale'!L47</f>
        <v>0</v>
      </c>
      <c r="M47" s="88">
        <f t="shared" si="13"/>
        <v>1.63</v>
      </c>
      <c r="N47" s="89">
        <f t="shared" si="10"/>
        <v>0</v>
      </c>
      <c r="O47" s="17"/>
      <c r="P47" s="47">
        <f t="shared" si="7"/>
        <v>0</v>
      </c>
      <c r="Q47" s="17"/>
    </row>
    <row r="48" spans="2:17" ht="15.75" x14ac:dyDescent="0.25">
      <c r="B48" s="48" t="s">
        <v>132</v>
      </c>
      <c r="C48" s="17"/>
      <c r="D48" s="87">
        <f>'6. Historical Wholesale'!D48</f>
        <v>0</v>
      </c>
      <c r="E48" s="88">
        <f t="shared" si="11"/>
        <v>3.3265000000000002</v>
      </c>
      <c r="F48" s="89">
        <f t="shared" si="8"/>
        <v>0</v>
      </c>
      <c r="G48" s="17"/>
      <c r="H48" s="87">
        <f>'6. Historical Wholesale'!H48</f>
        <v>0</v>
      </c>
      <c r="I48" s="88">
        <f t="shared" si="12"/>
        <v>0.76669999999999994</v>
      </c>
      <c r="J48" s="89">
        <f t="shared" si="9"/>
        <v>0</v>
      </c>
      <c r="K48" s="17"/>
      <c r="L48" s="87">
        <f>'6. Historical Wholesale'!L48</f>
        <v>0</v>
      </c>
      <c r="M48" s="88">
        <f t="shared" si="13"/>
        <v>1.63</v>
      </c>
      <c r="N48" s="89">
        <f t="shared" si="10"/>
        <v>0</v>
      </c>
      <c r="O48" s="17"/>
      <c r="P48" s="47">
        <f t="shared" si="7"/>
        <v>0</v>
      </c>
      <c r="Q48" s="17"/>
    </row>
    <row r="49" spans="2:17" ht="15.75" x14ac:dyDescent="0.25">
      <c r="B49" s="48" t="s">
        <v>133</v>
      </c>
      <c r="C49" s="17"/>
      <c r="D49" s="87">
        <f>'6. Historical Wholesale'!D49</f>
        <v>0</v>
      </c>
      <c r="E49" s="88">
        <f t="shared" si="11"/>
        <v>3.3265000000000002</v>
      </c>
      <c r="F49" s="89">
        <f t="shared" si="8"/>
        <v>0</v>
      </c>
      <c r="G49" s="17"/>
      <c r="H49" s="87">
        <f>'6. Historical Wholesale'!H49</f>
        <v>0</v>
      </c>
      <c r="I49" s="88">
        <f t="shared" si="12"/>
        <v>0.76669999999999994</v>
      </c>
      <c r="J49" s="89">
        <f t="shared" si="9"/>
        <v>0</v>
      </c>
      <c r="K49" s="17"/>
      <c r="L49" s="87">
        <f>'6. Historical Wholesale'!L49</f>
        <v>0</v>
      </c>
      <c r="M49" s="88">
        <f t="shared" si="13"/>
        <v>1.63</v>
      </c>
      <c r="N49" s="89">
        <f t="shared" si="10"/>
        <v>0</v>
      </c>
      <c r="O49" s="17"/>
      <c r="P49" s="47">
        <f t="shared" si="7"/>
        <v>0</v>
      </c>
      <c r="Q49" s="17"/>
    </row>
    <row r="50" spans="2:17" ht="15.75" x14ac:dyDescent="0.25">
      <c r="B50" s="48" t="s">
        <v>134</v>
      </c>
      <c r="C50" s="17"/>
      <c r="D50" s="87">
        <f>'6. Historical Wholesale'!D50</f>
        <v>0</v>
      </c>
      <c r="E50" s="88">
        <f t="shared" si="11"/>
        <v>3.3265000000000002</v>
      </c>
      <c r="F50" s="89">
        <f t="shared" si="8"/>
        <v>0</v>
      </c>
      <c r="G50" s="17"/>
      <c r="H50" s="87">
        <f>'6. Historical Wholesale'!H50</f>
        <v>0</v>
      </c>
      <c r="I50" s="88">
        <f t="shared" si="12"/>
        <v>0.76669999999999994</v>
      </c>
      <c r="J50" s="89">
        <f t="shared" si="9"/>
        <v>0</v>
      </c>
      <c r="K50" s="17"/>
      <c r="L50" s="87">
        <f>'6. Historical Wholesale'!L50</f>
        <v>0</v>
      </c>
      <c r="M50" s="88">
        <f t="shared" si="13"/>
        <v>1.63</v>
      </c>
      <c r="N50" s="89">
        <f t="shared" si="10"/>
        <v>0</v>
      </c>
      <c r="O50" s="17"/>
      <c r="P50" s="47">
        <f t="shared" si="7"/>
        <v>0</v>
      </c>
      <c r="Q50" s="17"/>
    </row>
    <row r="51" spans="2:17" ht="15.75" x14ac:dyDescent="0.25">
      <c r="B51" s="48" t="s">
        <v>135</v>
      </c>
      <c r="C51" s="17"/>
      <c r="D51" s="87">
        <f>'6. Historical Wholesale'!D51</f>
        <v>0</v>
      </c>
      <c r="E51" s="88">
        <f t="shared" si="11"/>
        <v>3.3265000000000002</v>
      </c>
      <c r="F51" s="89">
        <f t="shared" si="8"/>
        <v>0</v>
      </c>
      <c r="G51" s="17"/>
      <c r="H51" s="87">
        <f>'6. Historical Wholesale'!H51</f>
        <v>0</v>
      </c>
      <c r="I51" s="88">
        <f t="shared" si="12"/>
        <v>0.76669999999999994</v>
      </c>
      <c r="J51" s="89">
        <f t="shared" si="9"/>
        <v>0</v>
      </c>
      <c r="K51" s="17"/>
      <c r="L51" s="87">
        <f>'6. Historical Wholesale'!L51</f>
        <v>0</v>
      </c>
      <c r="M51" s="88">
        <f t="shared" si="13"/>
        <v>1.63</v>
      </c>
      <c r="N51" s="89">
        <f t="shared" si="10"/>
        <v>0</v>
      </c>
      <c r="O51" s="17"/>
      <c r="P51" s="47">
        <f t="shared" si="7"/>
        <v>0</v>
      </c>
      <c r="Q51" s="17"/>
    </row>
    <row r="52" spans="2:17" ht="15.75" x14ac:dyDescent="0.25">
      <c r="B52" s="48" t="s">
        <v>136</v>
      </c>
      <c r="C52" s="17"/>
      <c r="D52" s="87">
        <f>'6. Historical Wholesale'!D52</f>
        <v>0</v>
      </c>
      <c r="E52" s="88">
        <f t="shared" si="11"/>
        <v>3.3265000000000002</v>
      </c>
      <c r="F52" s="89">
        <f t="shared" si="8"/>
        <v>0</v>
      </c>
      <c r="G52" s="17"/>
      <c r="H52" s="87">
        <f>'6. Historical Wholesale'!H52</f>
        <v>0</v>
      </c>
      <c r="I52" s="88">
        <f t="shared" si="12"/>
        <v>0.76669999999999994</v>
      </c>
      <c r="J52" s="89">
        <f t="shared" si="9"/>
        <v>0</v>
      </c>
      <c r="K52" s="17"/>
      <c r="L52" s="87">
        <f>'6. Historical Wholesale'!L52</f>
        <v>0</v>
      </c>
      <c r="M52" s="88">
        <f t="shared" si="13"/>
        <v>1.63</v>
      </c>
      <c r="N52" s="89">
        <f t="shared" si="10"/>
        <v>0</v>
      </c>
      <c r="O52" s="17"/>
      <c r="P52" s="47">
        <f t="shared" si="7"/>
        <v>0</v>
      </c>
      <c r="Q52" s="17"/>
    </row>
    <row r="53" spans="2:17" ht="15.75" x14ac:dyDescent="0.25">
      <c r="B53" s="48" t="s">
        <v>137</v>
      </c>
      <c r="C53" s="17"/>
      <c r="D53" s="87">
        <f>'6. Historical Wholesale'!D53</f>
        <v>0</v>
      </c>
      <c r="E53" s="88">
        <f t="shared" si="11"/>
        <v>3.3265000000000002</v>
      </c>
      <c r="F53" s="89">
        <f t="shared" si="8"/>
        <v>0</v>
      </c>
      <c r="G53" s="17"/>
      <c r="H53" s="87">
        <f>'6. Historical Wholesale'!H53</f>
        <v>0</v>
      </c>
      <c r="I53" s="88">
        <f t="shared" si="12"/>
        <v>0.76669999999999994</v>
      </c>
      <c r="J53" s="89">
        <f t="shared" si="9"/>
        <v>0</v>
      </c>
      <c r="K53" s="17"/>
      <c r="L53" s="87">
        <f>'6. Historical Wholesale'!L53</f>
        <v>0</v>
      </c>
      <c r="M53" s="88">
        <f t="shared" si="13"/>
        <v>1.63</v>
      </c>
      <c r="N53" s="89">
        <f t="shared" si="10"/>
        <v>0</v>
      </c>
      <c r="O53" s="17"/>
      <c r="P53" s="47">
        <f t="shared" si="7"/>
        <v>0</v>
      </c>
      <c r="Q53" s="17"/>
    </row>
    <row r="54" spans="2:17" ht="15.75" x14ac:dyDescent="0.25">
      <c r="B54" s="48" t="s">
        <v>138</v>
      </c>
      <c r="C54" s="17"/>
      <c r="D54" s="87">
        <f>'6. Historical Wholesale'!D54</f>
        <v>0</v>
      </c>
      <c r="E54" s="88">
        <f t="shared" si="11"/>
        <v>3.3265000000000002</v>
      </c>
      <c r="F54" s="89">
        <f t="shared" si="8"/>
        <v>0</v>
      </c>
      <c r="G54" s="17"/>
      <c r="H54" s="87">
        <f>'6. Historical Wholesale'!H54</f>
        <v>0</v>
      </c>
      <c r="I54" s="88">
        <f t="shared" si="12"/>
        <v>0.76669999999999994</v>
      </c>
      <c r="J54" s="89">
        <f t="shared" si="9"/>
        <v>0</v>
      </c>
      <c r="K54" s="17"/>
      <c r="L54" s="87">
        <f>'6. Historical Wholesale'!L54</f>
        <v>0</v>
      </c>
      <c r="M54" s="88">
        <f t="shared" si="13"/>
        <v>1.63</v>
      </c>
      <c r="N54" s="89">
        <f t="shared" si="10"/>
        <v>0</v>
      </c>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40"/>
      <c r="D58" s="205" t="s">
        <v>227</v>
      </c>
      <c r="E58" s="205"/>
      <c r="F58" s="205"/>
      <c r="G58" s="140"/>
      <c r="H58" s="205" t="s">
        <v>230</v>
      </c>
      <c r="I58" s="205"/>
      <c r="J58" s="205"/>
      <c r="K58" s="140"/>
      <c r="L58" s="205" t="s">
        <v>229</v>
      </c>
      <c r="M58" s="205"/>
      <c r="N58" s="205"/>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40"/>
      <c r="D77" s="205" t="s">
        <v>227</v>
      </c>
      <c r="E77" s="205"/>
      <c r="F77" s="205"/>
      <c r="G77" s="140"/>
      <c r="H77" s="205" t="s">
        <v>230</v>
      </c>
      <c r="I77" s="205"/>
      <c r="J77" s="205"/>
      <c r="K77" s="140"/>
      <c r="L77" s="205" t="s">
        <v>229</v>
      </c>
      <c r="M77" s="205"/>
      <c r="N77" s="205"/>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485762</v>
      </c>
      <c r="E100" s="86">
        <f t="shared" ref="E100:E111" si="28">IF(D100&lt;&gt;0,F100/D100,0)</f>
        <v>3.63</v>
      </c>
      <c r="F100" s="47">
        <f>F24+F43+F62+F81</f>
        <v>1763316.06</v>
      </c>
      <c r="G100" s="17"/>
      <c r="H100" s="53">
        <f>H24+H43+H62+H81</f>
        <v>516521</v>
      </c>
      <c r="I100" s="86">
        <f t="shared" ref="I100:I111" si="29">IF(H100&lt;&gt;0,J100/H100,0)</f>
        <v>0.75</v>
      </c>
      <c r="J100" s="47">
        <f>J24+J43+J62+J81</f>
        <v>387390.75</v>
      </c>
      <c r="K100" s="17"/>
      <c r="L100" s="53">
        <f>L24+L43+L62+L81</f>
        <v>516521</v>
      </c>
      <c r="M100" s="86">
        <f t="shared" ref="M100:M111" si="30">IF(L100&lt;&gt;0,N100/L100,0)</f>
        <v>1.85</v>
      </c>
      <c r="N100" s="47">
        <f>N24+N43+N62+N81</f>
        <v>955563.85000000009</v>
      </c>
      <c r="O100" s="17"/>
      <c r="P100" s="47">
        <f t="shared" ref="P100:P111" si="31">J100+N100</f>
        <v>1342954.6</v>
      </c>
      <c r="Q100" s="17"/>
    </row>
    <row r="101" spans="2:17" ht="15.75" x14ac:dyDescent="0.25">
      <c r="B101" s="48" t="s">
        <v>128</v>
      </c>
      <c r="C101" s="17"/>
      <c r="D101" s="53">
        <f t="shared" ref="D101:D111" si="32">D25+D44+D63+D82</f>
        <v>457849</v>
      </c>
      <c r="E101" s="86">
        <f t="shared" si="28"/>
        <v>3.63</v>
      </c>
      <c r="F101" s="47">
        <f t="shared" ref="F101:F111" si="33">F25+F44+F63+F82</f>
        <v>1661991.8699999999</v>
      </c>
      <c r="G101" s="17"/>
      <c r="H101" s="53">
        <f t="shared" ref="H101:H111" si="34">H25+H44+H63+H82</f>
        <v>490710</v>
      </c>
      <c r="I101" s="86">
        <f t="shared" si="29"/>
        <v>0.75</v>
      </c>
      <c r="J101" s="47">
        <f t="shared" ref="J101:J111" si="35">J25+J44+J63+J82</f>
        <v>368032.5</v>
      </c>
      <c r="K101" s="17"/>
      <c r="L101" s="53">
        <f t="shared" ref="L101:L111" si="36">L25+L44+L63+L82</f>
        <v>490710</v>
      </c>
      <c r="M101" s="86">
        <f t="shared" si="30"/>
        <v>1.85</v>
      </c>
      <c r="N101" s="47">
        <f t="shared" ref="N101:N111" si="37">N25+N44+N63+N82</f>
        <v>907813.5</v>
      </c>
      <c r="O101" s="17"/>
      <c r="P101" s="47">
        <f t="shared" si="31"/>
        <v>1275846</v>
      </c>
      <c r="Q101" s="17"/>
    </row>
    <row r="102" spans="2:17" ht="15.75" x14ac:dyDescent="0.25">
      <c r="B102" s="48" t="s">
        <v>129</v>
      </c>
      <c r="C102" s="17"/>
      <c r="D102" s="53">
        <f t="shared" si="32"/>
        <v>450864</v>
      </c>
      <c r="E102" s="86">
        <f t="shared" si="28"/>
        <v>3.6300000000000003</v>
      </c>
      <c r="F102" s="47">
        <f t="shared" si="33"/>
        <v>1636636.32</v>
      </c>
      <c r="G102" s="17"/>
      <c r="H102" s="53">
        <f t="shared" si="34"/>
        <v>473676</v>
      </c>
      <c r="I102" s="86">
        <f t="shared" si="29"/>
        <v>0.75</v>
      </c>
      <c r="J102" s="47">
        <f t="shared" si="35"/>
        <v>355257</v>
      </c>
      <c r="K102" s="17"/>
      <c r="L102" s="53">
        <f t="shared" si="36"/>
        <v>473676</v>
      </c>
      <c r="M102" s="86">
        <f t="shared" si="30"/>
        <v>1.85</v>
      </c>
      <c r="N102" s="47">
        <f t="shared" si="37"/>
        <v>876300.60000000009</v>
      </c>
      <c r="O102" s="17"/>
      <c r="P102" s="47">
        <f t="shared" si="31"/>
        <v>1231557.6000000001</v>
      </c>
      <c r="Q102" s="17"/>
    </row>
    <row r="103" spans="2:17" ht="15.75" x14ac:dyDescent="0.25">
      <c r="B103" s="48" t="s">
        <v>130</v>
      </c>
      <c r="C103" s="17"/>
      <c r="D103" s="53">
        <f t="shared" si="32"/>
        <v>410704</v>
      </c>
      <c r="E103" s="86">
        <f t="shared" si="28"/>
        <v>3.63</v>
      </c>
      <c r="F103" s="47">
        <f t="shared" si="33"/>
        <v>1490855.52</v>
      </c>
      <c r="G103" s="17"/>
      <c r="H103" s="53">
        <f t="shared" si="34"/>
        <v>526691</v>
      </c>
      <c r="I103" s="86">
        <f t="shared" si="29"/>
        <v>0.75</v>
      </c>
      <c r="J103" s="47">
        <f t="shared" si="35"/>
        <v>395018.25</v>
      </c>
      <c r="K103" s="17"/>
      <c r="L103" s="53">
        <f t="shared" si="36"/>
        <v>523472</v>
      </c>
      <c r="M103" s="86">
        <f t="shared" si="30"/>
        <v>1.85</v>
      </c>
      <c r="N103" s="47">
        <f t="shared" si="37"/>
        <v>968423.20000000007</v>
      </c>
      <c r="O103" s="17"/>
      <c r="P103" s="47">
        <f t="shared" si="31"/>
        <v>1363441.4500000002</v>
      </c>
      <c r="Q103" s="17"/>
    </row>
    <row r="104" spans="2:17" ht="15.75" x14ac:dyDescent="0.25">
      <c r="B104" s="48" t="s">
        <v>131</v>
      </c>
      <c r="C104" s="17"/>
      <c r="D104" s="53">
        <f t="shared" si="32"/>
        <v>580620</v>
      </c>
      <c r="E104" s="86">
        <f t="shared" si="28"/>
        <v>3.6300000000000003</v>
      </c>
      <c r="F104" s="47">
        <f t="shared" si="33"/>
        <v>2107650.6</v>
      </c>
      <c r="G104" s="17"/>
      <c r="H104" s="53">
        <f t="shared" si="34"/>
        <v>593343</v>
      </c>
      <c r="I104" s="86">
        <f t="shared" si="29"/>
        <v>0.75</v>
      </c>
      <c r="J104" s="47">
        <f t="shared" si="35"/>
        <v>445007.25</v>
      </c>
      <c r="K104" s="17"/>
      <c r="L104" s="53">
        <f t="shared" si="36"/>
        <v>593343</v>
      </c>
      <c r="M104" s="86">
        <f t="shared" si="30"/>
        <v>1.85</v>
      </c>
      <c r="N104" s="47">
        <f t="shared" si="37"/>
        <v>1097684.55</v>
      </c>
      <c r="O104" s="17"/>
      <c r="P104" s="47">
        <f t="shared" si="31"/>
        <v>1542691.8</v>
      </c>
      <c r="Q104" s="17"/>
    </row>
    <row r="105" spans="2:17" ht="15.75" x14ac:dyDescent="0.25">
      <c r="B105" s="48" t="s">
        <v>132</v>
      </c>
      <c r="C105" s="17"/>
      <c r="D105" s="53">
        <f t="shared" si="32"/>
        <v>670610</v>
      </c>
      <c r="E105" s="86">
        <f t="shared" si="28"/>
        <v>3.63</v>
      </c>
      <c r="F105" s="47">
        <f t="shared" si="33"/>
        <v>2434314.2999999998</v>
      </c>
      <c r="G105" s="17"/>
      <c r="H105" s="53">
        <f t="shared" si="34"/>
        <v>713682</v>
      </c>
      <c r="I105" s="86">
        <f t="shared" si="29"/>
        <v>0.75</v>
      </c>
      <c r="J105" s="47">
        <f t="shared" si="35"/>
        <v>535261.5</v>
      </c>
      <c r="K105" s="17"/>
      <c r="L105" s="53">
        <f t="shared" si="36"/>
        <v>713682</v>
      </c>
      <c r="M105" s="86">
        <f t="shared" si="30"/>
        <v>1.8499999999999999</v>
      </c>
      <c r="N105" s="47">
        <f t="shared" si="37"/>
        <v>1320311.7</v>
      </c>
      <c r="O105" s="17"/>
      <c r="P105" s="47">
        <f t="shared" si="31"/>
        <v>1855573.2</v>
      </c>
      <c r="Q105" s="17"/>
    </row>
    <row r="106" spans="2:17" ht="15.75" x14ac:dyDescent="0.25">
      <c r="B106" s="48" t="s">
        <v>133</v>
      </c>
      <c r="C106" s="17"/>
      <c r="D106" s="53">
        <f t="shared" si="32"/>
        <v>695594</v>
      </c>
      <c r="E106" s="86">
        <f t="shared" si="28"/>
        <v>3.6299999999999994</v>
      </c>
      <c r="F106" s="47">
        <f t="shared" si="33"/>
        <v>2525006.2199999997</v>
      </c>
      <c r="G106" s="17"/>
      <c r="H106" s="53">
        <f t="shared" si="34"/>
        <v>718615</v>
      </c>
      <c r="I106" s="86">
        <f t="shared" si="29"/>
        <v>0.75</v>
      </c>
      <c r="J106" s="47">
        <f t="shared" si="35"/>
        <v>538961.25</v>
      </c>
      <c r="K106" s="17"/>
      <c r="L106" s="53">
        <f t="shared" si="36"/>
        <v>718615</v>
      </c>
      <c r="M106" s="86">
        <f t="shared" si="30"/>
        <v>1.85</v>
      </c>
      <c r="N106" s="47">
        <f t="shared" si="37"/>
        <v>1329437.75</v>
      </c>
      <c r="O106" s="17"/>
      <c r="P106" s="47">
        <f t="shared" si="31"/>
        <v>1868399</v>
      </c>
      <c r="Q106" s="17"/>
    </row>
    <row r="107" spans="2:17" ht="15.75" x14ac:dyDescent="0.25">
      <c r="B107" s="48" t="s">
        <v>134</v>
      </c>
      <c r="C107" s="17"/>
      <c r="D107" s="53">
        <f t="shared" si="32"/>
        <v>612979</v>
      </c>
      <c r="E107" s="86">
        <f t="shared" si="28"/>
        <v>3.63</v>
      </c>
      <c r="F107" s="47">
        <f t="shared" si="33"/>
        <v>2225113.77</v>
      </c>
      <c r="G107" s="17"/>
      <c r="H107" s="53">
        <f t="shared" si="34"/>
        <v>627097</v>
      </c>
      <c r="I107" s="86">
        <f t="shared" si="29"/>
        <v>0.75</v>
      </c>
      <c r="J107" s="47">
        <f t="shared" si="35"/>
        <v>470322.75</v>
      </c>
      <c r="K107" s="17"/>
      <c r="L107" s="53">
        <f t="shared" si="36"/>
        <v>627097</v>
      </c>
      <c r="M107" s="86">
        <f t="shared" si="30"/>
        <v>1.8499999999999999</v>
      </c>
      <c r="N107" s="47">
        <f t="shared" si="37"/>
        <v>1160129.45</v>
      </c>
      <c r="O107" s="17"/>
      <c r="P107" s="47">
        <f t="shared" si="31"/>
        <v>1630452.2</v>
      </c>
      <c r="Q107" s="17"/>
    </row>
    <row r="108" spans="2:17" ht="15.75" x14ac:dyDescent="0.25">
      <c r="B108" s="48" t="s">
        <v>135</v>
      </c>
      <c r="C108" s="17"/>
      <c r="D108" s="53">
        <f t="shared" si="32"/>
        <v>562961</v>
      </c>
      <c r="E108" s="86">
        <f t="shared" si="28"/>
        <v>3.63</v>
      </c>
      <c r="F108" s="47">
        <f t="shared" si="33"/>
        <v>2043548.43</v>
      </c>
      <c r="G108" s="17"/>
      <c r="H108" s="53">
        <f t="shared" si="34"/>
        <v>596219</v>
      </c>
      <c r="I108" s="86">
        <f t="shared" si="29"/>
        <v>0.75</v>
      </c>
      <c r="J108" s="47">
        <f t="shared" si="35"/>
        <v>447164.25</v>
      </c>
      <c r="K108" s="17"/>
      <c r="L108" s="53">
        <f t="shared" si="36"/>
        <v>596219</v>
      </c>
      <c r="M108" s="86">
        <f t="shared" si="30"/>
        <v>1.8500000000000003</v>
      </c>
      <c r="N108" s="47">
        <f t="shared" si="37"/>
        <v>1103005.1500000001</v>
      </c>
      <c r="O108" s="17"/>
      <c r="P108" s="47">
        <f t="shared" si="31"/>
        <v>1550169.4000000001</v>
      </c>
      <c r="Q108" s="17"/>
    </row>
    <row r="109" spans="2:17" ht="15.75" x14ac:dyDescent="0.25">
      <c r="B109" s="48" t="s">
        <v>136</v>
      </c>
      <c r="C109" s="17"/>
      <c r="D109" s="53">
        <f t="shared" si="32"/>
        <v>464290</v>
      </c>
      <c r="E109" s="86">
        <f t="shared" si="28"/>
        <v>3.63</v>
      </c>
      <c r="F109" s="47">
        <f t="shared" si="33"/>
        <v>1685372.7</v>
      </c>
      <c r="G109" s="17"/>
      <c r="H109" s="53">
        <f t="shared" si="34"/>
        <v>499230</v>
      </c>
      <c r="I109" s="86">
        <f t="shared" si="29"/>
        <v>0.75</v>
      </c>
      <c r="J109" s="47">
        <f t="shared" si="35"/>
        <v>374422.5</v>
      </c>
      <c r="K109" s="17"/>
      <c r="L109" s="53">
        <f t="shared" si="36"/>
        <v>499230</v>
      </c>
      <c r="M109" s="86">
        <f t="shared" si="30"/>
        <v>1.85</v>
      </c>
      <c r="N109" s="47">
        <f t="shared" si="37"/>
        <v>923575.5</v>
      </c>
      <c r="O109" s="17"/>
      <c r="P109" s="47">
        <f t="shared" si="31"/>
        <v>1297998</v>
      </c>
      <c r="Q109" s="17"/>
    </row>
    <row r="110" spans="2:17" ht="15.75" x14ac:dyDescent="0.25">
      <c r="B110" s="48" t="s">
        <v>137</v>
      </c>
      <c r="C110" s="17"/>
      <c r="D110" s="53">
        <f t="shared" si="32"/>
        <v>459555</v>
      </c>
      <c r="E110" s="86">
        <f t="shared" si="28"/>
        <v>3.63</v>
      </c>
      <c r="F110" s="47">
        <f t="shared" si="33"/>
        <v>1668184.65</v>
      </c>
      <c r="G110" s="17"/>
      <c r="H110" s="53">
        <f t="shared" si="34"/>
        <v>487279</v>
      </c>
      <c r="I110" s="86">
        <f t="shared" si="29"/>
        <v>0.75</v>
      </c>
      <c r="J110" s="47">
        <f t="shared" si="35"/>
        <v>365459.25</v>
      </c>
      <c r="K110" s="17"/>
      <c r="L110" s="53">
        <f t="shared" si="36"/>
        <v>487279</v>
      </c>
      <c r="M110" s="86">
        <f t="shared" si="30"/>
        <v>1.85</v>
      </c>
      <c r="N110" s="47">
        <f t="shared" si="37"/>
        <v>901466.15</v>
      </c>
      <c r="O110" s="17"/>
      <c r="P110" s="47">
        <f t="shared" si="31"/>
        <v>1266925.3999999999</v>
      </c>
      <c r="Q110" s="17"/>
    </row>
    <row r="111" spans="2:17" ht="15.75" x14ac:dyDescent="0.25">
      <c r="B111" s="48" t="s">
        <v>138</v>
      </c>
      <c r="C111" s="17"/>
      <c r="D111" s="53">
        <f t="shared" si="32"/>
        <v>456843</v>
      </c>
      <c r="E111" s="86">
        <f t="shared" si="28"/>
        <v>3.63</v>
      </c>
      <c r="F111" s="47">
        <f t="shared" si="33"/>
        <v>1658340.0899999999</v>
      </c>
      <c r="G111" s="17"/>
      <c r="H111" s="53">
        <f t="shared" si="34"/>
        <v>496770</v>
      </c>
      <c r="I111" s="86">
        <f t="shared" si="29"/>
        <v>0.75</v>
      </c>
      <c r="J111" s="47">
        <f t="shared" si="35"/>
        <v>372577.5</v>
      </c>
      <c r="K111" s="17"/>
      <c r="L111" s="53">
        <f t="shared" si="36"/>
        <v>496770</v>
      </c>
      <c r="M111" s="86">
        <f t="shared" si="30"/>
        <v>1.85</v>
      </c>
      <c r="N111" s="47">
        <f t="shared" si="37"/>
        <v>919024.5</v>
      </c>
      <c r="O111" s="17"/>
      <c r="P111" s="47">
        <f t="shared" si="31"/>
        <v>1291602</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6308631</v>
      </c>
      <c r="E113" s="51">
        <f>IF(D113&lt;&gt;0,F113/D113,0)</f>
        <v>3.629999999999999</v>
      </c>
      <c r="F113" s="52">
        <f>SUM(F100:F111)</f>
        <v>22900330.529999994</v>
      </c>
      <c r="G113" s="17"/>
      <c r="H113" s="50">
        <f>SUM(H100:H111)</f>
        <v>6739833</v>
      </c>
      <c r="I113" s="51">
        <f>IF(H113&lt;&gt;0,J113/H113,0)</f>
        <v>0.75</v>
      </c>
      <c r="J113" s="52">
        <f>SUM(J100:J111)</f>
        <v>5054874.75</v>
      </c>
      <c r="K113" s="17"/>
      <c r="L113" s="50">
        <f>SUM(L100:L111)</f>
        <v>6736614</v>
      </c>
      <c r="M113" s="51">
        <f>IF(L113&lt;&gt;0,N113/L113,0)</f>
        <v>1.85</v>
      </c>
      <c r="N113" s="52">
        <f>SUM(N100:N111)</f>
        <v>12462735.9</v>
      </c>
      <c r="O113" s="17"/>
      <c r="P113" s="52">
        <f>SUM(P100:P111)</f>
        <v>17517610.649999999</v>
      </c>
      <c r="Q113" s="17"/>
    </row>
    <row r="115" spans="2:17" x14ac:dyDescent="0.2">
      <c r="N115" s="169" t="s">
        <v>255</v>
      </c>
      <c r="P115" s="172">
        <f>'5. UTRs and Sub-Transmission'!G95</f>
        <v>0</v>
      </c>
    </row>
    <row r="117" spans="2:17" ht="13.5" thickBot="1" x14ac:dyDescent="0.25">
      <c r="N117" s="170" t="s">
        <v>258</v>
      </c>
      <c r="P117" s="52">
        <f>P113+P115</f>
        <v>17517610.649999999</v>
      </c>
    </row>
  </sheetData>
  <sheetProtection password="F8BD" sheet="1" objects="1" scenarios="1"/>
  <mergeCells count="22">
    <mergeCell ref="B13:L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4803149606299213" right="0.51181102362204722" top="0.98425196850393704" bottom="0.35433070866141736" header="0.51181102362204722" footer="0.15748031496062992"/>
  <pageSetup scale="51" orientation="portrait" r:id="rId1"/>
  <headerFooter alignWithMargins="0">
    <oddFooter>&amp;L&amp;A</oddFooter>
  </headerFooter>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117"/>
  <sheetViews>
    <sheetView showGridLines="0" topLeftCell="B1" zoomScaleNormal="100" workbookViewId="0">
      <pane ySplit="16" topLeftCell="A17" activePane="bottomLeft" state="frozenSplit"/>
      <selection activeCell="I48" sqref="I48"/>
      <selection pane="bottomLeft" activeCell="M82" sqref="M82"/>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4" t="s">
        <v>251</v>
      </c>
      <c r="C13" s="204"/>
      <c r="D13" s="204"/>
      <c r="E13" s="204"/>
      <c r="F13" s="204"/>
      <c r="G13" s="204"/>
      <c r="H13" s="204"/>
      <c r="I13" s="204"/>
      <c r="J13" s="204"/>
      <c r="K13" s="204"/>
      <c r="L13" s="204"/>
      <c r="M13" s="204"/>
    </row>
    <row r="19" spans="2:17" ht="15.75" x14ac:dyDescent="0.25">
      <c r="B19" s="17"/>
      <c r="C19" s="17"/>
      <c r="D19" s="18"/>
      <c r="E19" s="21"/>
      <c r="F19" s="17"/>
      <c r="G19" s="21"/>
      <c r="H19" s="17"/>
    </row>
    <row r="20" spans="2:17" ht="15.75" x14ac:dyDescent="0.2">
      <c r="B20" s="141" t="s">
        <v>226</v>
      </c>
      <c r="C20" s="140"/>
      <c r="D20" s="205" t="s">
        <v>227</v>
      </c>
      <c r="E20" s="205"/>
      <c r="F20" s="205"/>
      <c r="G20" s="140"/>
      <c r="H20" s="205" t="s">
        <v>230</v>
      </c>
      <c r="I20" s="205"/>
      <c r="J20" s="205"/>
      <c r="K20" s="140"/>
      <c r="L20" s="205" t="s">
        <v>229</v>
      </c>
      <c r="M20" s="205"/>
      <c r="N20" s="205"/>
      <c r="O20" s="140"/>
      <c r="P20" s="141" t="s">
        <v>228</v>
      </c>
      <c r="Q20" s="17"/>
    </row>
    <row r="21" spans="2:17" ht="15.75" x14ac:dyDescent="0.25">
      <c r="B21" s="17"/>
      <c r="C21" s="17"/>
      <c r="D21" s="206"/>
      <c r="E21" s="206"/>
      <c r="F21" s="206"/>
      <c r="G21" s="44"/>
      <c r="H21" s="206"/>
      <c r="I21" s="206"/>
      <c r="J21" s="206"/>
      <c r="K21" s="44"/>
      <c r="L21" s="206"/>
      <c r="M21" s="206"/>
      <c r="N21" s="206"/>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485762</v>
      </c>
      <c r="E24" s="88">
        <f>'5. UTRs and Sub-Transmission'!I22</f>
        <v>3.82</v>
      </c>
      <c r="F24" s="89">
        <f t="shared" ref="F24:F35" si="0">D24*E24</f>
        <v>1855610.8399999999</v>
      </c>
      <c r="G24" s="17"/>
      <c r="H24" s="87">
        <f>'6. Historical Wholesale'!H24</f>
        <v>516521</v>
      </c>
      <c r="I24" s="88">
        <f>'5. UTRs and Sub-Transmission'!I24</f>
        <v>0.82</v>
      </c>
      <c r="J24" s="89">
        <f t="shared" ref="J24:J35" si="1">H24*I24</f>
        <v>423547.22</v>
      </c>
      <c r="K24" s="17"/>
      <c r="L24" s="87">
        <f>'6. Historical Wholesale'!L24</f>
        <v>516521</v>
      </c>
      <c r="M24" s="88">
        <f>'5. UTRs and Sub-Transmission'!I26</f>
        <v>1.98</v>
      </c>
      <c r="N24" s="89">
        <f t="shared" ref="N24:N35" si="2">L24*M24</f>
        <v>1022711.58</v>
      </c>
      <c r="O24" s="17"/>
      <c r="P24" s="47">
        <f t="shared" ref="P24:P35" si="3">J24+N24</f>
        <v>1446258.7999999998</v>
      </c>
      <c r="Q24" s="17"/>
    </row>
    <row r="25" spans="2:17" ht="15.75" x14ac:dyDescent="0.25">
      <c r="B25" s="48" t="s">
        <v>128</v>
      </c>
      <c r="C25" s="17"/>
      <c r="D25" s="87">
        <f>'6. Historical Wholesale'!D25</f>
        <v>457849</v>
      </c>
      <c r="E25" s="88">
        <f t="shared" ref="E25:E35" si="4">E24</f>
        <v>3.82</v>
      </c>
      <c r="F25" s="89">
        <f t="shared" si="0"/>
        <v>1748983.18</v>
      </c>
      <c r="G25" s="17"/>
      <c r="H25" s="87">
        <f>'6. Historical Wholesale'!H25</f>
        <v>490710</v>
      </c>
      <c r="I25" s="88">
        <f t="shared" ref="I25:I35" si="5">I24</f>
        <v>0.82</v>
      </c>
      <c r="J25" s="89">
        <f t="shared" si="1"/>
        <v>402382.19999999995</v>
      </c>
      <c r="K25" s="17"/>
      <c r="L25" s="87">
        <f>'6. Historical Wholesale'!L25</f>
        <v>490710</v>
      </c>
      <c r="M25" s="88">
        <f t="shared" ref="M25:M35" si="6">M24</f>
        <v>1.98</v>
      </c>
      <c r="N25" s="89">
        <f t="shared" si="2"/>
        <v>971605.8</v>
      </c>
      <c r="O25" s="17"/>
      <c r="P25" s="47">
        <f t="shared" si="3"/>
        <v>1373988</v>
      </c>
      <c r="Q25" s="17"/>
    </row>
    <row r="26" spans="2:17" ht="15.75" x14ac:dyDescent="0.25">
      <c r="B26" s="48" t="s">
        <v>129</v>
      </c>
      <c r="C26" s="17"/>
      <c r="D26" s="87">
        <f>'6. Historical Wholesale'!D26</f>
        <v>450864</v>
      </c>
      <c r="E26" s="88">
        <f t="shared" si="4"/>
        <v>3.82</v>
      </c>
      <c r="F26" s="89">
        <f t="shared" si="0"/>
        <v>1722300.48</v>
      </c>
      <c r="G26" s="17"/>
      <c r="H26" s="87">
        <f>'6. Historical Wholesale'!H26</f>
        <v>473676</v>
      </c>
      <c r="I26" s="88">
        <f t="shared" si="5"/>
        <v>0.82</v>
      </c>
      <c r="J26" s="89">
        <f t="shared" si="1"/>
        <v>388414.31999999995</v>
      </c>
      <c r="K26" s="17"/>
      <c r="L26" s="87">
        <f>'6. Historical Wholesale'!L26</f>
        <v>473676</v>
      </c>
      <c r="M26" s="88">
        <f t="shared" si="6"/>
        <v>1.98</v>
      </c>
      <c r="N26" s="89">
        <f t="shared" si="2"/>
        <v>937878.48</v>
      </c>
      <c r="O26" s="17"/>
      <c r="P26" s="47">
        <f t="shared" si="3"/>
        <v>1326292.7999999998</v>
      </c>
      <c r="Q26" s="17"/>
    </row>
    <row r="27" spans="2:17" ht="15.75" x14ac:dyDescent="0.25">
      <c r="B27" s="48" t="s">
        <v>130</v>
      </c>
      <c r="C27" s="17"/>
      <c r="D27" s="87">
        <f>'6. Historical Wholesale'!D27</f>
        <v>410704</v>
      </c>
      <c r="E27" s="88">
        <f t="shared" si="4"/>
        <v>3.82</v>
      </c>
      <c r="F27" s="89">
        <f t="shared" si="0"/>
        <v>1568889.28</v>
      </c>
      <c r="G27" s="17"/>
      <c r="H27" s="87">
        <f>'6. Historical Wholesale'!H27</f>
        <v>526691</v>
      </c>
      <c r="I27" s="88">
        <f t="shared" si="5"/>
        <v>0.82</v>
      </c>
      <c r="J27" s="89">
        <f t="shared" si="1"/>
        <v>431886.62</v>
      </c>
      <c r="K27" s="17"/>
      <c r="L27" s="87">
        <f>'6. Historical Wholesale'!L27</f>
        <v>523472</v>
      </c>
      <c r="M27" s="88">
        <f t="shared" si="6"/>
        <v>1.98</v>
      </c>
      <c r="N27" s="89">
        <f t="shared" si="2"/>
        <v>1036474.5599999999</v>
      </c>
      <c r="O27" s="17"/>
      <c r="P27" s="47">
        <f t="shared" si="3"/>
        <v>1468361.18</v>
      </c>
      <c r="Q27" s="17"/>
    </row>
    <row r="28" spans="2:17" ht="15.75" x14ac:dyDescent="0.25">
      <c r="B28" s="48" t="s">
        <v>131</v>
      </c>
      <c r="C28" s="17"/>
      <c r="D28" s="87">
        <f>'6. Historical Wholesale'!D28</f>
        <v>580620</v>
      </c>
      <c r="E28" s="88">
        <f t="shared" si="4"/>
        <v>3.82</v>
      </c>
      <c r="F28" s="89">
        <f t="shared" si="0"/>
        <v>2217968.4</v>
      </c>
      <c r="G28" s="17"/>
      <c r="H28" s="87">
        <f>'6. Historical Wholesale'!H28</f>
        <v>593343</v>
      </c>
      <c r="I28" s="88">
        <f t="shared" si="5"/>
        <v>0.82</v>
      </c>
      <c r="J28" s="89">
        <f t="shared" si="1"/>
        <v>486541.25999999995</v>
      </c>
      <c r="K28" s="17"/>
      <c r="L28" s="87">
        <f>'6. Historical Wholesale'!L28</f>
        <v>593343</v>
      </c>
      <c r="M28" s="88">
        <f t="shared" si="6"/>
        <v>1.98</v>
      </c>
      <c r="N28" s="89">
        <f t="shared" si="2"/>
        <v>1174819.1399999999</v>
      </c>
      <c r="O28" s="17"/>
      <c r="P28" s="47">
        <f t="shared" si="3"/>
        <v>1661360.4</v>
      </c>
      <c r="Q28" s="17"/>
    </row>
    <row r="29" spans="2:17" ht="15.75" x14ac:dyDescent="0.25">
      <c r="B29" s="48" t="s">
        <v>132</v>
      </c>
      <c r="C29" s="17"/>
      <c r="D29" s="87">
        <f>'6. Historical Wholesale'!D29</f>
        <v>670610</v>
      </c>
      <c r="E29" s="88">
        <f t="shared" si="4"/>
        <v>3.82</v>
      </c>
      <c r="F29" s="89">
        <f t="shared" si="0"/>
        <v>2561730.1999999997</v>
      </c>
      <c r="G29" s="17"/>
      <c r="H29" s="87">
        <f>'6. Historical Wholesale'!H29</f>
        <v>713682</v>
      </c>
      <c r="I29" s="88">
        <f t="shared" si="5"/>
        <v>0.82</v>
      </c>
      <c r="J29" s="89">
        <f t="shared" si="1"/>
        <v>585219.24</v>
      </c>
      <c r="K29" s="17"/>
      <c r="L29" s="87">
        <f>'6. Historical Wholesale'!L29</f>
        <v>713682</v>
      </c>
      <c r="M29" s="88">
        <f t="shared" si="6"/>
        <v>1.98</v>
      </c>
      <c r="N29" s="89">
        <f t="shared" si="2"/>
        <v>1413090.36</v>
      </c>
      <c r="O29" s="17"/>
      <c r="P29" s="47">
        <f t="shared" si="3"/>
        <v>1998309.6</v>
      </c>
      <c r="Q29" s="17"/>
    </row>
    <row r="30" spans="2:17" ht="15.75" x14ac:dyDescent="0.25">
      <c r="B30" s="48" t="s">
        <v>133</v>
      </c>
      <c r="C30" s="17"/>
      <c r="D30" s="87">
        <f>'6. Historical Wholesale'!D30</f>
        <v>695594</v>
      </c>
      <c r="E30" s="88">
        <f t="shared" si="4"/>
        <v>3.82</v>
      </c>
      <c r="F30" s="89">
        <f t="shared" si="0"/>
        <v>2657169.08</v>
      </c>
      <c r="G30" s="17"/>
      <c r="H30" s="87">
        <f>'6. Historical Wholesale'!H30</f>
        <v>718615</v>
      </c>
      <c r="I30" s="88">
        <f t="shared" si="5"/>
        <v>0.82</v>
      </c>
      <c r="J30" s="89">
        <f t="shared" si="1"/>
        <v>589264.29999999993</v>
      </c>
      <c r="K30" s="17"/>
      <c r="L30" s="87">
        <f>'6. Historical Wholesale'!L30</f>
        <v>718615</v>
      </c>
      <c r="M30" s="88">
        <f t="shared" si="6"/>
        <v>1.98</v>
      </c>
      <c r="N30" s="89">
        <f t="shared" si="2"/>
        <v>1422857.7</v>
      </c>
      <c r="O30" s="17"/>
      <c r="P30" s="47">
        <f t="shared" si="3"/>
        <v>2012122</v>
      </c>
      <c r="Q30" s="17"/>
    </row>
    <row r="31" spans="2:17" ht="15.75" x14ac:dyDescent="0.25">
      <c r="B31" s="48" t="s">
        <v>134</v>
      </c>
      <c r="C31" s="17"/>
      <c r="D31" s="87">
        <f>'6. Historical Wholesale'!D31</f>
        <v>612979</v>
      </c>
      <c r="E31" s="88">
        <f t="shared" si="4"/>
        <v>3.82</v>
      </c>
      <c r="F31" s="89">
        <f t="shared" si="0"/>
        <v>2341579.7799999998</v>
      </c>
      <c r="G31" s="17"/>
      <c r="H31" s="87">
        <f>'6. Historical Wholesale'!H31</f>
        <v>627097</v>
      </c>
      <c r="I31" s="88">
        <f t="shared" si="5"/>
        <v>0.82</v>
      </c>
      <c r="J31" s="89">
        <f t="shared" si="1"/>
        <v>514219.54</v>
      </c>
      <c r="K31" s="17"/>
      <c r="L31" s="87">
        <f>'6. Historical Wholesale'!L31</f>
        <v>627097</v>
      </c>
      <c r="M31" s="88">
        <f t="shared" si="6"/>
        <v>1.98</v>
      </c>
      <c r="N31" s="89">
        <f t="shared" si="2"/>
        <v>1241652.06</v>
      </c>
      <c r="O31" s="17"/>
      <c r="P31" s="47">
        <f t="shared" si="3"/>
        <v>1755871.6</v>
      </c>
      <c r="Q31" s="17"/>
    </row>
    <row r="32" spans="2:17" ht="15.75" x14ac:dyDescent="0.25">
      <c r="B32" s="48" t="s">
        <v>135</v>
      </c>
      <c r="C32" s="17"/>
      <c r="D32" s="87">
        <f>'6. Historical Wholesale'!D32</f>
        <v>562961</v>
      </c>
      <c r="E32" s="88">
        <f t="shared" si="4"/>
        <v>3.82</v>
      </c>
      <c r="F32" s="89">
        <f t="shared" si="0"/>
        <v>2150511.02</v>
      </c>
      <c r="G32" s="17"/>
      <c r="H32" s="87">
        <f>'6. Historical Wholesale'!H32</f>
        <v>596219</v>
      </c>
      <c r="I32" s="88">
        <f t="shared" si="5"/>
        <v>0.82</v>
      </c>
      <c r="J32" s="89">
        <f t="shared" si="1"/>
        <v>488899.57999999996</v>
      </c>
      <c r="K32" s="17"/>
      <c r="L32" s="87">
        <f>'6. Historical Wholesale'!L32</f>
        <v>596219</v>
      </c>
      <c r="M32" s="88">
        <f t="shared" si="6"/>
        <v>1.98</v>
      </c>
      <c r="N32" s="89">
        <f t="shared" si="2"/>
        <v>1180513.6199999999</v>
      </c>
      <c r="O32" s="17"/>
      <c r="P32" s="47">
        <f t="shared" si="3"/>
        <v>1669413.1999999997</v>
      </c>
      <c r="Q32" s="17"/>
    </row>
    <row r="33" spans="2:17" ht="15.75" x14ac:dyDescent="0.25">
      <c r="B33" s="48" t="s">
        <v>136</v>
      </c>
      <c r="C33" s="17"/>
      <c r="D33" s="87">
        <f>'6. Historical Wholesale'!D33</f>
        <v>464290</v>
      </c>
      <c r="E33" s="88">
        <f t="shared" si="4"/>
        <v>3.82</v>
      </c>
      <c r="F33" s="89">
        <f t="shared" si="0"/>
        <v>1773587.7999999998</v>
      </c>
      <c r="G33" s="17"/>
      <c r="H33" s="87">
        <f>'6. Historical Wholesale'!H33</f>
        <v>499230</v>
      </c>
      <c r="I33" s="88">
        <f t="shared" si="5"/>
        <v>0.82</v>
      </c>
      <c r="J33" s="89">
        <f t="shared" si="1"/>
        <v>409368.6</v>
      </c>
      <c r="K33" s="17"/>
      <c r="L33" s="87">
        <f>'6. Historical Wholesale'!L33</f>
        <v>499230</v>
      </c>
      <c r="M33" s="88">
        <f t="shared" si="6"/>
        <v>1.98</v>
      </c>
      <c r="N33" s="89">
        <f t="shared" si="2"/>
        <v>988475.4</v>
      </c>
      <c r="O33" s="17"/>
      <c r="P33" s="47">
        <f t="shared" si="3"/>
        <v>1397844</v>
      </c>
      <c r="Q33" s="17"/>
    </row>
    <row r="34" spans="2:17" ht="15.75" x14ac:dyDescent="0.25">
      <c r="B34" s="48" t="s">
        <v>137</v>
      </c>
      <c r="C34" s="17"/>
      <c r="D34" s="87">
        <f>'6. Historical Wholesale'!D34</f>
        <v>459555</v>
      </c>
      <c r="E34" s="88">
        <f t="shared" si="4"/>
        <v>3.82</v>
      </c>
      <c r="F34" s="89">
        <f t="shared" si="0"/>
        <v>1755500.0999999999</v>
      </c>
      <c r="G34" s="17"/>
      <c r="H34" s="87">
        <f>'6. Historical Wholesale'!H34</f>
        <v>487279</v>
      </c>
      <c r="I34" s="88">
        <f t="shared" si="5"/>
        <v>0.82</v>
      </c>
      <c r="J34" s="89">
        <f t="shared" si="1"/>
        <v>399568.77999999997</v>
      </c>
      <c r="K34" s="17"/>
      <c r="L34" s="87">
        <f>'6. Historical Wholesale'!L34</f>
        <v>487279</v>
      </c>
      <c r="M34" s="88">
        <f t="shared" si="6"/>
        <v>1.98</v>
      </c>
      <c r="N34" s="89">
        <f t="shared" si="2"/>
        <v>964812.42</v>
      </c>
      <c r="O34" s="17"/>
      <c r="P34" s="47">
        <f t="shared" si="3"/>
        <v>1364381.2</v>
      </c>
      <c r="Q34" s="17"/>
    </row>
    <row r="35" spans="2:17" ht="15.75" x14ac:dyDescent="0.25">
      <c r="B35" s="48" t="s">
        <v>138</v>
      </c>
      <c r="C35" s="17"/>
      <c r="D35" s="87">
        <f>'6. Historical Wholesale'!D35</f>
        <v>456843</v>
      </c>
      <c r="E35" s="88">
        <f t="shared" si="4"/>
        <v>3.82</v>
      </c>
      <c r="F35" s="89">
        <f t="shared" si="0"/>
        <v>1745140.26</v>
      </c>
      <c r="G35" s="17"/>
      <c r="H35" s="87">
        <f>'6. Historical Wholesale'!H35</f>
        <v>496770</v>
      </c>
      <c r="I35" s="88">
        <f t="shared" si="5"/>
        <v>0.82</v>
      </c>
      <c r="J35" s="89">
        <f t="shared" si="1"/>
        <v>407351.39999999997</v>
      </c>
      <c r="K35" s="17"/>
      <c r="L35" s="87">
        <f>'6. Historical Wholesale'!L35</f>
        <v>496770</v>
      </c>
      <c r="M35" s="88">
        <f t="shared" si="6"/>
        <v>1.98</v>
      </c>
      <c r="N35" s="89">
        <f t="shared" si="2"/>
        <v>983604.6</v>
      </c>
      <c r="O35" s="17"/>
      <c r="P35" s="47">
        <f t="shared" si="3"/>
        <v>1390956</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6308631</v>
      </c>
      <c r="E37" s="51">
        <f>IF(D37&lt;&gt;0,F37/D37,0)</f>
        <v>3.8200000000000003</v>
      </c>
      <c r="F37" s="52">
        <f>SUM(F24:F35)</f>
        <v>24098970.420000002</v>
      </c>
      <c r="G37" s="17"/>
      <c r="H37" s="50">
        <f>SUM(H24:H35)</f>
        <v>6739833</v>
      </c>
      <c r="I37" s="51">
        <f>IF(H37&lt;&gt;0,J37/H37,0)</f>
        <v>0.82</v>
      </c>
      <c r="J37" s="52">
        <f>SUM(J24:J35)</f>
        <v>5526663.0599999996</v>
      </c>
      <c r="K37" s="17"/>
      <c r="L37" s="50">
        <f>SUM(L24:L35)</f>
        <v>6736614</v>
      </c>
      <c r="M37" s="51">
        <f>IF(L37&lt;&gt;0,N37/L37,0)</f>
        <v>1.9799999999999998</v>
      </c>
      <c r="N37" s="52">
        <f>SUM(N24:N35)</f>
        <v>13338495.719999999</v>
      </c>
      <c r="O37" s="17"/>
      <c r="P37" s="52">
        <f>SUM(P24:P35)</f>
        <v>18865158.779999997</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7"/>
      <c r="D39" s="205" t="s">
        <v>227</v>
      </c>
      <c r="E39" s="205"/>
      <c r="F39" s="205"/>
      <c r="G39" s="140"/>
      <c r="H39" s="205" t="s">
        <v>230</v>
      </c>
      <c r="I39" s="205"/>
      <c r="J39" s="205"/>
      <c r="K39" s="140"/>
      <c r="L39" s="205" t="s">
        <v>229</v>
      </c>
      <c r="M39" s="205"/>
      <c r="N39" s="205"/>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Sub-Transmission'!I35+'5. UTRs and Sub-Transmission'!I79</f>
        <v>3.3765000000000001</v>
      </c>
      <c r="F43" s="89">
        <f t="shared" ref="F43:F54" si="7">D43*E43</f>
        <v>0</v>
      </c>
      <c r="G43" s="17"/>
      <c r="H43" s="87">
        <f>'6. Historical Wholesale'!H43</f>
        <v>0</v>
      </c>
      <c r="I43" s="88">
        <f>'5. UTRs and Sub-Transmission'!I37+'5. UTRs and Sub-Transmission'!I81</f>
        <v>0.7167</v>
      </c>
      <c r="J43" s="89">
        <f t="shared" ref="J43:J54" si="8">H43*I43</f>
        <v>0</v>
      </c>
      <c r="K43" s="17"/>
      <c r="L43" s="87">
        <f>'6. Historical Wholesale'!L43</f>
        <v>0</v>
      </c>
      <c r="M43" s="88">
        <f>'5. UTRs and Sub-Transmission'!I39</f>
        <v>1.62</v>
      </c>
      <c r="N43" s="89">
        <f t="shared" ref="N43:N54" si="9">L43*M43</f>
        <v>0</v>
      </c>
      <c r="O43" s="17"/>
      <c r="P43" s="47">
        <f t="shared" ref="P43:P54" si="10">J43+N43</f>
        <v>0</v>
      </c>
      <c r="Q43" s="17"/>
    </row>
    <row r="44" spans="2:17" ht="15.75" x14ac:dyDescent="0.25">
      <c r="B44" s="48" t="s">
        <v>128</v>
      </c>
      <c r="C44" s="17"/>
      <c r="D44" s="87">
        <f>'6. Historical Wholesale'!D44</f>
        <v>0</v>
      </c>
      <c r="E44" s="88">
        <f t="shared" ref="E44:E54" si="11">E43</f>
        <v>3.3765000000000001</v>
      </c>
      <c r="F44" s="89">
        <f t="shared" si="7"/>
        <v>0</v>
      </c>
      <c r="G44" s="17"/>
      <c r="H44" s="87">
        <f>'6. Historical Wholesale'!H44</f>
        <v>0</v>
      </c>
      <c r="I44" s="88">
        <f t="shared" ref="I44:I54" si="12">I43</f>
        <v>0.7167</v>
      </c>
      <c r="J44" s="89">
        <f t="shared" si="8"/>
        <v>0</v>
      </c>
      <c r="K44" s="17"/>
      <c r="L44" s="87">
        <f>'6. Historical Wholesale'!L44</f>
        <v>0</v>
      </c>
      <c r="M44" s="88">
        <f t="shared" ref="M44:M54" si="13">M43</f>
        <v>1.62</v>
      </c>
      <c r="N44" s="89">
        <f t="shared" si="9"/>
        <v>0</v>
      </c>
      <c r="O44" s="17"/>
      <c r="P44" s="47">
        <f t="shared" si="10"/>
        <v>0</v>
      </c>
      <c r="Q44" s="17"/>
    </row>
    <row r="45" spans="2:17" ht="15.75" x14ac:dyDescent="0.25">
      <c r="B45" s="48" t="s">
        <v>129</v>
      </c>
      <c r="C45" s="17"/>
      <c r="D45" s="87">
        <f>'6. Historical Wholesale'!D45</f>
        <v>0</v>
      </c>
      <c r="E45" s="88">
        <f t="shared" si="11"/>
        <v>3.3765000000000001</v>
      </c>
      <c r="F45" s="89">
        <f t="shared" si="7"/>
        <v>0</v>
      </c>
      <c r="G45" s="17"/>
      <c r="H45" s="87">
        <f>'6. Historical Wholesale'!H45</f>
        <v>0</v>
      </c>
      <c r="I45" s="88">
        <f t="shared" si="12"/>
        <v>0.7167</v>
      </c>
      <c r="J45" s="89">
        <f t="shared" si="8"/>
        <v>0</v>
      </c>
      <c r="K45" s="17"/>
      <c r="L45" s="87">
        <f>'6. Historical Wholesale'!L45</f>
        <v>0</v>
      </c>
      <c r="M45" s="88">
        <f t="shared" si="13"/>
        <v>1.62</v>
      </c>
      <c r="N45" s="89">
        <f t="shared" si="9"/>
        <v>0</v>
      </c>
      <c r="O45" s="17"/>
      <c r="P45" s="47">
        <f t="shared" si="10"/>
        <v>0</v>
      </c>
      <c r="Q45" s="17"/>
    </row>
    <row r="46" spans="2:17" ht="15.75" x14ac:dyDescent="0.25">
      <c r="B46" s="48" t="s">
        <v>130</v>
      </c>
      <c r="C46" s="17"/>
      <c r="D46" s="87">
        <f>'6. Historical Wholesale'!D46</f>
        <v>0</v>
      </c>
      <c r="E46" s="88">
        <f t="shared" si="11"/>
        <v>3.3765000000000001</v>
      </c>
      <c r="F46" s="89">
        <f t="shared" si="7"/>
        <v>0</v>
      </c>
      <c r="G46" s="17"/>
      <c r="H46" s="87">
        <f>'6. Historical Wholesale'!H46</f>
        <v>0</v>
      </c>
      <c r="I46" s="88">
        <f t="shared" si="12"/>
        <v>0.7167</v>
      </c>
      <c r="J46" s="89">
        <f t="shared" si="8"/>
        <v>0</v>
      </c>
      <c r="K46" s="17"/>
      <c r="L46" s="87">
        <f>'6. Historical Wholesale'!L46</f>
        <v>0</v>
      </c>
      <c r="M46" s="88">
        <f t="shared" si="13"/>
        <v>1.62</v>
      </c>
      <c r="N46" s="89">
        <f t="shared" si="9"/>
        <v>0</v>
      </c>
      <c r="O46" s="17"/>
      <c r="P46" s="47">
        <f t="shared" si="10"/>
        <v>0</v>
      </c>
      <c r="Q46" s="17"/>
    </row>
    <row r="47" spans="2:17" ht="15.75" x14ac:dyDescent="0.25">
      <c r="B47" s="48" t="s">
        <v>131</v>
      </c>
      <c r="C47" s="17"/>
      <c r="D47" s="87">
        <f>'6. Historical Wholesale'!D47</f>
        <v>0</v>
      </c>
      <c r="E47" s="88">
        <f t="shared" si="11"/>
        <v>3.3765000000000001</v>
      </c>
      <c r="F47" s="89">
        <f t="shared" si="7"/>
        <v>0</v>
      </c>
      <c r="G47" s="17"/>
      <c r="H47" s="87">
        <f>'6. Historical Wholesale'!H47</f>
        <v>0</v>
      </c>
      <c r="I47" s="88">
        <f t="shared" si="12"/>
        <v>0.7167</v>
      </c>
      <c r="J47" s="89">
        <f t="shared" si="8"/>
        <v>0</v>
      </c>
      <c r="K47" s="17"/>
      <c r="L47" s="87">
        <f>'6. Historical Wholesale'!L47</f>
        <v>0</v>
      </c>
      <c r="M47" s="88">
        <f t="shared" si="13"/>
        <v>1.62</v>
      </c>
      <c r="N47" s="89">
        <f t="shared" si="9"/>
        <v>0</v>
      </c>
      <c r="O47" s="17"/>
      <c r="P47" s="47">
        <f t="shared" si="10"/>
        <v>0</v>
      </c>
      <c r="Q47" s="17"/>
    </row>
    <row r="48" spans="2:17" ht="15.75" x14ac:dyDescent="0.25">
      <c r="B48" s="48" t="s">
        <v>132</v>
      </c>
      <c r="C48" s="17"/>
      <c r="D48" s="87">
        <f>'6. Historical Wholesale'!D48</f>
        <v>0</v>
      </c>
      <c r="E48" s="88">
        <f t="shared" si="11"/>
        <v>3.3765000000000001</v>
      </c>
      <c r="F48" s="89">
        <f t="shared" si="7"/>
        <v>0</v>
      </c>
      <c r="G48" s="17"/>
      <c r="H48" s="87">
        <f>'6. Historical Wholesale'!H48</f>
        <v>0</v>
      </c>
      <c r="I48" s="88">
        <f t="shared" si="12"/>
        <v>0.7167</v>
      </c>
      <c r="J48" s="89">
        <f t="shared" si="8"/>
        <v>0</v>
      </c>
      <c r="K48" s="17"/>
      <c r="L48" s="87">
        <f>'6. Historical Wholesale'!L48</f>
        <v>0</v>
      </c>
      <c r="M48" s="88">
        <f t="shared" si="13"/>
        <v>1.62</v>
      </c>
      <c r="N48" s="89">
        <f t="shared" si="9"/>
        <v>0</v>
      </c>
      <c r="O48" s="17"/>
      <c r="P48" s="47">
        <f t="shared" si="10"/>
        <v>0</v>
      </c>
      <c r="Q48" s="17"/>
    </row>
    <row r="49" spans="2:17" ht="15.75" x14ac:dyDescent="0.25">
      <c r="B49" s="48" t="s">
        <v>133</v>
      </c>
      <c r="C49" s="17"/>
      <c r="D49" s="87">
        <f>'6. Historical Wholesale'!D49</f>
        <v>0</v>
      </c>
      <c r="E49" s="88">
        <f t="shared" si="11"/>
        <v>3.3765000000000001</v>
      </c>
      <c r="F49" s="89">
        <f t="shared" si="7"/>
        <v>0</v>
      </c>
      <c r="G49" s="17"/>
      <c r="H49" s="87">
        <f>'6. Historical Wholesale'!H49</f>
        <v>0</v>
      </c>
      <c r="I49" s="88">
        <f t="shared" si="12"/>
        <v>0.7167</v>
      </c>
      <c r="J49" s="89">
        <f t="shared" si="8"/>
        <v>0</v>
      </c>
      <c r="K49" s="17"/>
      <c r="L49" s="87">
        <f>'6. Historical Wholesale'!L49</f>
        <v>0</v>
      </c>
      <c r="M49" s="88">
        <f t="shared" si="13"/>
        <v>1.62</v>
      </c>
      <c r="N49" s="89">
        <f t="shared" si="9"/>
        <v>0</v>
      </c>
      <c r="O49" s="17"/>
      <c r="P49" s="47">
        <f t="shared" si="10"/>
        <v>0</v>
      </c>
      <c r="Q49" s="17"/>
    </row>
    <row r="50" spans="2:17" ht="15.75" x14ac:dyDescent="0.25">
      <c r="B50" s="48" t="s">
        <v>134</v>
      </c>
      <c r="C50" s="17"/>
      <c r="D50" s="87">
        <f>'6. Historical Wholesale'!D50</f>
        <v>0</v>
      </c>
      <c r="E50" s="88">
        <f t="shared" si="11"/>
        <v>3.3765000000000001</v>
      </c>
      <c r="F50" s="89">
        <f t="shared" si="7"/>
        <v>0</v>
      </c>
      <c r="G50" s="17"/>
      <c r="H50" s="87">
        <f>'6. Historical Wholesale'!H50</f>
        <v>0</v>
      </c>
      <c r="I50" s="88">
        <f t="shared" si="12"/>
        <v>0.7167</v>
      </c>
      <c r="J50" s="89">
        <f t="shared" si="8"/>
        <v>0</v>
      </c>
      <c r="K50" s="17"/>
      <c r="L50" s="87">
        <f>'6. Historical Wholesale'!L50</f>
        <v>0</v>
      </c>
      <c r="M50" s="88">
        <f t="shared" si="13"/>
        <v>1.62</v>
      </c>
      <c r="N50" s="89">
        <f t="shared" si="9"/>
        <v>0</v>
      </c>
      <c r="O50" s="17"/>
      <c r="P50" s="47">
        <f t="shared" si="10"/>
        <v>0</v>
      </c>
      <c r="Q50" s="17"/>
    </row>
    <row r="51" spans="2:17" ht="15.75" x14ac:dyDescent="0.25">
      <c r="B51" s="48" t="s">
        <v>135</v>
      </c>
      <c r="C51" s="17"/>
      <c r="D51" s="87">
        <f>'6. Historical Wholesale'!D51</f>
        <v>0</v>
      </c>
      <c r="E51" s="88">
        <f t="shared" si="11"/>
        <v>3.3765000000000001</v>
      </c>
      <c r="F51" s="89">
        <f t="shared" si="7"/>
        <v>0</v>
      </c>
      <c r="G51" s="17"/>
      <c r="H51" s="87">
        <f>'6. Historical Wholesale'!H51</f>
        <v>0</v>
      </c>
      <c r="I51" s="88">
        <f t="shared" si="12"/>
        <v>0.7167</v>
      </c>
      <c r="J51" s="89">
        <f t="shared" si="8"/>
        <v>0</v>
      </c>
      <c r="K51" s="17"/>
      <c r="L51" s="87">
        <f>'6. Historical Wholesale'!L51</f>
        <v>0</v>
      </c>
      <c r="M51" s="88">
        <f t="shared" si="13"/>
        <v>1.62</v>
      </c>
      <c r="N51" s="89">
        <f t="shared" si="9"/>
        <v>0</v>
      </c>
      <c r="O51" s="17"/>
      <c r="P51" s="47">
        <f t="shared" si="10"/>
        <v>0</v>
      </c>
      <c r="Q51" s="17"/>
    </row>
    <row r="52" spans="2:17" ht="15.75" x14ac:dyDescent="0.25">
      <c r="B52" s="48" t="s">
        <v>136</v>
      </c>
      <c r="C52" s="17"/>
      <c r="D52" s="87">
        <f>'6. Historical Wholesale'!D52</f>
        <v>0</v>
      </c>
      <c r="E52" s="88">
        <f t="shared" si="11"/>
        <v>3.3765000000000001</v>
      </c>
      <c r="F52" s="89">
        <f t="shared" si="7"/>
        <v>0</v>
      </c>
      <c r="G52" s="17"/>
      <c r="H52" s="87">
        <f>'6. Historical Wholesale'!H52</f>
        <v>0</v>
      </c>
      <c r="I52" s="88">
        <f t="shared" si="12"/>
        <v>0.7167</v>
      </c>
      <c r="J52" s="89">
        <f t="shared" si="8"/>
        <v>0</v>
      </c>
      <c r="K52" s="17"/>
      <c r="L52" s="87">
        <f>'6. Historical Wholesale'!L52</f>
        <v>0</v>
      </c>
      <c r="M52" s="88">
        <f t="shared" si="13"/>
        <v>1.62</v>
      </c>
      <c r="N52" s="89">
        <f t="shared" si="9"/>
        <v>0</v>
      </c>
      <c r="O52" s="17"/>
      <c r="P52" s="47">
        <f t="shared" si="10"/>
        <v>0</v>
      </c>
      <c r="Q52" s="17"/>
    </row>
    <row r="53" spans="2:17" ht="15.75" x14ac:dyDescent="0.25">
      <c r="B53" s="48" t="s">
        <v>137</v>
      </c>
      <c r="C53" s="17"/>
      <c r="D53" s="87">
        <f>'6. Historical Wholesale'!D53</f>
        <v>0</v>
      </c>
      <c r="E53" s="88">
        <f t="shared" si="11"/>
        <v>3.3765000000000001</v>
      </c>
      <c r="F53" s="89">
        <f t="shared" si="7"/>
        <v>0</v>
      </c>
      <c r="G53" s="17"/>
      <c r="H53" s="87">
        <f>'6. Historical Wholesale'!H53</f>
        <v>0</v>
      </c>
      <c r="I53" s="88">
        <f t="shared" si="12"/>
        <v>0.7167</v>
      </c>
      <c r="J53" s="89">
        <f t="shared" si="8"/>
        <v>0</v>
      </c>
      <c r="K53" s="17"/>
      <c r="L53" s="87">
        <f>'6. Historical Wholesale'!L53</f>
        <v>0</v>
      </c>
      <c r="M53" s="88">
        <f t="shared" si="13"/>
        <v>1.62</v>
      </c>
      <c r="N53" s="89">
        <f t="shared" si="9"/>
        <v>0</v>
      </c>
      <c r="O53" s="17"/>
      <c r="P53" s="47">
        <f t="shared" si="10"/>
        <v>0</v>
      </c>
      <c r="Q53" s="17"/>
    </row>
    <row r="54" spans="2:17" ht="15.75" x14ac:dyDescent="0.25">
      <c r="B54" s="48" t="s">
        <v>138</v>
      </c>
      <c r="C54" s="17"/>
      <c r="D54" s="87">
        <f>'6. Historical Wholesale'!D54</f>
        <v>0</v>
      </c>
      <c r="E54" s="88">
        <f t="shared" si="11"/>
        <v>3.3765000000000001</v>
      </c>
      <c r="F54" s="89">
        <f t="shared" si="7"/>
        <v>0</v>
      </c>
      <c r="G54" s="17"/>
      <c r="H54" s="87">
        <f>'6. Historical Wholesale'!H54</f>
        <v>0</v>
      </c>
      <c r="I54" s="88">
        <f t="shared" si="12"/>
        <v>0.7167</v>
      </c>
      <c r="J54" s="89">
        <f t="shared" si="8"/>
        <v>0</v>
      </c>
      <c r="K54" s="17"/>
      <c r="L54" s="87">
        <f>'6. Historical Wholesale'!L54</f>
        <v>0</v>
      </c>
      <c r="M54" s="88">
        <f t="shared" si="13"/>
        <v>1.62</v>
      </c>
      <c r="N54" s="89">
        <f t="shared" si="9"/>
        <v>0</v>
      </c>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3" t="str">
        <f>'6. Historical Wholesale'!B58</f>
        <v>Add Extra Host Here (I)</v>
      </c>
      <c r="C58" s="17"/>
      <c r="D58" s="205" t="s">
        <v>227</v>
      </c>
      <c r="E58" s="205"/>
      <c r="F58" s="205"/>
      <c r="G58" s="140"/>
      <c r="H58" s="205" t="s">
        <v>230</v>
      </c>
      <c r="I58" s="205"/>
      <c r="J58" s="205"/>
      <c r="K58" s="140"/>
      <c r="L58" s="205" t="s">
        <v>229</v>
      </c>
      <c r="M58" s="205"/>
      <c r="N58" s="205"/>
      <c r="O58" s="140"/>
      <c r="P58" s="163"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3" t="str">
        <f>'6. Historical Wholesale'!B77</f>
        <v>Add Extra Host Here (II)</v>
      </c>
      <c r="C77" s="17"/>
      <c r="D77" s="205" t="s">
        <v>227</v>
      </c>
      <c r="E77" s="205"/>
      <c r="F77" s="205"/>
      <c r="G77" s="140"/>
      <c r="H77" s="205" t="s">
        <v>230</v>
      </c>
      <c r="I77" s="205"/>
      <c r="J77" s="205"/>
      <c r="K77" s="140"/>
      <c r="L77" s="205" t="s">
        <v>229</v>
      </c>
      <c r="M77" s="205"/>
      <c r="N77" s="205"/>
      <c r="O77" s="140"/>
      <c r="P77" s="163"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7"/>
      <c r="D96" s="205" t="s">
        <v>227</v>
      </c>
      <c r="E96" s="205"/>
      <c r="F96" s="205"/>
      <c r="G96" s="140"/>
      <c r="H96" s="205" t="s">
        <v>230</v>
      </c>
      <c r="I96" s="205"/>
      <c r="J96" s="205"/>
      <c r="K96" s="140"/>
      <c r="L96" s="205" t="s">
        <v>229</v>
      </c>
      <c r="M96" s="205"/>
      <c r="N96" s="205"/>
      <c r="O96" s="140"/>
      <c r="P96" s="141" t="s">
        <v>228</v>
      </c>
      <c r="Q96" s="17"/>
    </row>
    <row r="97" spans="2:17" ht="15.75" x14ac:dyDescent="0.25">
      <c r="B97" s="17"/>
      <c r="C97" s="17"/>
      <c r="D97" s="206"/>
      <c r="E97" s="206"/>
      <c r="F97" s="206"/>
      <c r="G97" s="44"/>
      <c r="H97" s="206"/>
      <c r="I97" s="206"/>
      <c r="J97" s="206"/>
      <c r="K97" s="44"/>
      <c r="L97" s="206"/>
      <c r="M97" s="206"/>
      <c r="N97" s="206"/>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485762</v>
      </c>
      <c r="E100" s="54">
        <f t="shared" ref="E100:E111" si="29">IF(D100&lt;&gt;0,F100/D100,0)</f>
        <v>3.82</v>
      </c>
      <c r="F100" s="47">
        <f t="shared" ref="F100:F111" si="30">F24+F43</f>
        <v>1855610.8399999999</v>
      </c>
      <c r="G100" s="17"/>
      <c r="H100" s="53">
        <f t="shared" ref="H100:H111" si="31">H24+H43</f>
        <v>516521</v>
      </c>
      <c r="I100" s="54">
        <f t="shared" ref="I100:I111" si="32">IF(H100&lt;&gt;0,J100/H100,0)</f>
        <v>0.82</v>
      </c>
      <c r="J100" s="47">
        <f t="shared" ref="J100:J111" si="33">J24+J43</f>
        <v>423547.22</v>
      </c>
      <c r="K100" s="17"/>
      <c r="L100" s="53">
        <f t="shared" ref="L100:L111" si="34">L24+L43</f>
        <v>516521</v>
      </c>
      <c r="M100" s="54">
        <f t="shared" ref="M100:M111" si="35">IF(L100&lt;&gt;0,N100/L100,0)</f>
        <v>1.98</v>
      </c>
      <c r="N100" s="47">
        <f t="shared" ref="N100:N111" si="36">N24+N43</f>
        <v>1022711.58</v>
      </c>
      <c r="O100" s="17"/>
      <c r="P100" s="47">
        <f t="shared" ref="P100:P111" si="37">J100+N100</f>
        <v>1446258.7999999998</v>
      </c>
      <c r="Q100" s="17"/>
    </row>
    <row r="101" spans="2:17" ht="15.75" x14ac:dyDescent="0.25">
      <c r="B101" s="48" t="s">
        <v>128</v>
      </c>
      <c r="C101" s="17"/>
      <c r="D101" s="53">
        <f t="shared" si="28"/>
        <v>457849</v>
      </c>
      <c r="E101" s="54">
        <f t="shared" si="29"/>
        <v>3.82</v>
      </c>
      <c r="F101" s="47">
        <f t="shared" si="30"/>
        <v>1748983.18</v>
      </c>
      <c r="G101" s="17"/>
      <c r="H101" s="53">
        <f t="shared" si="31"/>
        <v>490710</v>
      </c>
      <c r="I101" s="54">
        <f t="shared" si="32"/>
        <v>0.82</v>
      </c>
      <c r="J101" s="47">
        <f t="shared" si="33"/>
        <v>402382.19999999995</v>
      </c>
      <c r="K101" s="17"/>
      <c r="L101" s="53">
        <f t="shared" si="34"/>
        <v>490710</v>
      </c>
      <c r="M101" s="54">
        <f t="shared" si="35"/>
        <v>1.9800000000000002</v>
      </c>
      <c r="N101" s="47">
        <f t="shared" si="36"/>
        <v>971605.8</v>
      </c>
      <c r="O101" s="17"/>
      <c r="P101" s="47">
        <f t="shared" si="37"/>
        <v>1373988</v>
      </c>
      <c r="Q101" s="17"/>
    </row>
    <row r="102" spans="2:17" ht="15.75" x14ac:dyDescent="0.25">
      <c r="B102" s="48" t="s">
        <v>129</v>
      </c>
      <c r="C102" s="17"/>
      <c r="D102" s="53">
        <f t="shared" si="28"/>
        <v>450864</v>
      </c>
      <c r="E102" s="54">
        <f t="shared" si="29"/>
        <v>3.82</v>
      </c>
      <c r="F102" s="47">
        <f t="shared" si="30"/>
        <v>1722300.48</v>
      </c>
      <c r="G102" s="17"/>
      <c r="H102" s="53">
        <f t="shared" si="31"/>
        <v>473676</v>
      </c>
      <c r="I102" s="54">
        <f t="shared" si="32"/>
        <v>0.81999999999999984</v>
      </c>
      <c r="J102" s="47">
        <f t="shared" si="33"/>
        <v>388414.31999999995</v>
      </c>
      <c r="K102" s="17"/>
      <c r="L102" s="53">
        <f t="shared" si="34"/>
        <v>473676</v>
      </c>
      <c r="M102" s="54">
        <f t="shared" si="35"/>
        <v>1.98</v>
      </c>
      <c r="N102" s="47">
        <f t="shared" si="36"/>
        <v>937878.48</v>
      </c>
      <c r="O102" s="17"/>
      <c r="P102" s="47">
        <f t="shared" si="37"/>
        <v>1326292.7999999998</v>
      </c>
      <c r="Q102" s="17"/>
    </row>
    <row r="103" spans="2:17" ht="15.75" x14ac:dyDescent="0.25">
      <c r="B103" s="48" t="s">
        <v>130</v>
      </c>
      <c r="C103" s="17"/>
      <c r="D103" s="53">
        <f t="shared" si="28"/>
        <v>410704</v>
      </c>
      <c r="E103" s="54">
        <f t="shared" si="29"/>
        <v>3.8200000000000003</v>
      </c>
      <c r="F103" s="47">
        <f t="shared" si="30"/>
        <v>1568889.28</v>
      </c>
      <c r="G103" s="17"/>
      <c r="H103" s="53">
        <f t="shared" si="31"/>
        <v>526691</v>
      </c>
      <c r="I103" s="54">
        <f t="shared" si="32"/>
        <v>0.82</v>
      </c>
      <c r="J103" s="47">
        <f t="shared" si="33"/>
        <v>431886.62</v>
      </c>
      <c r="K103" s="17"/>
      <c r="L103" s="53">
        <f t="shared" si="34"/>
        <v>523472</v>
      </c>
      <c r="M103" s="54">
        <f t="shared" si="35"/>
        <v>1.98</v>
      </c>
      <c r="N103" s="47">
        <f t="shared" si="36"/>
        <v>1036474.5599999999</v>
      </c>
      <c r="O103" s="17"/>
      <c r="P103" s="47">
        <f t="shared" si="37"/>
        <v>1468361.18</v>
      </c>
      <c r="Q103" s="17"/>
    </row>
    <row r="104" spans="2:17" ht="15.75" x14ac:dyDescent="0.25">
      <c r="B104" s="48" t="s">
        <v>131</v>
      </c>
      <c r="C104" s="17"/>
      <c r="D104" s="53">
        <f t="shared" si="28"/>
        <v>580620</v>
      </c>
      <c r="E104" s="54">
        <f t="shared" si="29"/>
        <v>3.82</v>
      </c>
      <c r="F104" s="47">
        <f t="shared" si="30"/>
        <v>2217968.4</v>
      </c>
      <c r="G104" s="17"/>
      <c r="H104" s="53">
        <f t="shared" si="31"/>
        <v>593343</v>
      </c>
      <c r="I104" s="54">
        <f t="shared" si="32"/>
        <v>0.82</v>
      </c>
      <c r="J104" s="47">
        <f t="shared" si="33"/>
        <v>486541.25999999995</v>
      </c>
      <c r="K104" s="17"/>
      <c r="L104" s="53">
        <f t="shared" si="34"/>
        <v>593343</v>
      </c>
      <c r="M104" s="54">
        <f t="shared" si="35"/>
        <v>1.9799999999999998</v>
      </c>
      <c r="N104" s="47">
        <f t="shared" si="36"/>
        <v>1174819.1399999999</v>
      </c>
      <c r="O104" s="17"/>
      <c r="P104" s="47">
        <f t="shared" si="37"/>
        <v>1661360.4</v>
      </c>
      <c r="Q104" s="17"/>
    </row>
    <row r="105" spans="2:17" ht="15.75" x14ac:dyDescent="0.25">
      <c r="B105" s="48" t="s">
        <v>132</v>
      </c>
      <c r="C105" s="17"/>
      <c r="D105" s="53">
        <f t="shared" si="28"/>
        <v>670610</v>
      </c>
      <c r="E105" s="54">
        <f t="shared" si="29"/>
        <v>3.8199999999999994</v>
      </c>
      <c r="F105" s="47">
        <f t="shared" si="30"/>
        <v>2561730.1999999997</v>
      </c>
      <c r="G105" s="17"/>
      <c r="H105" s="53">
        <f t="shared" si="31"/>
        <v>713682</v>
      </c>
      <c r="I105" s="54">
        <f t="shared" si="32"/>
        <v>0.82</v>
      </c>
      <c r="J105" s="47">
        <f t="shared" si="33"/>
        <v>585219.24</v>
      </c>
      <c r="K105" s="17"/>
      <c r="L105" s="53">
        <f t="shared" si="34"/>
        <v>713682</v>
      </c>
      <c r="M105" s="54">
        <f t="shared" si="35"/>
        <v>1.9800000000000002</v>
      </c>
      <c r="N105" s="47">
        <f t="shared" si="36"/>
        <v>1413090.36</v>
      </c>
      <c r="O105" s="17"/>
      <c r="P105" s="47">
        <f t="shared" si="37"/>
        <v>1998309.6</v>
      </c>
      <c r="Q105" s="17"/>
    </row>
    <row r="106" spans="2:17" ht="15.75" x14ac:dyDescent="0.25">
      <c r="B106" s="48" t="s">
        <v>133</v>
      </c>
      <c r="C106" s="17"/>
      <c r="D106" s="53">
        <f t="shared" si="28"/>
        <v>695594</v>
      </c>
      <c r="E106" s="54">
        <f t="shared" si="29"/>
        <v>3.8200000000000003</v>
      </c>
      <c r="F106" s="47">
        <f t="shared" si="30"/>
        <v>2657169.08</v>
      </c>
      <c r="G106" s="17"/>
      <c r="H106" s="53">
        <f t="shared" si="31"/>
        <v>718615</v>
      </c>
      <c r="I106" s="54">
        <f t="shared" si="32"/>
        <v>0.82</v>
      </c>
      <c r="J106" s="47">
        <f t="shared" si="33"/>
        <v>589264.29999999993</v>
      </c>
      <c r="K106" s="17"/>
      <c r="L106" s="53">
        <f t="shared" si="34"/>
        <v>718615</v>
      </c>
      <c r="M106" s="54">
        <f t="shared" si="35"/>
        <v>1.98</v>
      </c>
      <c r="N106" s="47">
        <f t="shared" si="36"/>
        <v>1422857.7</v>
      </c>
      <c r="O106" s="17"/>
      <c r="P106" s="47">
        <f t="shared" si="37"/>
        <v>2012122</v>
      </c>
      <c r="Q106" s="17"/>
    </row>
    <row r="107" spans="2:17" ht="15.75" x14ac:dyDescent="0.25">
      <c r="B107" s="48" t="s">
        <v>134</v>
      </c>
      <c r="C107" s="17"/>
      <c r="D107" s="53">
        <f t="shared" si="28"/>
        <v>612979</v>
      </c>
      <c r="E107" s="54">
        <f t="shared" si="29"/>
        <v>3.82</v>
      </c>
      <c r="F107" s="47">
        <f t="shared" si="30"/>
        <v>2341579.7799999998</v>
      </c>
      <c r="G107" s="17"/>
      <c r="H107" s="53">
        <f t="shared" si="31"/>
        <v>627097</v>
      </c>
      <c r="I107" s="54">
        <f t="shared" si="32"/>
        <v>0.82</v>
      </c>
      <c r="J107" s="47">
        <f t="shared" si="33"/>
        <v>514219.54</v>
      </c>
      <c r="K107" s="17"/>
      <c r="L107" s="53">
        <f t="shared" si="34"/>
        <v>627097</v>
      </c>
      <c r="M107" s="54">
        <f t="shared" si="35"/>
        <v>1.98</v>
      </c>
      <c r="N107" s="47">
        <f t="shared" si="36"/>
        <v>1241652.06</v>
      </c>
      <c r="O107" s="17"/>
      <c r="P107" s="47">
        <f t="shared" si="37"/>
        <v>1755871.6</v>
      </c>
      <c r="Q107" s="17"/>
    </row>
    <row r="108" spans="2:17" ht="15.75" x14ac:dyDescent="0.25">
      <c r="B108" s="48" t="s">
        <v>135</v>
      </c>
      <c r="C108" s="17"/>
      <c r="D108" s="53">
        <f t="shared" si="28"/>
        <v>562961</v>
      </c>
      <c r="E108" s="54">
        <f t="shared" si="29"/>
        <v>3.82</v>
      </c>
      <c r="F108" s="47">
        <f t="shared" si="30"/>
        <v>2150511.02</v>
      </c>
      <c r="G108" s="17"/>
      <c r="H108" s="53">
        <f t="shared" si="31"/>
        <v>596219</v>
      </c>
      <c r="I108" s="54">
        <f t="shared" si="32"/>
        <v>0.82</v>
      </c>
      <c r="J108" s="47">
        <f t="shared" si="33"/>
        <v>488899.57999999996</v>
      </c>
      <c r="K108" s="17"/>
      <c r="L108" s="53">
        <f t="shared" si="34"/>
        <v>596219</v>
      </c>
      <c r="M108" s="54">
        <f t="shared" si="35"/>
        <v>1.9799999999999998</v>
      </c>
      <c r="N108" s="47">
        <f t="shared" si="36"/>
        <v>1180513.6199999999</v>
      </c>
      <c r="O108" s="17"/>
      <c r="P108" s="47">
        <f t="shared" si="37"/>
        <v>1669413.1999999997</v>
      </c>
      <c r="Q108" s="17"/>
    </row>
    <row r="109" spans="2:17" ht="15.75" x14ac:dyDescent="0.25">
      <c r="B109" s="48" t="s">
        <v>136</v>
      </c>
      <c r="C109" s="17"/>
      <c r="D109" s="53">
        <f t="shared" si="28"/>
        <v>464290</v>
      </c>
      <c r="E109" s="54">
        <f t="shared" si="29"/>
        <v>3.8199999999999994</v>
      </c>
      <c r="F109" s="47">
        <f t="shared" si="30"/>
        <v>1773587.7999999998</v>
      </c>
      <c r="G109" s="17"/>
      <c r="H109" s="53">
        <f t="shared" si="31"/>
        <v>499230</v>
      </c>
      <c r="I109" s="54">
        <f t="shared" si="32"/>
        <v>0.82</v>
      </c>
      <c r="J109" s="47">
        <f t="shared" si="33"/>
        <v>409368.6</v>
      </c>
      <c r="K109" s="17"/>
      <c r="L109" s="53">
        <f t="shared" si="34"/>
        <v>499230</v>
      </c>
      <c r="M109" s="54">
        <f t="shared" si="35"/>
        <v>1.98</v>
      </c>
      <c r="N109" s="47">
        <f t="shared" si="36"/>
        <v>988475.4</v>
      </c>
      <c r="O109" s="17"/>
      <c r="P109" s="47">
        <f t="shared" si="37"/>
        <v>1397844</v>
      </c>
      <c r="Q109" s="17"/>
    </row>
    <row r="110" spans="2:17" ht="15.75" x14ac:dyDescent="0.25">
      <c r="B110" s="48" t="s">
        <v>137</v>
      </c>
      <c r="C110" s="17"/>
      <c r="D110" s="53">
        <f t="shared" si="28"/>
        <v>459555</v>
      </c>
      <c r="E110" s="54">
        <f t="shared" si="29"/>
        <v>3.82</v>
      </c>
      <c r="F110" s="47">
        <f t="shared" si="30"/>
        <v>1755500.0999999999</v>
      </c>
      <c r="G110" s="17"/>
      <c r="H110" s="53">
        <f t="shared" si="31"/>
        <v>487279</v>
      </c>
      <c r="I110" s="54">
        <f t="shared" si="32"/>
        <v>0.82</v>
      </c>
      <c r="J110" s="47">
        <f t="shared" si="33"/>
        <v>399568.77999999997</v>
      </c>
      <c r="K110" s="17"/>
      <c r="L110" s="53">
        <f t="shared" si="34"/>
        <v>487279</v>
      </c>
      <c r="M110" s="54">
        <f t="shared" si="35"/>
        <v>1.98</v>
      </c>
      <c r="N110" s="47">
        <f t="shared" si="36"/>
        <v>964812.42</v>
      </c>
      <c r="O110" s="17"/>
      <c r="P110" s="47">
        <f t="shared" si="37"/>
        <v>1364381.2</v>
      </c>
      <c r="Q110" s="17"/>
    </row>
    <row r="111" spans="2:17" ht="15.75" x14ac:dyDescent="0.25">
      <c r="B111" s="48" t="s">
        <v>138</v>
      </c>
      <c r="C111" s="17"/>
      <c r="D111" s="53">
        <f t="shared" si="28"/>
        <v>456843</v>
      </c>
      <c r="E111" s="54">
        <f t="shared" si="29"/>
        <v>3.82</v>
      </c>
      <c r="F111" s="47">
        <f t="shared" si="30"/>
        <v>1745140.26</v>
      </c>
      <c r="G111" s="17"/>
      <c r="H111" s="53">
        <f t="shared" si="31"/>
        <v>496770</v>
      </c>
      <c r="I111" s="54">
        <f t="shared" si="32"/>
        <v>0.82</v>
      </c>
      <c r="J111" s="47">
        <f t="shared" si="33"/>
        <v>407351.39999999997</v>
      </c>
      <c r="K111" s="17"/>
      <c r="L111" s="53">
        <f t="shared" si="34"/>
        <v>496770</v>
      </c>
      <c r="M111" s="54">
        <f t="shared" si="35"/>
        <v>1.98</v>
      </c>
      <c r="N111" s="47">
        <f t="shared" si="36"/>
        <v>983604.6</v>
      </c>
      <c r="O111" s="17"/>
      <c r="P111" s="47">
        <f t="shared" si="37"/>
        <v>1390956</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6308631</v>
      </c>
      <c r="E113" s="51">
        <f>IF(D113&lt;&gt;0,F113/D113,0)</f>
        <v>3.8200000000000003</v>
      </c>
      <c r="F113" s="52">
        <f>SUM(F100:F111)</f>
        <v>24098970.420000002</v>
      </c>
      <c r="G113" s="17"/>
      <c r="H113" s="50">
        <f>SUM(H100:H111)</f>
        <v>6739833</v>
      </c>
      <c r="I113" s="51">
        <f>IF(H113&lt;&gt;0,J113/H113,0)</f>
        <v>0.82</v>
      </c>
      <c r="J113" s="52">
        <f>SUM(J100:J111)</f>
        <v>5526663.0599999996</v>
      </c>
      <c r="K113" s="17"/>
      <c r="L113" s="50">
        <f>SUM(L100:L111)</f>
        <v>6736614</v>
      </c>
      <c r="M113" s="51">
        <f>IF(L113&lt;&gt;0,N113/L113,0)</f>
        <v>1.9799999999999998</v>
      </c>
      <c r="N113" s="52">
        <f>SUM(N100:N111)</f>
        <v>13338495.719999999</v>
      </c>
      <c r="O113" s="17"/>
      <c r="P113" s="52">
        <f>SUM(P100:P111)</f>
        <v>18865158.779999997</v>
      </c>
      <c r="Q113" s="17"/>
    </row>
    <row r="115" spans="2:17" x14ac:dyDescent="0.2">
      <c r="N115" s="169" t="s">
        <v>255</v>
      </c>
      <c r="P115" s="172">
        <f>'5. UTRs and Sub-Transmission'!I95</f>
        <v>0</v>
      </c>
    </row>
    <row r="117" spans="2:17" ht="13.5" thickBot="1" x14ac:dyDescent="0.25">
      <c r="N117" s="170" t="s">
        <v>258</v>
      </c>
      <c r="P117" s="52">
        <f>P113+P115</f>
        <v>18865158.779999997</v>
      </c>
    </row>
  </sheetData>
  <sheetProtection password="F8BD" sheet="1" objects="1" scenarios="1"/>
  <mergeCells count="22">
    <mergeCell ref="B13:M13"/>
    <mergeCell ref="D20:F20"/>
    <mergeCell ref="H20:J20"/>
    <mergeCell ref="L20:N20"/>
    <mergeCell ref="D39:F39"/>
    <mergeCell ref="H39:J39"/>
    <mergeCell ref="L39:N39"/>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s>
  <phoneticPr fontId="21" type="noConversion"/>
  <pageMargins left="0.74803149606299213" right="0.47244094488188981" top="0.98425196850393704" bottom="0.35433070866141736" header="0.51181102362204722" footer="0.15748031496062992"/>
  <pageSetup scale="52" orientation="portrait" r:id="rId1"/>
  <headerFooter alignWithMargins="0">
    <oddFooter>&amp;L&amp;A</oddFooter>
  </headerFooter>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4" activePane="bottomLeft" state="frozenSplit"/>
      <selection pane="bottomLeft" activeCell="B25" sqref="B2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39" t="s">
        <v>224</v>
      </c>
    </row>
    <row r="15" spans="2:18" ht="3" customHeight="1" x14ac:dyDescent="0.2"/>
    <row r="16" spans="2:18" ht="3" customHeight="1" x14ac:dyDescent="0.2">
      <c r="B16" s="130"/>
      <c r="C16" s="138"/>
      <c r="D16" s="138"/>
      <c r="E16" s="135"/>
      <c r="F16" s="138"/>
      <c r="G16" s="131"/>
      <c r="H16" s="138"/>
      <c r="I16" s="135"/>
      <c r="J16" s="138"/>
      <c r="K16" s="131"/>
      <c r="L16" s="138"/>
      <c r="M16" s="138"/>
      <c r="N16" s="138"/>
      <c r="O16" s="138"/>
      <c r="P16" s="138"/>
      <c r="Q16" s="138"/>
      <c r="R16" s="138"/>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225</v>
      </c>
      <c r="G22" s="131"/>
      <c r="H22" s="138" t="s">
        <v>214</v>
      </c>
      <c r="I22" s="135"/>
      <c r="J22" s="138" t="s">
        <v>215</v>
      </c>
      <c r="K22" s="131"/>
      <c r="L22" s="138" t="s">
        <v>216</v>
      </c>
      <c r="M22" s="138"/>
      <c r="N22" s="138" t="s">
        <v>217</v>
      </c>
      <c r="O22" s="138"/>
      <c r="P22" s="138" t="s">
        <v>222</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7.1000000000000004E-3</v>
      </c>
      <c r="G25" s="64"/>
      <c r="H25" s="64">
        <f>VLOOKUP('9. Adj Network to Current WS'!$B25, '4. RRR Data'!$B$27:$M$49,11,0)</f>
        <v>1142526110.6699998</v>
      </c>
      <c r="I25" s="71"/>
      <c r="J25" s="64">
        <f>VLOOKUP('9. Adj Network to Current WS'!$B25, '4. RRR Data'!$B$27:$M$49,12,0)</f>
        <v>0</v>
      </c>
      <c r="K25" s="58"/>
      <c r="L25" s="60">
        <f>IF(F25="", "", IF(D25="kWh", F25*H25, F25*J25))</f>
        <v>8111935.3857569993</v>
      </c>
      <c r="M25" s="55"/>
      <c r="N25" s="61">
        <f>IF(ISERROR(L25/$L$49), "", L25/$L$49)</f>
        <v>0.35226845747276475</v>
      </c>
      <c r="O25" s="13"/>
      <c r="P25" s="62">
        <f>IF(ISERROR('7. Current Wholesale'!$F$113*N25), "", '7. Current Wholesale'!$F$113*N25)</f>
        <v>8067064.1114195595</v>
      </c>
      <c r="R25" s="165">
        <f>IF(D25="","",IF(D25="kWh",IF(H25&lt;&gt;0,P25/H25,),IF(J25&lt;&gt;0,P25/J25,0)))</f>
        <v>7.0607262591914632E-3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6.6E-3</v>
      </c>
      <c r="G26" s="64"/>
      <c r="H26" s="64">
        <f>VLOOKUP('9. Adj Network to Current WS'!$B26, '4. RRR Data'!$B$27:$M$49,11,0)</f>
        <v>414003656.65499997</v>
      </c>
      <c r="I26" s="71"/>
      <c r="J26" s="64">
        <f>VLOOKUP('9. Adj Network to Current WS'!$B26, '4. RRR Data'!$B$27:$M$49,12,0)</f>
        <v>0</v>
      </c>
      <c r="K26" s="59"/>
      <c r="L26" s="60">
        <f t="shared" ref="L26:L46" si="0">IF(F26="", "", IF(D26="kWh", F26*H26, F26*J26))</f>
        <v>2732424.1339229997</v>
      </c>
      <c r="M26" s="55"/>
      <c r="N26" s="61">
        <f t="shared" ref="N26:N46" si="1">IF(ISERROR(L26/$L$49), "", L26/$L$49)</f>
        <v>0.11865809933699147</v>
      </c>
      <c r="P26" s="62">
        <f>IF(ISERROR('7. Current Wholesale'!$F$113*N26), "", '7. Current Wholesale'!$F$113*N26)</f>
        <v>2717309.6948786778</v>
      </c>
      <c r="R26" s="165">
        <f t="shared" ref="R26:R46" si="2">IF(D26="","",IF(D26="kWh",IF(H26&lt;&gt;0,P26/H26,),IF(J26&lt;&gt;0,P26/J26,0)))</f>
        <v>6.5634920155864295E-3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8,0)), "", VLOOKUP($B27,'3. Rate Classes'!$C$24:$N$45, 8,0))</f>
        <v>2.3256000000000001</v>
      </c>
      <c r="G27" s="64"/>
      <c r="H27" s="64">
        <f>VLOOKUP('9. Adj Network to Current WS'!$B27, '4. RRR Data'!$B$27:$M$49,11,0)</f>
        <v>405941130</v>
      </c>
      <c r="I27" s="71"/>
      <c r="J27" s="64">
        <f>VLOOKUP('9. Adj Network to Current WS'!$B27, '4. RRR Data'!$B$27:$M$49,12,0)</f>
        <v>1167979</v>
      </c>
      <c r="K27" s="59"/>
      <c r="L27" s="60">
        <f t="shared" si="0"/>
        <v>2716251.9624000001</v>
      </c>
      <c r="M27" s="55"/>
      <c r="N27" s="61">
        <f t="shared" si="1"/>
        <v>0.11795580751075296</v>
      </c>
      <c r="P27" s="62">
        <f>IF(ISERROR('7. Current Wholesale'!$F$113*N27), "", '7. Current Wholesale'!$F$113*N27)</f>
        <v>2701226.9799292986</v>
      </c>
      <c r="R27" s="165">
        <f t="shared" si="2"/>
        <v>2.3127359138557275</v>
      </c>
    </row>
    <row r="28" spans="2:18" ht="25.5" customHeight="1" thickBot="1" x14ac:dyDescent="0.25">
      <c r="B28" s="15" t="str">
        <f>IF('3. Rate Classes'!Q27=1,'3. Rate Classes'!C27, 0)</f>
        <v>General Service 50 to 4,999 kW – Interval Metered</v>
      </c>
      <c r="C28" s="8"/>
      <c r="D28" s="16" t="str">
        <f>IF(ISERROR(VLOOKUP($B28, '3. Rate Classes'!$C$24:$H$45,6,0)), "", VLOOKUP($B28, '3. Rate Classes'!$C$24:$H$45,6,0))</f>
        <v>kW</v>
      </c>
      <c r="F28" s="69">
        <f>IF(ISERROR(VLOOKUP($B28,'3. Rate Classes'!$C$24:$N$45, 8,0)), "", VLOOKUP($B28,'3. Rate Classes'!$C$24:$N$45, 8,0))</f>
        <v>2.9823</v>
      </c>
      <c r="G28" s="64"/>
      <c r="H28" s="64">
        <f>VLOOKUP('9. Adj Network to Current WS'!$B28, '4. RRR Data'!$B$27:$M$49,11,0)</f>
        <v>1089147192</v>
      </c>
      <c r="I28" s="71"/>
      <c r="J28" s="64">
        <f>VLOOKUP('9. Adj Network to Current WS'!$B28, '4. RRR Data'!$B$27:$M$49,12,0)</f>
        <v>2662421</v>
      </c>
      <c r="K28" s="59"/>
      <c r="L28" s="60">
        <f t="shared" si="0"/>
        <v>7940138.1482999995</v>
      </c>
      <c r="M28" s="55"/>
      <c r="N28" s="61">
        <f t="shared" si="1"/>
        <v>0.34480800013932505</v>
      </c>
      <c r="P28" s="62">
        <f>IF(ISERROR('7. Current Wholesale'!$F$113*N28), "", '7. Current Wholesale'!$F$113*N28)</f>
        <v>7896217.1725788275</v>
      </c>
      <c r="R28" s="165">
        <f t="shared" si="2"/>
        <v>2.9658033694065766</v>
      </c>
    </row>
    <row r="29" spans="2:18" ht="25.5" customHeight="1" thickBot="1" x14ac:dyDescent="0.25">
      <c r="B29" s="15" t="str">
        <f>IF('3. Rate Classes'!Q28=1,'3. Rate Classes'!C28, 0)</f>
        <v>General Service 1,000 To 4,999 kW (co-generation)</v>
      </c>
      <c r="C29" s="8"/>
      <c r="D29" s="16" t="str">
        <f>IF(ISERROR(VLOOKUP($B29, '3. Rate Classes'!$C$24:$H$45,6,0)), "", VLOOKUP($B29, '3. Rate Classes'!$C$24:$H$45,6,0))</f>
        <v>kW</v>
      </c>
      <c r="F29" s="69">
        <f>IF(ISERROR(VLOOKUP($B29,'3. Rate Classes'!$C$24:$N$45, 8,0)), "", VLOOKUP($B29,'3. Rate Classes'!$C$24:$N$45, 8,0))</f>
        <v>3.4428000000000001</v>
      </c>
      <c r="G29" s="64"/>
      <c r="H29" s="64">
        <f>VLOOKUP('9. Adj Network to Current WS'!$B29, '4. RRR Data'!$B$27:$M$49,11,0)</f>
        <v>39375740</v>
      </c>
      <c r="I29" s="71"/>
      <c r="J29" s="64">
        <f>VLOOKUP('9. Adj Network to Current WS'!$B29, '4. RRR Data'!$B$27:$M$49,12,0)</f>
        <v>46415</v>
      </c>
      <c r="K29" s="59"/>
      <c r="L29" s="60">
        <f t="shared" si="0"/>
        <v>159797.56200000001</v>
      </c>
      <c r="M29" s="55"/>
      <c r="N29" s="61">
        <f t="shared" si="1"/>
        <v>6.9393600906247103E-3</v>
      </c>
      <c r="P29" s="62">
        <f>IF(ISERROR('7. Current Wholesale'!$F$113*N29), "", '7. Current Wholesale'!$F$113*N29)</f>
        <v>158913.63974199657</v>
      </c>
      <c r="R29" s="165">
        <f t="shared" si="2"/>
        <v>3.4237561077668115</v>
      </c>
    </row>
    <row r="30" spans="2:18" ht="25.5" customHeight="1" thickBot="1" x14ac:dyDescent="0.25">
      <c r="B30" s="15" t="str">
        <f>IF('3. Rate Classes'!Q29=1,'3. Rate Classes'!C29, 0)</f>
        <v>Standby Power - APPROVED ON AN INTERIM BASIS</v>
      </c>
      <c r="C30" s="8"/>
      <c r="D30" s="16" t="str">
        <f>IF(ISERROR(VLOOKUP($B30, '3. Rate Classes'!$C$24:$H$45,6,0)), "", VLOOKUP($B30, '3. Rate Classes'!$C$24:$H$45,6,0))</f>
        <v>kW</v>
      </c>
      <c r="F30" s="69">
        <f>IF(ISERROR(VLOOKUP($B30,'3. Rate Classes'!$C$24:$N$45, 8,0)), "", VLOOKUP($B30,'3. Rate Classes'!$C$24:$N$45, 8,0))</f>
        <v>0</v>
      </c>
      <c r="G30" s="64"/>
      <c r="H30" s="64">
        <f>VLOOKUP('9. Adj Network to Current WS'!$B30, '4. RRR Data'!$B$27:$M$49,11,0)</f>
        <v>0</v>
      </c>
      <c r="I30" s="71"/>
      <c r="J30" s="64">
        <f>VLOOKUP('9. Adj Network to Current WS'!$B30, '4. RRR Data'!$B$27:$M$49,12,0)</f>
        <v>154800</v>
      </c>
      <c r="K30" s="59"/>
      <c r="L30" s="60">
        <f t="shared" si="0"/>
        <v>0</v>
      </c>
      <c r="M30" s="55"/>
      <c r="N30" s="61">
        <f t="shared" si="1"/>
        <v>0</v>
      </c>
      <c r="P30" s="62">
        <f>IF(ISERROR('7. Current Wholesale'!$F$113*N30), "", '7. Current Wholesale'!$F$113*N30)</f>
        <v>0</v>
      </c>
      <c r="R30" s="165">
        <f t="shared" si="2"/>
        <v>0</v>
      </c>
    </row>
    <row r="31" spans="2:18" ht="25.5" customHeight="1" thickBot="1" x14ac:dyDescent="0.25">
      <c r="B31" s="15" t="str">
        <f>IF('3. Rate Classes'!Q30=1,'3. Rate Classes'!C30, 0)</f>
        <v>Large Use</v>
      </c>
      <c r="C31" s="8"/>
      <c r="D31" s="16" t="str">
        <f>IF(ISERROR(VLOOKUP($B31, '3. Rate Classes'!$C$24:$H$45,6,0)), "", VLOOKUP($B31, '3. Rate Classes'!$C$24:$H$45,6,0))</f>
        <v>kW</v>
      </c>
      <c r="F31" s="69">
        <f>IF(ISERROR(VLOOKUP($B31,'3. Rate Classes'!$C$24:$N$45, 8,0)), "", VLOOKUP($B31,'3. Rate Classes'!$C$24:$N$45, 8,0))</f>
        <v>3.0548999999999999</v>
      </c>
      <c r="G31" s="64"/>
      <c r="H31" s="64">
        <f>VLOOKUP('9. Adj Network to Current WS'!$B31, '4. RRR Data'!$B$27:$M$49,11,0)</f>
        <v>183363380</v>
      </c>
      <c r="I31" s="71"/>
      <c r="J31" s="64">
        <f>VLOOKUP('9. Adj Network to Current WS'!$B31, '4. RRR Data'!$B$27:$M$49,12,0)</f>
        <v>389123</v>
      </c>
      <c r="K31" s="59"/>
      <c r="L31" s="60">
        <f t="shared" si="0"/>
        <v>1188731.8526999999</v>
      </c>
      <c r="M31" s="55"/>
      <c r="N31" s="61">
        <f t="shared" si="1"/>
        <v>5.1621803698611822E-2</v>
      </c>
      <c r="P31" s="62">
        <f>IF(ISERROR('7. Current Wholesale'!$F$113*N31), "", '7. Current Wholesale'!$F$113*N31)</f>
        <v>1182156.3672529869</v>
      </c>
      <c r="R31" s="165">
        <f t="shared" si="2"/>
        <v>3.0380017815780276</v>
      </c>
    </row>
    <row r="32" spans="2:18" ht="25.5" customHeight="1" thickBot="1" x14ac:dyDescent="0.25">
      <c r="B32" s="15" t="str">
        <f>IF('3. Rate Classes'!Q31=1,'3. Rate Classes'!C31, 0)</f>
        <v>Street Lighting</v>
      </c>
      <c r="C32" s="8"/>
      <c r="D32" s="16" t="str">
        <f>IF(ISERROR(VLOOKUP($B32, '3. Rate Classes'!$C$24:$H$45,6,0)), "", VLOOKUP($B32, '3. Rate Classes'!$C$24:$H$45,6,0))</f>
        <v>kW</v>
      </c>
      <c r="F32" s="69">
        <f>IF(ISERROR(VLOOKUP($B32,'3. Rate Classes'!$C$24:$N$45, 8,0)), "", VLOOKUP($B32,'3. Rate Classes'!$C$24:$N$45, 8,0))</f>
        <v>2.0476999999999999</v>
      </c>
      <c r="G32" s="64"/>
      <c r="H32" s="64">
        <f>VLOOKUP('9. Adj Network to Current WS'!$B32, '4. RRR Data'!$B$27:$M$49,11,0)</f>
        <v>23812743</v>
      </c>
      <c r="I32" s="71"/>
      <c r="J32" s="64">
        <f>VLOOKUP('9. Adj Network to Current WS'!$B32, '4. RRR Data'!$B$27:$M$49,12,0)</f>
        <v>66305</v>
      </c>
      <c r="K32" s="59"/>
      <c r="L32" s="60">
        <f t="shared" si="0"/>
        <v>135772.74849999999</v>
      </c>
      <c r="M32" s="55"/>
      <c r="N32" s="61">
        <f t="shared" si="1"/>
        <v>5.896059868143207E-3</v>
      </c>
      <c r="P32" s="62">
        <f>IF(ISERROR('7. Current Wholesale'!$F$113*N32), "", '7. Current Wholesale'!$F$113*N32)</f>
        <v>135021.71980514762</v>
      </c>
      <c r="R32" s="165">
        <f t="shared" si="2"/>
        <v>2.0363731212600502</v>
      </c>
    </row>
    <row r="33" spans="2:18" ht="25.5" customHeight="1" thickBot="1" x14ac:dyDescent="0.25">
      <c r="B33" s="15" t="str">
        <f>IF('3. Rate Classes'!Q32=1,'3. Rate Classes'!C32, 0)</f>
        <v>Sentinel Lighting</v>
      </c>
      <c r="C33" s="8"/>
      <c r="D33" s="16" t="str">
        <f>IF(ISERROR(VLOOKUP($B33, '3. Rate Classes'!$C$24:$H$45,6,0)), "", VLOOKUP($B33, '3. Rate Classes'!$C$24:$H$45,6,0))</f>
        <v>kW</v>
      </c>
      <c r="F33" s="69">
        <f>IF(ISERROR(VLOOKUP($B33,'3. Rate Classes'!$C$24:$N$45, 8,0)), "", VLOOKUP($B33,'3. Rate Classes'!$C$24:$N$45, 8,0))</f>
        <v>2.0505</v>
      </c>
      <c r="G33" s="64"/>
      <c r="H33" s="64">
        <f>VLOOKUP('9. Adj Network to Current WS'!$B33, '4. RRR Data'!$B$27:$M$49,11,0)</f>
        <v>790064</v>
      </c>
      <c r="I33" s="71"/>
      <c r="J33" s="64">
        <f>VLOOKUP('9. Adj Network to Current WS'!$B33, '4. RRR Data'!$B$27:$M$49,12,0)</f>
        <v>2146</v>
      </c>
      <c r="K33" s="59"/>
      <c r="L33" s="60">
        <f t="shared" si="0"/>
        <v>4400.3729999999996</v>
      </c>
      <c r="M33" s="55"/>
      <c r="N33" s="61">
        <f t="shared" si="1"/>
        <v>1.9109035455786569E-4</v>
      </c>
      <c r="P33" s="62">
        <f>IF(ISERROR('7. Current Wholesale'!$F$113*N33), "", '7. Current Wholesale'!$F$113*N33)</f>
        <v>4376.0322804700154</v>
      </c>
      <c r="R33" s="165">
        <f t="shared" si="2"/>
        <v>2.0391576330242382</v>
      </c>
    </row>
    <row r="34" spans="2:18" ht="25.5" customHeight="1" thickBot="1" x14ac:dyDescent="0.25">
      <c r="B34" s="15" t="str">
        <f>IF('3. Rate Classes'!Q33=1,'3. Rate Classes'!C33, 0)</f>
        <v>Unmetered Scattered Load</v>
      </c>
      <c r="C34" s="8"/>
      <c r="D34" s="16" t="str">
        <f>IF(ISERROR(VLOOKUP($B34, '3. Rate Classes'!$C$24:$H$45,6,0)), "", VLOOKUP($B34, '3. Rate Classes'!$C$24:$H$45,6,0))</f>
        <v>kWh</v>
      </c>
      <c r="F34" s="69">
        <f>IF(ISERROR(VLOOKUP($B34,'3. Rate Classes'!$C$24:$N$45, 8,0)), "", VLOOKUP($B34,'3. Rate Classes'!$C$24:$N$45, 8,0))</f>
        <v>6.6E-3</v>
      </c>
      <c r="G34" s="64"/>
      <c r="H34" s="64">
        <f>VLOOKUP('9. Adj Network to Current WS'!$B34, '4. RRR Data'!$B$27:$M$49,11,0)</f>
        <v>5796428.4899999993</v>
      </c>
      <c r="I34" s="71"/>
      <c r="J34" s="64">
        <f>VLOOKUP('9. Adj Network to Current WS'!$B34, '4. RRR Data'!$B$27:$M$49,12,0)</f>
        <v>0</v>
      </c>
      <c r="K34" s="59"/>
      <c r="L34" s="60">
        <f t="shared" si="0"/>
        <v>38256.428033999997</v>
      </c>
      <c r="M34" s="55"/>
      <c r="N34" s="61">
        <f t="shared" si="1"/>
        <v>1.6613215282282963E-3</v>
      </c>
      <c r="P34" s="62">
        <f>IF(ISERROR('7. Current Wholesale'!$F$113*N34), "", '7. Current Wholesale'!$F$113*N34)</f>
        <v>38044.812113032698</v>
      </c>
      <c r="R34" s="165">
        <f t="shared" si="2"/>
        <v>6.5634920155864295E-3</v>
      </c>
    </row>
    <row r="35" spans="2:18" ht="25.5" hidden="1" customHeight="1" thickBot="1" x14ac:dyDescent="0.25">
      <c r="B35" s="15">
        <f>IF('3. Rate Classes'!Q34=1,'3. Rate Classes'!C34, 0)</f>
        <v>0</v>
      </c>
      <c r="C35" s="8"/>
      <c r="D35" s="16" t="str">
        <f>IF(ISERROR(VLOOKUP($B35, '3. Rate Classes'!$C$24:$H$45,6,0)), "", VLOOKUP($B35, '3. Rate Classes'!$C$24:$H$45,6,0))</f>
        <v/>
      </c>
      <c r="F35" s="69" t="str">
        <f>IF(ISERROR(VLOOKUP($B35,'3. Rate Classes'!$C$24:$N$45, 8,0)), "", VLOOKUP($B35,'3. Rate Classes'!$C$24:$N$45, 8,0))</f>
        <v/>
      </c>
      <c r="G35" s="64"/>
      <c r="H35" s="64">
        <f>VLOOKUP('9. Adj Network to Current WS'!$B35, '4. RRR Data'!$B$27:$M$49,11,0)</f>
        <v>0</v>
      </c>
      <c r="I35" s="71"/>
      <c r="J35" s="64">
        <f>VLOOKUP('9. Adj Network to Current WS'!$B35, '4. RRR Data'!$B$27:$M$49,12,0)</f>
        <v>0</v>
      </c>
      <c r="K35" s="59"/>
      <c r="L35" s="60" t="str">
        <f t="shared" si="0"/>
        <v/>
      </c>
      <c r="M35" s="55"/>
      <c r="N35" s="61" t="str">
        <f t="shared" si="1"/>
        <v/>
      </c>
      <c r="P35" s="62" t="str">
        <f>IF(ISERROR('7. Current Wholesale'!$F$113*N35), "", '7. Current Wholesale'!$F$113*N35)</f>
        <v/>
      </c>
      <c r="R35" s="165" t="str">
        <f t="shared" si="2"/>
        <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5"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5"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5"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5"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5"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5"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5"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5"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5"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5"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5" t="str">
        <f t="shared" si="2"/>
        <v/>
      </c>
    </row>
    <row r="47" spans="2:18" ht="13.5" hidden="1" thickBot="1" x14ac:dyDescent="0.25">
      <c r="F47" s="69"/>
      <c r="G47" s="73"/>
      <c r="H47" s="73"/>
      <c r="I47" s="73"/>
      <c r="J47" s="73"/>
      <c r="R47" s="165"/>
    </row>
    <row r="48" spans="2:18" ht="13.5" thickBot="1" x14ac:dyDescent="0.25">
      <c r="F48" s="69"/>
      <c r="G48" s="73"/>
      <c r="H48" s="73"/>
      <c r="I48" s="73"/>
      <c r="J48" s="73"/>
      <c r="R48" s="165"/>
    </row>
    <row r="49" spans="6:18" ht="13.5" thickBot="1" x14ac:dyDescent="0.25">
      <c r="F49" s="69"/>
      <c r="G49" s="73"/>
      <c r="H49" s="73"/>
      <c r="I49" s="73"/>
      <c r="J49" s="73"/>
      <c r="L49" s="70">
        <f>SUM(L25:L46)</f>
        <v>23027708.594613995</v>
      </c>
      <c r="R49" s="165"/>
    </row>
    <row r="50" spans="6:18" ht="13.5" thickBot="1" x14ac:dyDescent="0.25">
      <c r="F50" s="69"/>
      <c r="G50" s="73"/>
      <c r="H50" s="73"/>
      <c r="I50" s="73"/>
      <c r="J50" s="73"/>
      <c r="R50" s="165"/>
    </row>
    <row r="51" spans="6:18" ht="13.5" thickBot="1" x14ac:dyDescent="0.25">
      <c r="F51" s="69"/>
      <c r="G51" s="73"/>
      <c r="H51" s="73"/>
      <c r="I51" s="73"/>
      <c r="J51" s="73"/>
      <c r="R51" s="165"/>
    </row>
    <row r="52" spans="6:18" ht="13.5" thickBot="1" x14ac:dyDescent="0.25">
      <c r="F52" s="64"/>
      <c r="G52" s="73"/>
      <c r="H52" s="73"/>
      <c r="I52" s="73"/>
      <c r="J52" s="73"/>
      <c r="R52" s="165"/>
    </row>
    <row r="53" spans="6:18" ht="13.5" thickBot="1" x14ac:dyDescent="0.25">
      <c r="F53" s="64"/>
      <c r="G53" s="73"/>
      <c r="H53" s="73"/>
      <c r="I53" s="73"/>
      <c r="J53" s="73"/>
      <c r="R53" s="165"/>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8" orientation="landscape" r:id="rId1"/>
  <headerFooter alignWithMargins="0">
    <oddFooter>&amp;L&amp;A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Suresh Advani</cp:lastModifiedBy>
  <cp:lastPrinted>2014-02-12T19:52:10Z</cp:lastPrinted>
  <dcterms:created xsi:type="dcterms:W3CDTF">2011-05-30T20:18:50Z</dcterms:created>
  <dcterms:modified xsi:type="dcterms:W3CDTF">2014-02-12T19:52:22Z</dcterms:modified>
</cp:coreProperties>
</file>