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5" windowWidth="19035" windowHeight="11580" tabRatio="937" firstSheet="2" activeTab="5"/>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Info'!$A$1:$J$40</definedName>
    <definedName name="_xlnm.Print_Area" localSheetId="12">'13. Final 2014 RTS Rates'!$B$1:$N$34</definedName>
    <definedName name="_xlnm.Print_Area" localSheetId="2">'3. Rate Classes'!$B$1:$O$47</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iterate="1" iterateCount="10000" iterateDelta="1E-8"/>
</workbook>
</file>

<file path=xl/calcChain.xml><?xml version="1.0" encoding="utf-8"?>
<calcChain xmlns="http://schemas.openxmlformats.org/spreadsheetml/2006/main">
  <c r="H54" i="9" l="1"/>
  <c r="M43" i="9"/>
  <c r="I43" i="9"/>
  <c r="E43" i="9"/>
  <c r="E44" i="9" s="1"/>
  <c r="M24" i="9"/>
  <c r="N24" i="9" s="1"/>
  <c r="I24" i="9"/>
  <c r="E24" i="9"/>
  <c r="L54" i="9"/>
  <c r="H49" i="9"/>
  <c r="H48" i="9"/>
  <c r="H47" i="9"/>
  <c r="H43" i="9"/>
  <c r="N44" i="9"/>
  <c r="N43" i="9"/>
  <c r="M44" i="9"/>
  <c r="M45" i="9" s="1"/>
  <c r="J43" i="9"/>
  <c r="I44" i="9"/>
  <c r="J44" i="9" s="1"/>
  <c r="M25" i="9"/>
  <c r="M26" i="9" s="1"/>
  <c r="J24" i="9"/>
  <c r="I25" i="9"/>
  <c r="J25" i="9" s="1"/>
  <c r="F24" i="9"/>
  <c r="E25" i="9"/>
  <c r="F25" i="9" s="1"/>
  <c r="D54" i="9"/>
  <c r="E26" i="9" l="1"/>
  <c r="E27" i="9" s="1"/>
  <c r="E28" i="9" s="1"/>
  <c r="I26" i="9"/>
  <c r="I27" i="9" s="1"/>
  <c r="I28" i="9" s="1"/>
  <c r="I29" i="9" s="1"/>
  <c r="I30" i="9" s="1"/>
  <c r="I31" i="9" s="1"/>
  <c r="I32" i="9" s="1"/>
  <c r="I33" i="9" s="1"/>
  <c r="I34" i="9" s="1"/>
  <c r="I35" i="9" s="1"/>
  <c r="J35" i="9" s="1"/>
  <c r="N25" i="9"/>
  <c r="F43" i="9"/>
  <c r="M46" i="9"/>
  <c r="N45" i="9"/>
  <c r="I45" i="9"/>
  <c r="F44" i="9"/>
  <c r="E45" i="9"/>
  <c r="M27" i="9"/>
  <c r="N26" i="9"/>
  <c r="J32" i="9"/>
  <c r="J31" i="9"/>
  <c r="J34" i="9"/>
  <c r="J29" i="9"/>
  <c r="F26" i="9"/>
  <c r="F27" i="9"/>
  <c r="J30" i="9" l="1"/>
  <c r="J28" i="9"/>
  <c r="J33" i="9"/>
  <c r="J26" i="9"/>
  <c r="J27" i="9"/>
  <c r="E29" i="9"/>
  <c r="F28" i="9"/>
  <c r="M47" i="9"/>
  <c r="N46" i="9"/>
  <c r="J45" i="9"/>
  <c r="I46" i="9"/>
  <c r="E46" i="9"/>
  <c r="F45" i="9"/>
  <c r="M28" i="9"/>
  <c r="N27" i="9"/>
  <c r="E30" i="9" l="1"/>
  <c r="F29" i="9"/>
  <c r="M48" i="9"/>
  <c r="N47" i="9"/>
  <c r="J46" i="9"/>
  <c r="I47" i="9"/>
  <c r="E47" i="9"/>
  <c r="F46" i="9"/>
  <c r="M29" i="9"/>
  <c r="N28" i="9"/>
  <c r="E31" i="9" l="1"/>
  <c r="F30" i="9"/>
  <c r="M49" i="9"/>
  <c r="N48" i="9"/>
  <c r="I48" i="9"/>
  <c r="J47" i="9"/>
  <c r="E48" i="9"/>
  <c r="F47" i="9"/>
  <c r="M30" i="9"/>
  <c r="N29" i="9"/>
  <c r="E32" i="9" l="1"/>
  <c r="F31" i="9"/>
  <c r="M50" i="9"/>
  <c r="N49" i="9"/>
  <c r="I49" i="9"/>
  <c r="J48" i="9"/>
  <c r="E49" i="9"/>
  <c r="F48" i="9"/>
  <c r="M31" i="9"/>
  <c r="N30" i="9"/>
  <c r="E33" i="9" l="1"/>
  <c r="F32" i="9"/>
  <c r="M51" i="9"/>
  <c r="N50" i="9"/>
  <c r="I50" i="9"/>
  <c r="J49" i="9"/>
  <c r="E50" i="9"/>
  <c r="F49" i="9"/>
  <c r="M32" i="9"/>
  <c r="N31" i="9"/>
  <c r="E34" i="9" l="1"/>
  <c r="F33" i="9"/>
  <c r="M52" i="9"/>
  <c r="N51" i="9"/>
  <c r="I51" i="9"/>
  <c r="J50" i="9"/>
  <c r="E51" i="9"/>
  <c r="F50" i="9"/>
  <c r="M33" i="9"/>
  <c r="N32" i="9"/>
  <c r="E35" i="9" l="1"/>
  <c r="F35" i="9" s="1"/>
  <c r="F34" i="9"/>
  <c r="M53" i="9"/>
  <c r="N52" i="9"/>
  <c r="I52" i="9"/>
  <c r="J51" i="9"/>
  <c r="E52" i="9"/>
  <c r="F51" i="9"/>
  <c r="M34" i="9"/>
  <c r="N33" i="9"/>
  <c r="M54" i="9" l="1"/>
  <c r="N54" i="9" s="1"/>
  <c r="N53" i="9"/>
  <c r="I53" i="9"/>
  <c r="J52" i="9"/>
  <c r="E53" i="9"/>
  <c r="F52" i="9"/>
  <c r="M35" i="9"/>
  <c r="N35" i="9" s="1"/>
  <c r="N34" i="9"/>
  <c r="I54" i="9" l="1"/>
  <c r="J54" i="9" s="1"/>
  <c r="J53" i="9"/>
  <c r="E54" i="9"/>
  <c r="F54" i="9" s="1"/>
  <c r="F53" i="9"/>
  <c r="F31" i="4" l="1"/>
  <c r="F30" i="4"/>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H94" i="9"/>
  <c r="I94" i="9" s="1"/>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Q27" i="3"/>
  <c r="B28" i="14" s="1"/>
  <c r="L30" i="4"/>
  <c r="Q28" i="3"/>
  <c r="A5" i="5" s="1"/>
  <c r="B29" i="14"/>
  <c r="D29" i="14" s="1"/>
  <c r="L31" i="4"/>
  <c r="L32" i="4"/>
  <c r="L33" i="4"/>
  <c r="L34" i="4"/>
  <c r="L35" i="4"/>
  <c r="L36" i="4"/>
  <c r="L37" i="4"/>
  <c r="L38" i="4"/>
  <c r="L39" i="4"/>
  <c r="L40" i="4"/>
  <c r="L41" i="4"/>
  <c r="L42" i="4"/>
  <c r="L43" i="4"/>
  <c r="L44" i="4"/>
  <c r="L45" i="4"/>
  <c r="L46" i="4"/>
  <c r="L47" i="4"/>
  <c r="L48" i="4"/>
  <c r="Q29" i="3"/>
  <c r="B30" i="14" s="1"/>
  <c r="Q30" i="3"/>
  <c r="B31" i="14" s="1"/>
  <c r="F31" i="14" s="1"/>
  <c r="Q31" i="3"/>
  <c r="B32" i="14" s="1"/>
  <c r="Q32" i="3"/>
  <c r="B33" i="14" s="1"/>
  <c r="A3" i="5"/>
  <c r="F27" i="14"/>
  <c r="D27" i="14"/>
  <c r="F33" i="14"/>
  <c r="D33" i="14"/>
  <c r="D24" i="8"/>
  <c r="E24" i="8"/>
  <c r="D43" i="8"/>
  <c r="E43" i="8"/>
  <c r="E44" i="8" s="1"/>
  <c r="D25" i="8"/>
  <c r="D44" i="8"/>
  <c r="D26" i="8"/>
  <c r="D45" i="8"/>
  <c r="D27" i="8"/>
  <c r="D46" i="8"/>
  <c r="D28" i="8"/>
  <c r="D47" i="8"/>
  <c r="D29" i="8"/>
  <c r="D48" i="8"/>
  <c r="D30" i="8"/>
  <c r="D49" i="8"/>
  <c r="D31" i="8"/>
  <c r="D50" i="8"/>
  <c r="D32" i="8"/>
  <c r="D51" i="8"/>
  <c r="D33" i="8"/>
  <c r="D52" i="8"/>
  <c r="D34" i="8"/>
  <c r="D53" i="8"/>
  <c r="D35" i="8"/>
  <c r="D54" i="8"/>
  <c r="B27" i="16"/>
  <c r="D27" i="16" s="1"/>
  <c r="B28" i="16"/>
  <c r="D28" i="16" s="1"/>
  <c r="B29" i="16"/>
  <c r="D29" i="16" s="1"/>
  <c r="B33" i="16"/>
  <c r="D33" i="16"/>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7" i="15"/>
  <c r="F27" i="15" s="1"/>
  <c r="B28" i="15"/>
  <c r="F28" i="15" s="1"/>
  <c r="B29" i="15"/>
  <c r="F29" i="15" s="1"/>
  <c r="B32" i="15"/>
  <c r="F32" i="15" s="1"/>
  <c r="B33" i="15"/>
  <c r="F33" i="15" s="1"/>
  <c r="H24" i="8"/>
  <c r="I24" i="8"/>
  <c r="H43" i="8"/>
  <c r="I43" i="8"/>
  <c r="L24" i="8"/>
  <c r="M24" i="8"/>
  <c r="L43" i="8"/>
  <c r="M43" i="8"/>
  <c r="H25" i="8"/>
  <c r="H44" i="8"/>
  <c r="L25" i="8"/>
  <c r="L44" i="8"/>
  <c r="H26" i="8"/>
  <c r="H45" i="8"/>
  <c r="L26" i="8"/>
  <c r="L45" i="8"/>
  <c r="H27" i="8"/>
  <c r="H103" i="8" s="1"/>
  <c r="H46" i="8"/>
  <c r="L27" i="8"/>
  <c r="L46" i="8"/>
  <c r="H28" i="8"/>
  <c r="H104" i="8" s="1"/>
  <c r="H47" i="8"/>
  <c r="L28" i="8"/>
  <c r="L47" i="8"/>
  <c r="H29" i="8"/>
  <c r="H105" i="8" s="1"/>
  <c r="H48" i="8"/>
  <c r="L29" i="8"/>
  <c r="L48" i="8"/>
  <c r="H30" i="8"/>
  <c r="H106" i="8" s="1"/>
  <c r="H49" i="8"/>
  <c r="L30" i="8"/>
  <c r="L49" i="8"/>
  <c r="H31" i="8"/>
  <c r="H50" i="8"/>
  <c r="L31" i="8"/>
  <c r="L50" i="8"/>
  <c r="H32" i="8"/>
  <c r="H51" i="8"/>
  <c r="L32" i="8"/>
  <c r="L51" i="8"/>
  <c r="H33" i="8"/>
  <c r="H52" i="8"/>
  <c r="L33" i="8"/>
  <c r="L52" i="8"/>
  <c r="H34" i="8"/>
  <c r="H53" i="8"/>
  <c r="L34" i="8"/>
  <c r="L53" i="8"/>
  <c r="H35" i="8"/>
  <c r="H54" i="8"/>
  <c r="L35" i="8"/>
  <c r="L54" i="8"/>
  <c r="B27" i="17"/>
  <c r="D27" i="17" s="1"/>
  <c r="B28" i="17"/>
  <c r="D28" i="17" s="1"/>
  <c r="B29" i="17"/>
  <c r="D29" i="17" s="1"/>
  <c r="B32" i="17"/>
  <c r="D32" i="17" s="1"/>
  <c r="B33" i="17"/>
  <c r="D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29" i="18"/>
  <c r="D29" i="18" s="1"/>
  <c r="B30" i="18"/>
  <c r="D30" i="18" s="1"/>
  <c r="B31" i="18"/>
  <c r="D31" i="18" s="1"/>
  <c r="B33" i="18"/>
  <c r="D33" i="18" s="1"/>
  <c r="B34" i="18"/>
  <c r="D34" i="18" s="1"/>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J56" i="9"/>
  <c r="L56" i="9"/>
  <c r="N56" i="9"/>
  <c r="E41" i="6"/>
  <c r="G41" i="6"/>
  <c r="I41" i="6"/>
  <c r="E91" i="6"/>
  <c r="G91" i="6"/>
  <c r="J29" i="4"/>
  <c r="J33"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E56" i="9" l="1"/>
  <c r="D110" i="8"/>
  <c r="D108" i="8"/>
  <c r="D106" i="8"/>
  <c r="D104" i="8"/>
  <c r="B30" i="17"/>
  <c r="D30" i="17" s="1"/>
  <c r="B30" i="15"/>
  <c r="F30" i="15" s="1"/>
  <c r="B30" i="16"/>
  <c r="D30" i="16" s="1"/>
  <c r="D109" i="8"/>
  <c r="D107" i="8"/>
  <c r="D105" i="8"/>
  <c r="D103" i="8"/>
  <c r="D101" i="8"/>
  <c r="B31" i="4"/>
  <c r="D31" i="4" s="1"/>
  <c r="J31" i="4" s="1"/>
  <c r="B30" i="4"/>
  <c r="D30" i="4" s="1"/>
  <c r="J30" i="4" s="1"/>
  <c r="H110" i="8"/>
  <c r="I56" i="9"/>
  <c r="H102" i="8"/>
  <c r="L100" i="8"/>
  <c r="M56" i="9"/>
  <c r="H111" i="8"/>
  <c r="H109" i="8"/>
  <c r="H108" i="8"/>
  <c r="H107" i="8"/>
  <c r="D111" i="8"/>
  <c r="D56" i="8"/>
  <c r="D102" i="8"/>
  <c r="H37" i="12"/>
  <c r="B32" i="16"/>
  <c r="D32" i="16" s="1"/>
  <c r="D31" i="14"/>
  <c r="A7" i="5"/>
  <c r="B31" i="16"/>
  <c r="D31" i="16" s="1"/>
  <c r="B31" i="17"/>
  <c r="D31" i="17" s="1"/>
  <c r="B32" i="18"/>
  <c r="D32" i="18" s="1"/>
  <c r="B31" i="15"/>
  <c r="F31" i="15" s="1"/>
  <c r="F29" i="14"/>
  <c r="A4" i="5"/>
  <c r="B25" i="17"/>
  <c r="D25" i="17"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D32" i="15"/>
  <c r="D31" i="15"/>
  <c r="D30" i="15"/>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F32" i="14"/>
  <c r="D30" i="14"/>
  <c r="F30" i="14"/>
  <c r="E44" i="12"/>
  <c r="F44" i="8"/>
  <c r="E45" i="8"/>
  <c r="A8" i="5"/>
  <c r="A6" i="5"/>
  <c r="B35" i="4"/>
  <c r="D35" i="4" s="1"/>
  <c r="J35" i="4" s="1"/>
  <c r="B34" i="4"/>
  <c r="D34" i="4" s="1"/>
  <c r="J34" i="4" s="1"/>
  <c r="B33" i="4"/>
  <c r="D33" i="4" s="1"/>
  <c r="B32" i="4"/>
  <c r="D32" i="4" s="1"/>
  <c r="J32" i="4" s="1"/>
  <c r="B27" i="4"/>
  <c r="B25" i="14"/>
  <c r="J32" i="16" l="1"/>
  <c r="L113" i="8"/>
  <c r="E113" i="9"/>
  <c r="D26" i="15"/>
  <c r="H25" i="16"/>
  <c r="N100" i="8"/>
  <c r="J100" i="12"/>
  <c r="I100" i="12" s="1"/>
  <c r="H113" i="8"/>
  <c r="I100" i="8"/>
  <c r="D113" i="8"/>
  <c r="F100" i="8"/>
  <c r="E100" i="8" s="1"/>
  <c r="M88" i="12"/>
  <c r="N87" i="12"/>
  <c r="P87" i="12" s="1"/>
  <c r="E89" i="12"/>
  <c r="F88" i="12"/>
  <c r="J94" i="12"/>
  <c r="M26" i="12"/>
  <c r="N26" i="12" s="1"/>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L29" i="15" s="1"/>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J31" i="17"/>
  <c r="J33" i="15"/>
  <c r="L33" i="15" s="1"/>
  <c r="J33" i="17"/>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J31" i="16"/>
  <c r="J33" i="14"/>
  <c r="J33" i="16"/>
  <c r="F45" i="8"/>
  <c r="E46" i="8"/>
  <c r="F44" i="12"/>
  <c r="E45" i="12"/>
  <c r="J29" i="17"/>
  <c r="J30" i="14"/>
  <c r="H30" i="16"/>
  <c r="J30" i="15"/>
  <c r="H30" i="17"/>
  <c r="J32" i="14"/>
  <c r="L32" i="14" s="1"/>
  <c r="H32" i="15"/>
  <c r="J32" i="15"/>
  <c r="L32" i="15" s="1"/>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P100" i="8" l="1"/>
  <c r="M100" i="8"/>
  <c r="L31" i="14"/>
  <c r="L31" i="15"/>
  <c r="L27" i="15"/>
  <c r="L33" i="14"/>
  <c r="L30" i="15"/>
  <c r="L30" i="14"/>
  <c r="L28" i="14"/>
  <c r="L29" i="14"/>
  <c r="L28" i="15"/>
  <c r="L27" i="14"/>
  <c r="N102" i="8"/>
  <c r="M102" i="8" s="1"/>
  <c r="N101" i="8"/>
  <c r="I46" i="8"/>
  <c r="M27" i="12"/>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N27" i="12"/>
  <c r="M28" i="12"/>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P101" i="8" l="1"/>
  <c r="M101" i="8"/>
  <c r="F102" i="12"/>
  <c r="E102" i="12" s="1"/>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E29" i="8"/>
  <c r="E48" i="8"/>
  <c r="F47" i="8"/>
  <c r="F46" i="12"/>
  <c r="E47" i="12"/>
  <c r="N46" i="12"/>
  <c r="M47" i="12"/>
  <c r="N28" i="12"/>
  <c r="M29" i="12"/>
  <c r="I48" i="8"/>
  <c r="J47" i="8"/>
  <c r="F104" i="8" l="1"/>
  <c r="E104" i="8" s="1"/>
  <c r="N104" i="8"/>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F94" i="8" l="1"/>
  <c r="P105" i="8"/>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M109" i="8" s="1"/>
  <c r="P108" i="8"/>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113" i="8" l="1"/>
  <c r="P117" i="8" s="1"/>
  <c r="P43" i="15" s="1"/>
  <c r="P45" i="14"/>
  <c r="P35" i="14"/>
  <c r="P25" i="14"/>
  <c r="R25" i="14" s="1"/>
  <c r="F25" i="16" s="1"/>
  <c r="P37" i="12"/>
  <c r="P30" i="14"/>
  <c r="R30" i="14" s="1"/>
  <c r="P43" i="14"/>
  <c r="P37" i="14"/>
  <c r="P41" i="14"/>
  <c r="P34" i="14"/>
  <c r="P26" i="14"/>
  <c r="R26" i="14" s="1"/>
  <c r="P46" i="14"/>
  <c r="P39" i="14"/>
  <c r="P29" i="14"/>
  <c r="R29" i="14" s="1"/>
  <c r="N113" i="12"/>
  <c r="M113" i="12" s="1"/>
  <c r="F113" i="12"/>
  <c r="E113" i="12" s="1"/>
  <c r="E111" i="12"/>
  <c r="P44" i="14"/>
  <c r="P40" i="14"/>
  <c r="P36" i="14"/>
  <c r="P31" i="14"/>
  <c r="R31" i="14" s="1"/>
  <c r="P32" i="14"/>
  <c r="R32" i="14" s="1"/>
  <c r="P42" i="14"/>
  <c r="P38" i="14"/>
  <c r="P33" i="14"/>
  <c r="R33" i="14" s="1"/>
  <c r="P27" i="14"/>
  <c r="R27" i="14" s="1"/>
  <c r="P28" i="14"/>
  <c r="R28" i="14" s="1"/>
  <c r="P110" i="12"/>
  <c r="P37" i="8"/>
  <c r="P111" i="12"/>
  <c r="J113" i="12"/>
  <c r="I113" i="12" s="1"/>
  <c r="P45" i="15" l="1"/>
  <c r="P27" i="15"/>
  <c r="R27" i="15" s="1"/>
  <c r="P25" i="15"/>
  <c r="R25" i="15" s="1"/>
  <c r="P30" i="15"/>
  <c r="R30" i="15" s="1"/>
  <c r="P39" i="15"/>
  <c r="P35" i="15"/>
  <c r="P31" i="15"/>
  <c r="R31" i="15" s="1"/>
  <c r="P36" i="15"/>
  <c r="P26" i="15"/>
  <c r="P29" i="15"/>
  <c r="R29" i="15" s="1"/>
  <c r="P34" i="15"/>
  <c r="P44" i="15"/>
  <c r="P42" i="15"/>
  <c r="P37" i="15"/>
  <c r="P38" i="15"/>
  <c r="P40" i="15"/>
  <c r="P41" i="15"/>
  <c r="P46" i="15"/>
  <c r="P32" i="15"/>
  <c r="R32" i="15" s="1"/>
  <c r="P33" i="15"/>
  <c r="R33" i="15" s="1"/>
  <c r="P28" i="15"/>
  <c r="R28" i="15" s="1"/>
  <c r="L25" i="16"/>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R33" i="16" s="1"/>
  <c r="N30" i="16"/>
  <c r="P30" i="16" s="1"/>
  <c r="R30" i="16" s="1"/>
  <c r="N26" i="16"/>
  <c r="P26" i="16" s="1"/>
  <c r="R26" i="16" s="1"/>
  <c r="F27" i="18" s="1"/>
  <c r="N31" i="16"/>
  <c r="P31" i="16" s="1"/>
  <c r="R31" i="16" s="1"/>
  <c r="N28" i="16"/>
  <c r="P28" i="16" s="1"/>
  <c r="R28" i="16" s="1"/>
  <c r="N29" i="16"/>
  <c r="P29" i="16" s="1"/>
  <c r="R29" i="16" s="1"/>
  <c r="N41" i="16"/>
  <c r="P41" i="16" s="1"/>
  <c r="N46" i="16"/>
  <c r="P46" i="16" s="1"/>
  <c r="N32" i="16"/>
  <c r="P32" i="16" s="1"/>
  <c r="R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R31" i="17" s="1"/>
  <c r="N30" i="17"/>
  <c r="P30" i="17" s="1"/>
  <c r="R30" i="17" s="1"/>
  <c r="N38" i="17"/>
  <c r="P38" i="17" s="1"/>
  <c r="N46" i="17"/>
  <c r="P46" i="17" s="1"/>
  <c r="N40" i="17"/>
  <c r="P40" i="17" s="1"/>
  <c r="N44" i="17"/>
  <c r="P44" i="17" s="1"/>
  <c r="N29" i="17"/>
  <c r="P29" i="17" s="1"/>
  <c r="R29" i="17" s="1"/>
  <c r="N34" i="17"/>
  <c r="P34" i="17" s="1"/>
  <c r="N45" i="17"/>
  <c r="P45" i="17" s="1"/>
  <c r="N32" i="17"/>
  <c r="P32" i="17" s="1"/>
  <c r="R32" i="17" s="1"/>
  <c r="N27" i="17"/>
  <c r="P27" i="17" s="1"/>
  <c r="R27" i="17" s="1"/>
  <c r="N33" i="17"/>
  <c r="P33" i="17" s="1"/>
  <c r="R33" i="17" s="1"/>
  <c r="P26" i="17" l="1"/>
  <c r="R26" i="17" s="1"/>
  <c r="H27" i="18" s="1"/>
  <c r="H36" i="18"/>
  <c r="H33" i="18" l="1"/>
  <c r="H37" i="18"/>
  <c r="H32" i="18"/>
  <c r="H39" i="18"/>
  <c r="H35" i="18"/>
  <c r="H47" i="18"/>
  <c r="H43" i="18"/>
  <c r="H31" i="18"/>
  <c r="H44" i="18"/>
  <c r="H42" i="18"/>
  <c r="H41" i="18"/>
  <c r="H38" i="18"/>
  <c r="H40" i="18"/>
  <c r="H29" i="18"/>
  <c r="H46" i="18"/>
  <c r="H34" i="18"/>
  <c r="H45" i="18"/>
  <c r="H28" i="18"/>
  <c r="H30" i="18"/>
</calcChain>
</file>

<file path=xl/sharedStrings.xml><?xml version="1.0" encoding="utf-8"?>
<sst xmlns="http://schemas.openxmlformats.org/spreadsheetml/2006/main" count="815" uniqueCount="272">
  <si>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</si>
  <si>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</si>
  <si>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</si>
  <si>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</si>
  <si>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</si>
  <si>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</si>
  <si>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</si>
  <si>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</si>
  <si>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</si>
  <si>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</si>
  <si>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</si>
  <si>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</si>
  <si>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</si>
  <si>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</si>
  <si>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</si>
  <si>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</si>
  <si>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</si>
  <si>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</si>
  <si>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</si>
  <si>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</si>
  <si>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</si>
  <si>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</si>
  <si>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</si>
  <si>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</si>
  <si>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</si>
  <si>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</si>
  <si>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</si>
  <si>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</si>
  <si>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</si>
  <si>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</si>
  <si>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</si>
  <si>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</si>
  <si>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</si>
  <si>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</si>
  <si>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</si>
  <si>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</si>
  <si>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</si>
  <si>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</si>
  <si>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</si>
  <si>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</si>
  <si>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</si>
  <si>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</si>
  <si>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</si>
  <si>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</si>
  <si>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</si>
  <si>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</si>
  <si>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</si>
  <si>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</si>
  <si>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</si>
  <si>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</si>
  <si>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</si>
  <si>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</si>
  <si>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</si>
  <si>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</si>
  <si>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</si>
  <si>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</si>
  <si>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</si>
  <si>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</si>
  <si>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</si>
  <si>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</si>
  <si>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</si>
  <si>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</si>
  <si>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</si>
  <si>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</si>
  <si>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</si>
  <si>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</si>
  <si>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</si>
  <si>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</si>
  <si>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</si>
  <si>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</si>
  <si>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</si>
  <si>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</si>
  <si>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</si>
  <si>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</si>
  <si>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</si>
  <si>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</si>
  <si>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</si>
  <si>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</si>
  <si>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</si>
  <si>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</si>
  <si>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</si>
  <si>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</si>
  <si>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</si>
  <si>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</si>
  <si>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</si>
  <si>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</si>
  <si>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</si>
  <si>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</si>
  <si>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</si>
  <si>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</si>
  <si>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</si>
  <si>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</si>
  <si>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</si>
  <si>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</si>
  <si>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</si>
  <si>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</si>
  <si>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</si>
  <si>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</si>
  <si>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</si>
  <si>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</si>
  <si>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</si>
  <si>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</si>
  <si>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</si>
  <si>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</si>
  <si>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</si>
  <si>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</si>
  <si>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</si>
  <si>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</si>
  <si>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</si>
  <si>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</si>
  <si>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</si>
  <si>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</si>
  <si>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</si>
  <si>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</si>
  <si>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</si>
  <si>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</si>
  <si>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</si>
  <si>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</si>
  <si>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</si>
  <si>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</si>
  <si>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</si>
  <si>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</si>
  <si>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</si>
  <si>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</si>
  <si>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</si>
  <si>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</si>
  <si>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</si>
  <si>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</si>
  <si>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</si>
  <si>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</si>
  <si>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</si>
  <si>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</si>
  <si>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</si>
  <si>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</si>
  <si>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</si>
  <si>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</si>
  <si>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</si>
  <si>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</si>
  <si>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</si>
  <si>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</si>
  <si>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</si>
  <si>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</si>
  <si>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</si>
  <si>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</si>
  <si>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</si>
  <si>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</si>
  <si>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</si>
  <si>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</si>
  <si>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</si>
  <si>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</si>
  <si>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</si>
  <si>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</si>
  <si>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</si>
  <si>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</si>
  <si>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</si>
  <si>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</si>
  <si>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</si>
  <si>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</si>
  <si>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</si>
  <si>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</si>
  <si>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</si>
  <si>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</si>
  <si>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</si>
  <si>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</si>
  <si>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</si>
  <si>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</si>
  <si>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</si>
  <si>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</si>
  <si>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</si>
  <si>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</si>
  <si>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</si>
  <si>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</si>
  <si>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</si>
  <si>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</si>
  <si>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</si>
  <si>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</si>
  <si>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</si>
  <si>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</si>
  <si>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</si>
  <si>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</si>
  <si>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</si>
  <si>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</si>
  <si>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</si>
  <si>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</si>
  <si>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</si>
  <si>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</si>
  <si>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</si>
  <si>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</si>
  <si>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</si>
  <si>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</si>
  <si>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</si>
  <si>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</si>
  <si>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</si>
  <si>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</si>
  <si>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</si>
  <si>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</si>
  <si>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</si>
  <si>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</si>
  <si>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</si>
  <si>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</si>
  <si>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</si>
  <si>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</si>
  <si>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</si>
  <si>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</si>
  <si>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</si>
  <si>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</si>
  <si>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</si>
  <si>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</si>
  <si>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</si>
  <si>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</si>
  <si>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</si>
  <si>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</si>
  <si>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</si>
  <si>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</si>
  <si>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</si>
  <si>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</si>
  <si>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</si>
  <si>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</si>
  <si>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</si>
  <si>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</si>
  <si>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</si>
  <si>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</si>
  <si>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</si>
  <si>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</si>
  <si>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</si>
  <si>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</si>
  <si>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</si>
  <si>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</si>
  <si>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</si>
  <si>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</si>
  <si>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</si>
  <si>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</si>
  <si>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</si>
  <si>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</si>
  <si>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</si>
  <si>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</si>
  <si>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</si>
  <si>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</si>
  <si>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</si>
  <si>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</si>
  <si>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</si>
  <si>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</si>
  <si>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</si>
  <si>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</si>
  <si>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</si>
  <si>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</si>
  <si>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</si>
  <si>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</si>
  <si>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</si>
  <si>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</si>
  <si>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</si>
  <si>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</si>
  <si>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</si>
  <si>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</si>
  <si>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</si>
  <si>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</si>
  <si>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</si>
  <si>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</si>
  <si>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</si>
  <si>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</si>
  <si>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</si>
  <si>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</si>
  <si>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</si>
  <si>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</si>
  <si>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</si>
  <si>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</si>
  <si>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Debbie Reece, CFO</t>
  </si>
  <si>
    <t>519-271-4703 x268</t>
  </si>
  <si>
    <t>dreece@festivalhydro.com</t>
  </si>
  <si>
    <t>kWh</t>
  </si>
  <si>
    <t>EB-2013-0167</t>
  </si>
  <si>
    <t>Greater Bruce/Huron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</si>
</sst>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09">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44" fontId="1" fillId="26" borderId="11" xfId="29" applyNumberFormat="1" applyFont="1" applyFill="1" applyBorder="1" applyAlignment="1" applyProtection="1">
      <alignment horizontal="center"/>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28" fillId="24" borderId="0" xfId="0" applyFont="1" applyFill="1" applyBorder="1" applyAlignment="1" applyProtection="1">
      <alignment horizontal="center" wrapText="1"/>
    </xf>
    <xf numFmtId="0" fontId="45" fillId="28" borderId="0" xfId="0" applyFont="1" applyFill="1" applyAlignment="1" applyProtection="1">
      <alignment horizontal="center" vertical="center"/>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9940" cy="186421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10215879" cy="1849295"/>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723765" cy="1869160"/>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221" cy="1869160"/>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8573" cy="1873904"/>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1637" cy="1862980"/>
          <a:chOff x="9524" y="19051"/>
          <a:chExt cx="8537711" cy="1924049"/>
        </a:xfrm>
      </xdr:grpSpPr>
      <xdr:pic>
        <xdr:nvPicPr>
          <xdr:cNvPr id="61" name="Picture 6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497659" y="397329"/>
          <a:ext cx="1330452" cy="423018"/>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14235" cy="1862980"/>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workbookViewId="0">
      <selection activeCell="D18" sqref="D18"/>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3"/>
      <c r="D2" s="193"/>
      <c r="E2" s="193"/>
      <c r="F2" s="193"/>
      <c r="G2" s="193"/>
      <c r="H2" s="193"/>
      <c r="I2" s="193"/>
      <c r="J2" s="193"/>
      <c r="AB2" s="102" t="s">
        <v>168</v>
      </c>
      <c r="AC2" s="2"/>
      <c r="AD2" s="2"/>
      <c r="AE2" s="2"/>
      <c r="AF2" s="101"/>
      <c r="AG2" s="101"/>
      <c r="AH2" s="101"/>
    </row>
    <row r="3" spans="3:34" ht="18" x14ac:dyDescent="0.25">
      <c r="C3" s="193"/>
      <c r="D3" s="193"/>
      <c r="E3" s="193"/>
      <c r="F3" s="193"/>
      <c r="G3" s="193"/>
      <c r="H3" s="193"/>
      <c r="I3" s="193"/>
      <c r="J3" s="193"/>
      <c r="AB3" s="102" t="s">
        <v>181</v>
      </c>
    </row>
    <row r="4" spans="3:34" ht="18" x14ac:dyDescent="0.25">
      <c r="C4" s="193"/>
      <c r="D4" s="193"/>
      <c r="E4" s="193"/>
      <c r="F4" s="193"/>
      <c r="G4" s="193"/>
      <c r="H4" s="193"/>
      <c r="I4" s="193"/>
      <c r="J4" s="193"/>
      <c r="AB4" s="102" t="s">
        <v>182</v>
      </c>
    </row>
    <row r="5" spans="3:34" ht="18" x14ac:dyDescent="0.25">
      <c r="C5" s="193"/>
      <c r="D5" s="193"/>
      <c r="E5" s="193"/>
      <c r="F5" s="193"/>
      <c r="G5" s="193"/>
      <c r="H5" s="193"/>
      <c r="I5" s="193"/>
      <c r="J5" s="193"/>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4" t="s">
        <v>8</v>
      </c>
      <c r="E15" s="195"/>
      <c r="F15" s="100"/>
      <c r="G15" s="100"/>
      <c r="H15" s="100"/>
      <c r="AB15" s="102" t="s">
        <v>5</v>
      </c>
    </row>
    <row r="16" spans="3:34" ht="16.5" thickBot="1" x14ac:dyDescent="0.3">
      <c r="AB16" s="102" t="s">
        <v>189</v>
      </c>
    </row>
    <row r="17" spans="1:33" ht="15.75" thickTop="1" x14ac:dyDescent="0.2">
      <c r="C17" s="106" t="s">
        <v>262</v>
      </c>
      <c r="D17" s="190" t="s">
        <v>271</v>
      </c>
      <c r="E17" s="191"/>
      <c r="AB17" s="102" t="s">
        <v>6</v>
      </c>
    </row>
    <row r="18" spans="1:33" ht="16.5" thickBot="1" x14ac:dyDescent="0.3">
      <c r="AB18" s="102" t="s">
        <v>191</v>
      </c>
    </row>
    <row r="19" spans="1:33" ht="16.5" thickTop="1" x14ac:dyDescent="0.25">
      <c r="C19" s="106" t="s">
        <v>190</v>
      </c>
      <c r="D19" s="161" t="s">
        <v>270</v>
      </c>
      <c r="AB19" s="102" t="s">
        <v>170</v>
      </c>
    </row>
    <row r="20" spans="1:33" ht="16.5" thickBot="1" x14ac:dyDescent="0.3">
      <c r="AB20" s="102" t="s">
        <v>7</v>
      </c>
    </row>
    <row r="21" spans="1:33" ht="16.5" thickTop="1" x14ac:dyDescent="0.2">
      <c r="C21" s="106" t="s">
        <v>192</v>
      </c>
      <c r="D21" s="190" t="s">
        <v>266</v>
      </c>
      <c r="E21" s="192"/>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267</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90" t="s">
        <v>268</v>
      </c>
      <c r="E25" s="191"/>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9">
        <v>41509</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2010</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4803149606299213" right="0.74803149606299213" top="0.98425196850393704" bottom="0.98425196850393704" header="0.51181102362204722" footer="0.51181102362204722"/>
  <pageSetup scale="5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4" activePane="bottomLeft" state="frozenSplit"/>
      <selection pane="bottomLeft" activeCell="J66" sqref="J6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4.8999999999999998E-3</v>
      </c>
      <c r="G25" s="57"/>
      <c r="H25" s="64">
        <f>VLOOKUP('9. Adj Network to Current WS'!$B25, '4. RRR Data'!$B$27:$M$49,11,0)</f>
        <v>139272079.01530001</v>
      </c>
      <c r="I25" s="71"/>
      <c r="J25" s="64">
        <f>VLOOKUP('9. Adj Network to Current WS'!$B25, '4. RRR Data'!$B$27:$M$49,12,0)</f>
        <v>0</v>
      </c>
      <c r="K25" s="58"/>
      <c r="L25" s="60">
        <f t="shared" ref="L25:L46" si="0">IF(F25="", "", IF(D25="kWh", F25*H25, F25*J25))</f>
        <v>682433.18717497005</v>
      </c>
      <c r="M25" s="55"/>
      <c r="N25" s="61">
        <f t="shared" ref="N25:N46" si="1">IF(ISERROR(L25/$L$49), "", L25/$L$49)</f>
        <v>0.23298115657457064</v>
      </c>
      <c r="O25" s="13"/>
      <c r="P25" s="62">
        <f>IF(ISERROR('7. Current Wholesale'!$P$117*N25), "", '7. Current Wholesale'!$P$117*N25)</f>
        <v>670813.51179968019</v>
      </c>
      <c r="R25" s="165">
        <f t="shared" ref="R25:R46" si="2">IF(D25="","",IF(D25="kWh",IF(H25&lt;&gt;0,P25/H25,),IF(J25&lt;&gt;0,P25/J25,0)))</f>
        <v>4.8165685221514256E-3</v>
      </c>
    </row>
    <row r="26" spans="2:18" ht="25.5" customHeight="1" thickBot="1" x14ac:dyDescent="0.25">
      <c r="B26" s="15" t="str">
        <f>IF('3. Rate Classes'!Q25=1,'3. Rate Classes'!C25, 0)</f>
        <v>Residential - Hensall</v>
      </c>
      <c r="C26" s="8"/>
      <c r="D26" s="16" t="str">
        <f>IF(ISERROR(VLOOKUP($B26, '3. Rate Classes'!$C$24:$H$45,6,0)), "", VLOOKUP($B26, '3. Rate Classes'!$C$24:$H$45,6,0))</f>
        <v>kWh</v>
      </c>
      <c r="F26" s="69">
        <f>IF(ISERROR(VLOOKUP($B26,'3. Rate Classes'!$C$24:$N$45, 11,0)), "", VLOOKUP($B26,'3. Rate Classes'!$C$24:$N$45, 11,0))</f>
        <v>4.8999999999999998E-3</v>
      </c>
      <c r="G26" s="57"/>
      <c r="H26" s="64">
        <f>VLOOKUP('9. Adj Network to Current WS'!$B26, '4. RRR Data'!$B$27:$M$49,11,0)</f>
        <v>3823841.3421999998</v>
      </c>
      <c r="I26" s="71"/>
      <c r="J26" s="64">
        <f>VLOOKUP('9. Adj Network to Current WS'!$B26, '4. RRR Data'!$B$27:$M$49,12,0)</f>
        <v>0</v>
      </c>
      <c r="K26" s="59"/>
      <c r="L26" s="60">
        <f t="shared" si="0"/>
        <v>18736.82257678</v>
      </c>
      <c r="M26" s="55"/>
      <c r="N26" s="61">
        <f t="shared" si="1"/>
        <v>6.3967091233379583E-3</v>
      </c>
      <c r="P26" s="62">
        <f>IF(ISERROR('7. Current Wholesale'!$P$117*N26), "", '7. Current Wholesale'!$P$117*N26)</f>
        <v>18417.793842541781</v>
      </c>
      <c r="R26" s="165">
        <f t="shared" si="2"/>
        <v>4.8165685221514265E-3</v>
      </c>
    </row>
    <row r="27" spans="2:18" ht="25.5" customHeight="1" thickBot="1" x14ac:dyDescent="0.25">
      <c r="B27" s="15" t="str">
        <f>IF('3. Rate Classes'!Q26=1,'3. Rate Classes'!C26, 0)</f>
        <v>General Service Less Than 50 kW</v>
      </c>
      <c r="C27" s="8"/>
      <c r="D27" s="16" t="str">
        <f>IF(ISERROR(VLOOKUP($B27, '3. Rate Classes'!$C$24:$H$45,6,0)), "", VLOOKUP($B27, '3. Rate Classes'!$C$24:$H$45,6,0))</f>
        <v>kWh</v>
      </c>
      <c r="F27" s="69">
        <f>IF(ISERROR(VLOOKUP($B27,'3. Rate Classes'!$C$24:$N$45, 11,0)), "", VLOOKUP($B27,'3. Rate Classes'!$C$24:$N$45, 11,0))</f>
        <v>4.4999999999999997E-3</v>
      </c>
      <c r="G27" s="57"/>
      <c r="H27" s="64">
        <f>VLOOKUP('9. Adj Network to Current WS'!$B27, '4. RRR Data'!$B$27:$M$49,11,0)</f>
        <v>64166885.0559</v>
      </c>
      <c r="I27" s="71"/>
      <c r="J27" s="64">
        <f>VLOOKUP('9. Adj Network to Current WS'!$B27, '4. RRR Data'!$B$27:$M$49,12,0)</f>
        <v>0</v>
      </c>
      <c r="K27" s="59"/>
      <c r="L27" s="60">
        <f t="shared" si="0"/>
        <v>288750.98275154998</v>
      </c>
      <c r="M27" s="55"/>
      <c r="N27" s="61">
        <f t="shared" si="1"/>
        <v>9.8578936645781337E-2</v>
      </c>
      <c r="P27" s="62">
        <f>IF(ISERROR('7. Current Wholesale'!$P$117*N27), "", '7. Current Wholesale'!$P$117*N27)</f>
        <v>283834.46821661323</v>
      </c>
      <c r="R27" s="165">
        <f t="shared" si="2"/>
        <v>4.4233792550370226E-3</v>
      </c>
    </row>
    <row r="28" spans="2:18" ht="25.5" customHeight="1" thickBot="1" x14ac:dyDescent="0.25">
      <c r="B28" s="15" t="str">
        <f>IF('3. Rate Classes'!Q27=1,'3. Rate Classes'!C27, 0)</f>
        <v>General Service 50 to 4,999 kW</v>
      </c>
      <c r="C28" s="8"/>
      <c r="D28" s="16" t="str">
        <f>IF(ISERROR(VLOOKUP($B28, '3. Rate Classes'!$C$24:$H$45,6,0)), "", VLOOKUP($B28, '3. Rate Classes'!$C$24:$H$45,6,0))</f>
        <v>kW</v>
      </c>
      <c r="F28" s="69">
        <f>IF(ISERROR(VLOOKUP($B28,'3. Rate Classes'!$C$24:$N$45, 11,0)), "", VLOOKUP($B28,'3. Rate Classes'!$C$24:$N$45, 11,0))</f>
        <v>1.7793000000000001</v>
      </c>
      <c r="G28" s="57"/>
      <c r="H28" s="64">
        <f>VLOOKUP('9. Adj Network to Current WS'!$B28, '4. RRR Data'!$B$27:$M$49,11,0)</f>
        <v>45990808</v>
      </c>
      <c r="I28" s="71"/>
      <c r="J28" s="64">
        <f>VLOOKUP('9. Adj Network to Current WS'!$B28, '4. RRR Data'!$B$27:$M$49,12,0)</f>
        <v>136482</v>
      </c>
      <c r="K28" s="59"/>
      <c r="L28" s="60">
        <f t="shared" si="0"/>
        <v>242842.42260000002</v>
      </c>
      <c r="M28" s="55"/>
      <c r="N28" s="61">
        <f t="shared" si="1"/>
        <v>8.2905857373276631E-2</v>
      </c>
      <c r="P28" s="62">
        <f>IF(ISERROR('7. Current Wholesale'!$P$117*N28), "", '7. Current Wholesale'!$P$117*N28)</f>
        <v>238707.58541594984</v>
      </c>
      <c r="R28" s="165">
        <f t="shared" si="2"/>
        <v>1.7490041574416395</v>
      </c>
    </row>
    <row r="29" spans="2:18" ht="25.5" customHeight="1" thickBot="1" x14ac:dyDescent="0.25">
      <c r="B29" s="15" t="str">
        <f>IF('3. Rate Classes'!Q28=1,'3. Rate Classes'!C28, 0)</f>
        <v>General Service 50 to 999 kW - Interval Metered</v>
      </c>
      <c r="C29" s="8"/>
      <c r="D29" s="16" t="str">
        <f>IF(ISERROR(VLOOKUP($B29, '3. Rate Classes'!$C$24:$H$45,6,0)), "", VLOOKUP($B29, '3. Rate Classes'!$C$24:$H$45,6,0))</f>
        <v>kW</v>
      </c>
      <c r="F29" s="69">
        <f>IF(ISERROR(VLOOKUP($B29,'3. Rate Classes'!$C$24:$N$45, 11,0)), "", VLOOKUP($B29,'3. Rate Classes'!$C$24:$N$45, 11,0))</f>
        <v>1.9505999999999999</v>
      </c>
      <c r="G29" s="57"/>
      <c r="H29" s="64">
        <f>VLOOKUP('9. Adj Network to Current WS'!$B29, '4. RRR Data'!$B$27:$M$49,11,0)</f>
        <v>325271056</v>
      </c>
      <c r="I29" s="71"/>
      <c r="J29" s="64">
        <f>VLOOKUP('9. Adj Network to Current WS'!$B29, '4. RRR Data'!$B$27:$M$49,12,0)</f>
        <v>823296</v>
      </c>
      <c r="K29" s="59"/>
      <c r="L29" s="60">
        <f t="shared" si="0"/>
        <v>1605921.1775999998</v>
      </c>
      <c r="M29" s="55"/>
      <c r="N29" s="61">
        <f t="shared" si="1"/>
        <v>0.54825788129338981</v>
      </c>
      <c r="P29" s="62">
        <f>IF(ISERROR('7. Current Wholesale'!$P$117*N29), "", '7. Current Wholesale'!$P$117*N29)</f>
        <v>1578577.4271601038</v>
      </c>
      <c r="R29" s="165">
        <f t="shared" si="2"/>
        <v>1.9173874610833817</v>
      </c>
    </row>
    <row r="30" spans="2:18" ht="25.5" customHeight="1" thickBot="1" x14ac:dyDescent="0.25">
      <c r="B30" s="15" t="str">
        <f>IF('3. Rate Classes'!Q29=1,'3. Rate Classes'!C29, 0)</f>
        <v>Large Use</v>
      </c>
      <c r="C30" s="8"/>
      <c r="D30" s="16" t="str">
        <f>IF(ISERROR(VLOOKUP($B30, '3. Rate Classes'!$C$24:$H$45,6,0)), "", VLOOKUP($B30, '3. Rate Classes'!$C$24:$H$45,6,0))</f>
        <v>kW</v>
      </c>
      <c r="F30" s="69">
        <f>IF(ISERROR(VLOOKUP($B30,'3. Rate Classes'!$C$24:$N$45, 11,0)), "", VLOOKUP($B30,'3. Rate Classes'!$C$24:$N$45, 11,0))</f>
        <v>2.2307000000000001</v>
      </c>
      <c r="G30" s="57"/>
      <c r="H30" s="64">
        <f>VLOOKUP('9. Adj Network to Current WS'!$B30, '4. RRR Data'!$B$27:$M$49,11,0)</f>
        <v>17987095</v>
      </c>
      <c r="I30" s="71"/>
      <c r="J30" s="64">
        <f>VLOOKUP('9. Adj Network to Current WS'!$B30, '4. RRR Data'!$B$27:$M$49,12,0)</f>
        <v>31765</v>
      </c>
      <c r="K30" s="59"/>
      <c r="L30" s="60">
        <f t="shared" si="0"/>
        <v>70858.185500000007</v>
      </c>
      <c r="M30" s="55"/>
      <c r="N30" s="61">
        <f t="shared" si="1"/>
        <v>2.4190825301016322E-2</v>
      </c>
      <c r="P30" s="62">
        <f>IF(ISERROR('7. Current Wholesale'!$P$117*N30), "", '7. Current Wholesale'!$P$117*N30)</f>
        <v>69651.695064503394</v>
      </c>
      <c r="R30" s="165">
        <f t="shared" si="2"/>
        <v>2.1927182453802421</v>
      </c>
    </row>
    <row r="31" spans="2:18" ht="25.5" customHeight="1" thickBot="1" x14ac:dyDescent="0.25">
      <c r="B31" s="15" t="str">
        <f>IF('3. Rate Classes'!Q30=1,'3. Rate Classes'!C30, 0)</f>
        <v>Unmetered Scattered Load</v>
      </c>
      <c r="C31" s="8"/>
      <c r="D31" s="16" t="str">
        <f>IF(ISERROR(VLOOKUP($B31, '3. Rate Classes'!$C$24:$H$45,6,0)), "", VLOOKUP($B31, '3. Rate Classes'!$C$24:$H$45,6,0))</f>
        <v>kWh</v>
      </c>
      <c r="F31" s="69">
        <f>IF(ISERROR(VLOOKUP($B31,'3. Rate Classes'!$C$24:$N$45, 11,0)), "", VLOOKUP($B31,'3. Rate Classes'!$C$24:$N$45, 11,0))</f>
        <v>4.4999999999999997E-3</v>
      </c>
      <c r="G31" s="57"/>
      <c r="H31" s="64">
        <f>VLOOKUP('9. Adj Network to Current WS'!$B31, '4. RRR Data'!$B$27:$M$49,11,0)</f>
        <v>687868.56599999999</v>
      </c>
      <c r="I31" s="71"/>
      <c r="J31" s="64">
        <f>VLOOKUP('9. Adj Network to Current WS'!$B31, '4. RRR Data'!$B$27:$M$49,12,0)</f>
        <v>0</v>
      </c>
      <c r="K31" s="59"/>
      <c r="L31" s="60">
        <f t="shared" si="0"/>
        <v>3095.4085469999995</v>
      </c>
      <c r="M31" s="55"/>
      <c r="N31" s="61">
        <f t="shared" si="1"/>
        <v>1.0567655221110587E-3</v>
      </c>
      <c r="P31" s="62">
        <f>IF(ISERROR('7. Current Wholesale'!$P$117*N31), "", '7. Current Wholesale'!$P$117*N31)</f>
        <v>3042.7035450364651</v>
      </c>
      <c r="R31" s="165">
        <f t="shared" si="2"/>
        <v>4.4233792550370226E-3</v>
      </c>
    </row>
    <row r="32" spans="2:18" ht="25.5" customHeight="1" thickBot="1" x14ac:dyDescent="0.25">
      <c r="B32" s="15" t="str">
        <f>IF('3. Rate Classes'!Q31=1,'3. Rate Classes'!C31, 0)</f>
        <v>Sentinel Lighting</v>
      </c>
      <c r="C32" s="8"/>
      <c r="D32" s="16" t="str">
        <f>IF(ISERROR(VLOOKUP($B32, '3. Rate Classes'!$C$24:$H$45,6,0)), "", VLOOKUP($B32, '3. Rate Classes'!$C$24:$H$45,6,0))</f>
        <v>kW</v>
      </c>
      <c r="F32" s="69">
        <f>IF(ISERROR(VLOOKUP($B32,'3. Rate Classes'!$C$24:$N$45, 11,0)), "", VLOOKUP($B32,'3. Rate Classes'!$C$24:$N$45, 11,0))</f>
        <v>1.4044000000000001</v>
      </c>
      <c r="G32" s="57"/>
      <c r="H32" s="64">
        <f>VLOOKUP('9. Adj Network to Current WS'!$B32, '4. RRR Data'!$B$27:$M$49,11,0)</f>
        <v>192847</v>
      </c>
      <c r="I32" s="71"/>
      <c r="J32" s="64">
        <f>VLOOKUP('9. Adj Network to Current WS'!$B32, '4. RRR Data'!$B$27:$M$49,12,0)</f>
        <v>536</v>
      </c>
      <c r="K32" s="59"/>
      <c r="L32" s="60">
        <f t="shared" si="0"/>
        <v>752.75840000000005</v>
      </c>
      <c r="M32" s="55"/>
      <c r="N32" s="61">
        <f t="shared" si="1"/>
        <v>2.5699002620201958E-4</v>
      </c>
      <c r="P32" s="62">
        <f>IF(ISERROR('7. Current Wholesale'!$P$117*N32), "", '7. Current Wholesale'!$P$117*N32)</f>
        <v>739.9413090255249</v>
      </c>
      <c r="R32" s="165">
        <f t="shared" si="2"/>
        <v>1.3804875168386659</v>
      </c>
    </row>
    <row r="33" spans="2:18" ht="25.5" customHeight="1" thickBot="1" x14ac:dyDescent="0.25">
      <c r="B33" s="15" t="str">
        <f>IF('3. Rate Classes'!Q32=1,'3. Rate Classes'!C32, 0)</f>
        <v>Street Lighting</v>
      </c>
      <c r="C33" s="8"/>
      <c r="D33" s="16" t="str">
        <f>IF(ISERROR(VLOOKUP($B33, '3. Rate Classes'!$C$24:$H$45,6,0)), "", VLOOKUP($B33, '3. Rate Classes'!$C$24:$H$45,6,0))</f>
        <v>kW</v>
      </c>
      <c r="F33" s="69">
        <f>IF(ISERROR(VLOOKUP($B33,'3. Rate Classes'!$C$24:$N$45, 11,0)), "", VLOOKUP($B33,'3. Rate Classes'!$C$24:$N$45, 11,0))</f>
        <v>1.3755999999999999</v>
      </c>
      <c r="G33" s="57"/>
      <c r="H33" s="64">
        <f>VLOOKUP('9. Adj Network to Current WS'!$B33, '4. RRR Data'!$B$27:$M$49,11,0)</f>
        <v>4359071</v>
      </c>
      <c r="I33" s="71"/>
      <c r="J33" s="64">
        <f>VLOOKUP('9. Adj Network to Current WS'!$B33, '4. RRR Data'!$B$27:$M$49,12,0)</f>
        <v>11445</v>
      </c>
      <c r="K33" s="59"/>
      <c r="L33" s="60">
        <f t="shared" si="0"/>
        <v>15743.741999999998</v>
      </c>
      <c r="M33" s="55"/>
      <c r="N33" s="61">
        <f t="shared" si="1"/>
        <v>5.3748781403141245E-3</v>
      </c>
      <c r="P33" s="62">
        <f>IF(ISERROR('7. Current Wholesale'!$P$117*N33), "", '7. Current Wholesale'!$P$117*N33)</f>
        <v>15475.675946545578</v>
      </c>
      <c r="R33" s="165">
        <f t="shared" si="2"/>
        <v>1.3521778896064289</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2929134.6871503</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zoomScaleNormal="100" workbookViewId="0">
      <pane ySplit="23" topLeftCell="A24" activePane="bottomLeft" state="frozenSplit"/>
      <selection pane="bottomLeft" activeCell="H53" sqref="H53"/>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1" customWidth="1"/>
    <col min="7" max="7" width="2.5703125" customWidth="1"/>
    <col min="8" max="8" width="23.140625" style="176"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2"/>
      <c r="G21" s="12"/>
      <c r="H21" s="177"/>
      <c r="I21" s="5"/>
      <c r="J21" s="5"/>
      <c r="K21" s="11"/>
    </row>
    <row r="22" spans="2:18" ht="47.25" x14ac:dyDescent="0.2">
      <c r="B22" s="130" t="s">
        <v>208</v>
      </c>
      <c r="C22" s="138"/>
      <c r="D22" s="138" t="s">
        <v>209</v>
      </c>
      <c r="E22" s="135"/>
      <c r="F22" s="183" t="s">
        <v>219</v>
      </c>
      <c r="G22" s="131"/>
      <c r="H22" s="178"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4">
        <f>VLOOKUP($B25, '9. Adj Network to Current WS'!$B$25:$R$47, 17,0)</f>
        <v>6.8491016288376215E-3</v>
      </c>
      <c r="G25" s="65"/>
      <c r="H25" s="179">
        <f>VLOOKUP('9. Adj Network to Current WS'!$B25, '4. RRR Data'!$B$27:$M$49,11,0)</f>
        <v>139272079.01530001</v>
      </c>
      <c r="I25" s="71"/>
      <c r="J25" s="64">
        <f>VLOOKUP('9. Adj Network to Current WS'!$B25, '4. RRR Data'!$B$27:$M$49,12,0)</f>
        <v>0</v>
      </c>
      <c r="K25" s="58"/>
      <c r="L25" s="164">
        <f>IF(F25="", "", IF(D25="kWh", F25*H25, F25*J25))</f>
        <v>953888.6232352932</v>
      </c>
      <c r="M25" s="55"/>
      <c r="N25" s="61">
        <f t="shared" ref="N25:N46" si="0">IF(ISERROR(L25/$L$49), "", L25/$L$49)</f>
        <v>0.23840722989109256</v>
      </c>
      <c r="O25" s="13"/>
      <c r="P25" s="62">
        <f>IF(ISERROR('8. Forecast Wholesale'!$F$113*N25), "", '8. Forecast Wholesale'!$F$113*N25)</f>
        <v>1000501.0869557644</v>
      </c>
      <c r="R25" s="165">
        <f t="shared" ref="R25:R46" si="1">IF(D25="","",IF(D25="kWh",IF(H25&lt;&gt;0,P25/H25,),IF(J25&lt;&gt;0,P25/J25,0)))</f>
        <v>7.1837879783919392E-3</v>
      </c>
    </row>
    <row r="26" spans="2:18" ht="25.5" customHeight="1" thickBot="1" x14ac:dyDescent="0.25">
      <c r="B26" s="15" t="str">
        <f>IF('3. Rate Classes'!Q25=1,'3. Rate Classes'!C25, 0)</f>
        <v>Residential - Hensall</v>
      </c>
      <c r="C26" s="8"/>
      <c r="D26" s="16" t="str">
        <f>IF(ISERROR(VLOOKUP($B26, '3. Rate Classes'!$C$24:$H$45,6,0)), "", VLOOKUP($B26, '3. Rate Classes'!$C$24:$H$45,6,0))</f>
        <v>kWh</v>
      </c>
      <c r="F26" s="185">
        <f>VLOOKUP($B26, '9. Adj Network to Current WS'!$B$25:$R$47, 17,0)</f>
        <v>6.8491016288376215E-3</v>
      </c>
      <c r="G26" s="65"/>
      <c r="H26" s="179">
        <f>VLOOKUP('9. Adj Network to Current WS'!$B26, '4. RRR Data'!$B$27:$M$49,11,0)</f>
        <v>3823841.3421999998</v>
      </c>
      <c r="I26" s="71"/>
      <c r="J26" s="64">
        <f>VLOOKUP('9. Adj Network to Current WS'!$B26, '4. RRR Data'!$B$27:$M$49,12,0)</f>
        <v>0</v>
      </c>
      <c r="K26" s="59"/>
      <c r="L26" s="60">
        <f t="shared" ref="L26:L46" si="2">IF(F26="", "", IF(D26="kWh", F26*H26, F26*J26))</f>
        <v>26189.877965278654</v>
      </c>
      <c r="M26" s="55"/>
      <c r="N26" s="61">
        <f t="shared" si="0"/>
        <v>6.5456868913171765E-3</v>
      </c>
      <c r="P26" s="62">
        <f>IF(ISERROR('8. Forecast Wholesale'!$F$113*N26), "", '8. Forecast Wholesale'!$F$113*N26)</f>
        <v>27469.665465374455</v>
      </c>
      <c r="R26" s="165">
        <f t="shared" si="1"/>
        <v>7.1837879783919392E-3</v>
      </c>
    </row>
    <row r="27" spans="2:18" ht="25.5" customHeight="1" thickBot="1" x14ac:dyDescent="0.25">
      <c r="B27" s="15" t="str">
        <f>IF('3. Rate Classes'!Q26=1,'3. Rate Classes'!C26, 0)</f>
        <v>General Service Less Than 50 kW</v>
      </c>
      <c r="C27" s="8"/>
      <c r="D27" s="16" t="str">
        <f>IF(ISERROR(VLOOKUP($B27, '3. Rate Classes'!$C$24:$H$45,6,0)), "", VLOOKUP($B27, '3. Rate Classes'!$C$24:$H$45,6,0))</f>
        <v>kWh</v>
      </c>
      <c r="F27" s="185">
        <f>VLOOKUP($B27, '9. Adj Network to Current WS'!$B$25:$R$47, 17,0)</f>
        <v>5.9557405468153224E-3</v>
      </c>
      <c r="G27" s="65"/>
      <c r="H27" s="179">
        <f>VLOOKUP('9. Adj Network to Current WS'!$B27, '4. RRR Data'!$B$27:$M$49,11,0)</f>
        <v>64166885.0559</v>
      </c>
      <c r="I27" s="71"/>
      <c r="J27" s="64">
        <f>VLOOKUP('9. Adj Network to Current WS'!$B27, '4. RRR Data'!$B$27:$M$49,12,0)</f>
        <v>0</v>
      </c>
      <c r="K27" s="59"/>
      <c r="L27" s="60">
        <f t="shared" si="2"/>
        <v>382161.31909026182</v>
      </c>
      <c r="M27" s="55"/>
      <c r="N27" s="61">
        <f t="shared" si="0"/>
        <v>9.551431816727031E-2</v>
      </c>
      <c r="P27" s="62">
        <f>IF(ISERROR('8. Forecast Wholesale'!$F$113*N27), "", '8. Forecast Wholesale'!$F$113*N27)</f>
        <v>400835.91084820149</v>
      </c>
      <c r="R27" s="165">
        <f t="shared" si="1"/>
        <v>6.2467721551234239E-3</v>
      </c>
    </row>
    <row r="28" spans="2:18" ht="25.5" customHeight="1" thickBot="1" x14ac:dyDescent="0.25">
      <c r="B28" s="15" t="str">
        <f>IF('3. Rate Classes'!Q27=1,'3. Rate Classes'!C27, 0)</f>
        <v>General Service 50 to 4,999 kW</v>
      </c>
      <c r="C28" s="8"/>
      <c r="D28" s="16" t="str">
        <f>IF(ISERROR(VLOOKUP($B28, '3. Rate Classes'!$C$24:$H$45,6,0)), "", VLOOKUP($B28, '3. Rate Classes'!$C$24:$H$45,6,0))</f>
        <v>kW</v>
      </c>
      <c r="F28" s="185">
        <f>VLOOKUP($B28, '9. Adj Network to Current WS'!$B$25:$R$47, 17,0)</f>
        <v>2.4918818447875313</v>
      </c>
      <c r="G28" s="65"/>
      <c r="H28" s="179">
        <f>VLOOKUP('9. Adj Network to Current WS'!$B28, '4. RRR Data'!$B$27:$M$49,11,0)</f>
        <v>45990808</v>
      </c>
      <c r="I28" s="71"/>
      <c r="J28" s="64">
        <f>VLOOKUP('9. Adj Network to Current WS'!$B28, '4. RRR Data'!$B$27:$M$49,12,0)</f>
        <v>136482</v>
      </c>
      <c r="K28" s="59"/>
      <c r="L28" s="60">
        <f t="shared" si="2"/>
        <v>340097.01794029184</v>
      </c>
      <c r="M28" s="55"/>
      <c r="N28" s="61">
        <f t="shared" si="0"/>
        <v>8.5001105963883591E-2</v>
      </c>
      <c r="P28" s="62">
        <f>IF(ISERROR('8. Forecast Wholesale'!$F$113*N28), "", '8. Forecast Wholesale'!$F$113*N28)</f>
        <v>356716.10692409234</v>
      </c>
      <c r="R28" s="165">
        <f t="shared" si="1"/>
        <v>2.613649469703641</v>
      </c>
    </row>
    <row r="29" spans="2:18" ht="25.5" customHeight="1" thickBot="1" x14ac:dyDescent="0.25">
      <c r="B29" s="15" t="str">
        <f>IF('3. Rate Classes'!Q28=1,'3. Rate Classes'!C28, 0)</f>
        <v>General Service 50 to 999 kW - Interval Metered</v>
      </c>
      <c r="C29" s="8"/>
      <c r="D29" s="16" t="str">
        <f>IF(ISERROR(VLOOKUP($B29, '3. Rate Classes'!$C$24:$H$45,6,0)), "", VLOOKUP($B29, '3. Rate Classes'!$C$24:$H$45,6,0))</f>
        <v>kW</v>
      </c>
      <c r="F29" s="185">
        <f>VLOOKUP($B29, '9. Adj Network to Current WS'!$B$25:$R$47, 17,0)</f>
        <v>2.6467310990047288</v>
      </c>
      <c r="G29" s="65"/>
      <c r="H29" s="179">
        <f>VLOOKUP('9. Adj Network to Current WS'!$B29, '4. RRR Data'!$B$27:$M$49,11,0)</f>
        <v>325271056</v>
      </c>
      <c r="I29" s="71"/>
      <c r="J29" s="64">
        <f>VLOOKUP('9. Adj Network to Current WS'!$B29, '4. RRR Data'!$B$27:$M$49,12,0)</f>
        <v>823296</v>
      </c>
      <c r="K29" s="59"/>
      <c r="L29" s="60">
        <f t="shared" si="2"/>
        <v>2179043.1268861974</v>
      </c>
      <c r="M29" s="55"/>
      <c r="N29" s="61">
        <f t="shared" si="0"/>
        <v>0.54461246631937155</v>
      </c>
      <c r="P29" s="62">
        <f>IF(ISERROR('8. Forecast Wholesale'!$F$113*N29), "", '8. Forecast Wholesale'!$F$113*N29)</f>
        <v>2285523.6595429652</v>
      </c>
      <c r="R29" s="165">
        <f t="shared" si="1"/>
        <v>2.7760655457368495</v>
      </c>
    </row>
    <row r="30" spans="2:18" ht="25.5" customHeight="1" thickBot="1" x14ac:dyDescent="0.25">
      <c r="B30" s="15" t="str">
        <f>IF('3. Rate Classes'!Q29=1,'3. Rate Classes'!C29, 0)</f>
        <v>Large Use</v>
      </c>
      <c r="C30" s="8"/>
      <c r="D30" s="16" t="str">
        <f>IF(ISERROR(VLOOKUP($B30, '3. Rate Classes'!$C$24:$H$45,6,0)), "", VLOOKUP($B30, '3. Rate Classes'!$C$24:$H$45,6,0))</f>
        <v>kW</v>
      </c>
      <c r="F30" s="185">
        <f>VLOOKUP($B30, '9. Adj Network to Current WS'!$B$25:$R$47, 17,0)</f>
        <v>2.9306213984029266</v>
      </c>
      <c r="G30" s="65"/>
      <c r="H30" s="179">
        <f>VLOOKUP('9. Adj Network to Current WS'!$B30, '4. RRR Data'!$B$27:$M$49,11,0)</f>
        <v>17987095</v>
      </c>
      <c r="I30" s="71"/>
      <c r="J30" s="64">
        <f>VLOOKUP('9. Adj Network to Current WS'!$B30, '4. RRR Data'!$B$27:$M$49,12,0)</f>
        <v>31765</v>
      </c>
      <c r="K30" s="59"/>
      <c r="L30" s="60">
        <f t="shared" si="2"/>
        <v>93091.188720268969</v>
      </c>
      <c r="M30" s="55"/>
      <c r="N30" s="61">
        <f t="shared" si="0"/>
        <v>2.3266460978216118E-2</v>
      </c>
      <c r="P30" s="62">
        <f>IF(ISERROR('8. Forecast Wholesale'!$F$113*N30), "", '8. Forecast Wholesale'!$F$113*N30)</f>
        <v>97640.157594855002</v>
      </c>
      <c r="R30" s="165">
        <f t="shared" si="1"/>
        <v>3.0738283517977334</v>
      </c>
    </row>
    <row r="31" spans="2:18" ht="25.5" customHeight="1" thickBot="1" x14ac:dyDescent="0.25">
      <c r="B31" s="15" t="str">
        <f>IF('3. Rate Classes'!Q30=1,'3. Rate Classes'!C30, 0)</f>
        <v>Unmetered Scattered Load</v>
      </c>
      <c r="C31" s="8"/>
      <c r="D31" s="16" t="str">
        <f>IF(ISERROR(VLOOKUP($B31, '3. Rate Classes'!$C$24:$H$45,6,0)), "", VLOOKUP($B31, '3. Rate Classes'!$C$24:$H$45,6,0))</f>
        <v>kWh</v>
      </c>
      <c r="F31" s="185">
        <f>VLOOKUP($B31, '9. Adj Network to Current WS'!$B$25:$R$47, 17,0)</f>
        <v>5.9557405468153224E-3</v>
      </c>
      <c r="G31" s="65"/>
      <c r="H31" s="179">
        <f>VLOOKUP('9. Adj Network to Current WS'!$B31, '4. RRR Data'!$B$27:$M$49,11,0)</f>
        <v>687868.56599999999</v>
      </c>
      <c r="I31" s="71"/>
      <c r="J31" s="64">
        <f>VLOOKUP('9. Adj Network to Current WS'!$B31, '4. RRR Data'!$B$27:$M$49,12,0)</f>
        <v>0</v>
      </c>
      <c r="K31" s="59"/>
      <c r="L31" s="60">
        <f t="shared" si="2"/>
        <v>4096.7667094059116</v>
      </c>
      <c r="M31" s="55"/>
      <c r="N31" s="61">
        <f t="shared" si="0"/>
        <v>1.023912833121808E-3</v>
      </c>
      <c r="P31" s="62">
        <f>IF(ISERROR('8. Forecast Wholesale'!$F$113*N31), "", '8. Forecast Wholesale'!$F$113*N31)</f>
        <v>4296.9582044734789</v>
      </c>
      <c r="R31" s="165">
        <f t="shared" si="1"/>
        <v>6.2467721551234239E-3</v>
      </c>
    </row>
    <row r="32" spans="2:18" ht="25.5" customHeight="1" thickBot="1" x14ac:dyDescent="0.25">
      <c r="B32" s="15" t="str">
        <f>IF('3. Rate Classes'!Q31=1,'3. Rate Classes'!C31, 0)</f>
        <v>Sentinel Lighting</v>
      </c>
      <c r="C32" s="8"/>
      <c r="D32" s="16" t="str">
        <f>IF(ISERROR(VLOOKUP($B32, '3. Rate Classes'!$C$24:$H$45,6,0)), "", VLOOKUP($B32, '3. Rate Classes'!$C$24:$H$45,6,0))</f>
        <v>kW</v>
      </c>
      <c r="F32" s="185">
        <f>VLOOKUP($B32, '9. Adj Network to Current WS'!$B$25:$R$47, 17,0)</f>
        <v>1.8888631144224799</v>
      </c>
      <c r="G32" s="65"/>
      <c r="H32" s="179">
        <f>VLOOKUP('9. Adj Network to Current WS'!$B32, '4. RRR Data'!$B$27:$M$49,11,0)</f>
        <v>192847</v>
      </c>
      <c r="I32" s="71"/>
      <c r="J32" s="64">
        <f>VLOOKUP('9. Adj Network to Current WS'!$B32, '4. RRR Data'!$B$27:$M$49,12,0)</f>
        <v>536</v>
      </c>
      <c r="K32" s="59"/>
      <c r="L32" s="60">
        <f t="shared" si="2"/>
        <v>1012.4306293304493</v>
      </c>
      <c r="M32" s="55"/>
      <c r="N32" s="61">
        <f t="shared" si="0"/>
        <v>2.5303874678462294E-4</v>
      </c>
      <c r="P32" s="62">
        <f>IF(ISERROR('8. Forecast Wholesale'!$F$113*N32), "", '8. Forecast Wholesale'!$F$113*N32)</f>
        <v>1061.9037909026035</v>
      </c>
      <c r="R32" s="165">
        <f t="shared" si="1"/>
        <v>1.9811637889973948</v>
      </c>
    </row>
    <row r="33" spans="2:18" ht="25.5" customHeight="1" thickBot="1" x14ac:dyDescent="0.25">
      <c r="B33" s="15" t="str">
        <f>IF('3. Rate Classes'!Q32=1,'3. Rate Classes'!C32, 0)</f>
        <v>Street Lighting</v>
      </c>
      <c r="C33" s="8"/>
      <c r="D33" s="16" t="str">
        <f>IF(ISERROR(VLOOKUP($B33, '3. Rate Classes'!$C$24:$H$45,6,0)), "", VLOOKUP($B33, '3. Rate Classes'!$C$24:$H$45,6,0))</f>
        <v>kW</v>
      </c>
      <c r="F33" s="185">
        <f>VLOOKUP($B33, '9. Adj Network to Current WS'!$B$25:$R$47, 17,0)</f>
        <v>1.8793339295475755</v>
      </c>
      <c r="G33" s="65"/>
      <c r="H33" s="179">
        <f>VLOOKUP('9. Adj Network to Current WS'!$B33, '4. RRR Data'!$B$27:$M$49,11,0)</f>
        <v>4359071</v>
      </c>
      <c r="I33" s="71"/>
      <c r="J33" s="64">
        <f>VLOOKUP('9. Adj Network to Current WS'!$B33, '4. RRR Data'!$B$27:$M$49,12,0)</f>
        <v>11445</v>
      </c>
      <c r="K33" s="59"/>
      <c r="L33" s="60">
        <f t="shared" si="2"/>
        <v>21508.976823672001</v>
      </c>
      <c r="M33" s="55"/>
      <c r="N33" s="61">
        <f t="shared" si="0"/>
        <v>5.375780208942138E-3</v>
      </c>
      <c r="P33" s="62">
        <f>IF(ISERROR('8. Forecast Wholesale'!$F$113*N33), "", '8. Forecast Wholesale'!$F$113*N33)</f>
        <v>22560.028673370562</v>
      </c>
      <c r="R33" s="165">
        <f t="shared" si="1"/>
        <v>1.9711689535491972</v>
      </c>
    </row>
    <row r="34" spans="2:18" ht="25.5" hidden="1" customHeight="1" thickBot="1" x14ac:dyDescent="0.25">
      <c r="B34" s="15">
        <f>IF('3. Rate Classes'!Q33=1,'3. Rate Classes'!C33, 0)</f>
        <v>0</v>
      </c>
      <c r="C34" s="8"/>
      <c r="D34" s="16" t="str">
        <f>IF(ISERROR(VLOOKUP($B34, '3. Rate Classes'!$C$24:$H$45,6,0)), "", VLOOKUP($B34, '3. Rate Classes'!$C$24:$H$45,6,0))</f>
        <v/>
      </c>
      <c r="F34" s="185" t="str">
        <f>VLOOKUP($B34, '9. Adj Network to Current WS'!$B$25:$R$47, 17,0)</f>
        <v/>
      </c>
      <c r="G34" s="65"/>
      <c r="H34" s="179">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5"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5" t="str">
        <f>VLOOKUP($B35, '9. Adj Network to Current WS'!$B$25:$R$47, 17,0)</f>
        <v/>
      </c>
      <c r="G35" s="65"/>
      <c r="H35" s="179">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5" t="str">
        <f>VLOOKUP($B36, '9. Adj Network to Current WS'!$B$25:$R$47, 17,0)</f>
        <v/>
      </c>
      <c r="G36" s="65"/>
      <c r="H36" s="179">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5" t="str">
        <f>VLOOKUP($B37, '9. Adj Network to Current WS'!$B$25:$R$47, 17,0)</f>
        <v/>
      </c>
      <c r="G37" s="65"/>
      <c r="H37" s="179">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5" t="str">
        <f>VLOOKUP($B38, '9. Adj Network to Current WS'!$B$25:$R$47, 17,0)</f>
        <v/>
      </c>
      <c r="G38" s="65"/>
      <c r="H38" s="179">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5" t="str">
        <f>VLOOKUP($B39, '9. Adj Network to Current WS'!$B$25:$R$47, 17,0)</f>
        <v/>
      </c>
      <c r="G39" s="65"/>
      <c r="H39" s="179">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5" t="str">
        <f>VLOOKUP($B40, '9. Adj Network to Current WS'!$B$25:$R$47, 17,0)</f>
        <v/>
      </c>
      <c r="G40" s="65"/>
      <c r="H40" s="179">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5" t="str">
        <f>VLOOKUP($B41, '9. Adj Network to Current WS'!$B$25:$R$47, 17,0)</f>
        <v/>
      </c>
      <c r="G41" s="65"/>
      <c r="H41" s="179">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5" t="str">
        <f>VLOOKUP($B42, '9. Adj Network to Current WS'!$B$25:$R$47, 17,0)</f>
        <v/>
      </c>
      <c r="G42" s="65"/>
      <c r="H42" s="179">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5" t="str">
        <f>VLOOKUP($B43, '9. Adj Network to Current WS'!$B$25:$R$47, 17,0)</f>
        <v/>
      </c>
      <c r="G43" s="65"/>
      <c r="H43" s="179">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5" t="str">
        <f>VLOOKUP($B44, '9. Adj Network to Current WS'!$B$25:$R$47, 17,0)</f>
        <v/>
      </c>
      <c r="G44" s="65"/>
      <c r="H44" s="179">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5" t="str">
        <f>VLOOKUP($B45, '9. Adj Network to Current WS'!$B$25:$R$47, 17,0)</f>
        <v/>
      </c>
      <c r="G45" s="65"/>
      <c r="H45" s="179">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5" t="str">
        <f>VLOOKUP($B46, '9. Adj Network to Current WS'!$B$25:$R$47, 17,0)</f>
        <v/>
      </c>
      <c r="G46" s="65"/>
      <c r="H46" s="179">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5"/>
      <c r="G47" s="66"/>
      <c r="H47" s="180"/>
      <c r="I47" s="66"/>
      <c r="J47" s="66"/>
      <c r="R47" s="165"/>
    </row>
    <row r="48" spans="2:18" ht="13.5" thickBot="1" x14ac:dyDescent="0.25">
      <c r="F48" s="185"/>
      <c r="G48" s="66"/>
      <c r="H48" s="180"/>
      <c r="I48" s="66"/>
      <c r="J48" s="66"/>
      <c r="R48" s="165"/>
    </row>
    <row r="49" spans="6:18" ht="13.5" thickBot="1" x14ac:dyDescent="0.25">
      <c r="F49" s="185"/>
      <c r="G49" s="66"/>
      <c r="H49" s="180"/>
      <c r="I49" s="66"/>
      <c r="J49" s="66"/>
      <c r="L49" s="70">
        <f>SUM(L25:L46)</f>
        <v>4001089.3280000007</v>
      </c>
      <c r="R49" s="165"/>
    </row>
    <row r="50" spans="6:18" ht="13.5" thickBot="1" x14ac:dyDescent="0.25">
      <c r="F50" s="185"/>
      <c r="G50" s="66"/>
      <c r="H50" s="180"/>
      <c r="I50" s="66"/>
      <c r="J50" s="66"/>
      <c r="R50" s="165"/>
    </row>
    <row r="51" spans="6:18" ht="13.5" thickBot="1" x14ac:dyDescent="0.25">
      <c r="F51" s="185"/>
      <c r="G51" s="66"/>
      <c r="H51" s="180"/>
      <c r="I51" s="66"/>
      <c r="J51" s="66"/>
      <c r="R51" s="165"/>
    </row>
    <row r="52" spans="6:18" ht="13.5" thickBot="1" x14ac:dyDescent="0.25">
      <c r="F52" s="185"/>
      <c r="G52" s="66"/>
      <c r="H52" s="180"/>
      <c r="I52" s="66"/>
      <c r="J52" s="66"/>
    </row>
    <row r="53" spans="6:18" ht="13.5" thickBot="1" x14ac:dyDescent="0.25">
      <c r="F53" s="185"/>
      <c r="G53" s="66"/>
      <c r="H53" s="180"/>
      <c r="I53" s="66"/>
      <c r="J53" s="66"/>
    </row>
    <row r="54" spans="6:18" ht="13.5" thickBot="1" x14ac:dyDescent="0.25">
      <c r="F54" s="186"/>
    </row>
    <row r="55" spans="6:18" ht="13.5" thickBot="1" x14ac:dyDescent="0.25">
      <c r="F55" s="186"/>
    </row>
    <row r="56" spans="6:18" ht="13.5" thickBot="1" x14ac:dyDescent="0.25">
      <c r="F56" s="18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4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24"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4.8165685221514256E-3</v>
      </c>
      <c r="G25" s="57"/>
      <c r="H25" s="64">
        <f>VLOOKUP('9. Adj Network to Current WS'!$B25, '4. RRR Data'!$B$27:$M$49,11,0)</f>
        <v>139272079.01530001</v>
      </c>
      <c r="I25" s="71"/>
      <c r="J25" s="64">
        <f>VLOOKUP('9. Adj Network to Current WS'!$B25, '4. RRR Data'!$B$27:$M$49,12,0)</f>
        <v>0</v>
      </c>
      <c r="K25" s="58"/>
      <c r="L25" s="60">
        <f t="shared" ref="L25:L46" si="0">IF(F25="", "", IF(D25="kWh", F25*H25, F25*J25))</f>
        <v>670813.51179968007</v>
      </c>
      <c r="M25" s="55"/>
      <c r="N25" s="61">
        <f t="shared" ref="N25:N46" si="1">IF(ISERROR(L25/$L$49), "", L25/$L$49)</f>
        <v>0.23298115657457064</v>
      </c>
      <c r="O25" s="13"/>
      <c r="P25" s="62">
        <f>IF(ISERROR('8. Forecast Wholesale'!$P$117*N25), "", '8. Forecast Wholesale'!$P$117*N25)</f>
        <v>716545.21527726983</v>
      </c>
      <c r="R25" s="63">
        <f t="shared" ref="R25:R46" si="2">IF(D25="","",IF(D25="kWh",IF(H25&lt;&gt;0,P25/H25,),IF(J25&lt;&gt;0,P25/J25,0)))</f>
        <v>5.144930845748001E-3</v>
      </c>
    </row>
    <row r="26" spans="2:18" ht="25.5" customHeight="1" thickBot="1" x14ac:dyDescent="0.25">
      <c r="B26" s="15" t="str">
        <f>IF('3. Rate Classes'!Q25=1,'3. Rate Classes'!C25, 0)</f>
        <v>Residential - Hensall</v>
      </c>
      <c r="C26" s="8"/>
      <c r="D26" s="16" t="str">
        <f>IF(ISERROR(VLOOKUP($B26, '3. Rate Classes'!$C$24:$H$45,6,0)), "", VLOOKUP($B26, '3. Rate Classes'!$C$24:$H$45,6,0))</f>
        <v>kWh</v>
      </c>
      <c r="F26" s="69">
        <f>VLOOKUP($B26, '10. Adj Conn. to Current WS'!$B$25:$R$47, 17,0)</f>
        <v>4.8165685221514265E-3</v>
      </c>
      <c r="G26" s="57"/>
      <c r="H26" s="64">
        <f>VLOOKUP('9. Adj Network to Current WS'!$B26, '4. RRR Data'!$B$27:$M$49,11,0)</f>
        <v>3823841.3421999998</v>
      </c>
      <c r="I26" s="71"/>
      <c r="J26" s="64">
        <f>VLOOKUP('9. Adj Network to Current WS'!$B26, '4. RRR Data'!$B$27:$M$49,12,0)</f>
        <v>0</v>
      </c>
      <c r="K26" s="59"/>
      <c r="L26" s="60">
        <f t="shared" si="0"/>
        <v>18417.793842541781</v>
      </c>
      <c r="M26" s="55"/>
      <c r="N26" s="61">
        <f t="shared" si="1"/>
        <v>6.3967091233379601E-3</v>
      </c>
      <c r="P26" s="62">
        <f>IF(ISERROR('8. Forecast Wholesale'!$P$117*N26), "", '8. Forecast Wholesale'!$P$117*N26)</f>
        <v>19673.399270731225</v>
      </c>
      <c r="R26" s="63">
        <f t="shared" si="2"/>
        <v>5.1449308457480027E-3</v>
      </c>
    </row>
    <row r="27" spans="2:18" ht="25.5" customHeight="1" thickBot="1" x14ac:dyDescent="0.25">
      <c r="B27" s="15" t="str">
        <f>IF('3. Rate Classes'!Q26=1,'3. Rate Classes'!C26, 0)</f>
        <v>General Service Less Than 50 kW</v>
      </c>
      <c r="C27" s="8"/>
      <c r="D27" s="16" t="str">
        <f>IF(ISERROR(VLOOKUP($B27, '3. Rate Classes'!$C$24:$H$45,6,0)), "", VLOOKUP($B27, '3. Rate Classes'!$C$24:$H$45,6,0))</f>
        <v>kWh</v>
      </c>
      <c r="F27" s="69">
        <f>VLOOKUP($B27, '10. Adj Conn. to Current WS'!$B$25:$R$47, 17,0)</f>
        <v>4.4233792550370226E-3</v>
      </c>
      <c r="G27" s="57"/>
      <c r="H27" s="64">
        <f>VLOOKUP('9. Adj Network to Current WS'!$B27, '4. RRR Data'!$B$27:$M$49,11,0)</f>
        <v>64166885.0559</v>
      </c>
      <c r="I27" s="71"/>
      <c r="J27" s="64">
        <f>VLOOKUP('9. Adj Network to Current WS'!$B27, '4. RRR Data'!$B$27:$M$49,12,0)</f>
        <v>0</v>
      </c>
      <c r="K27" s="59"/>
      <c r="L27" s="60">
        <f t="shared" si="0"/>
        <v>283834.46821661323</v>
      </c>
      <c r="M27" s="55"/>
      <c r="N27" s="61">
        <f t="shared" si="1"/>
        <v>9.8578936645781337E-2</v>
      </c>
      <c r="P27" s="62">
        <f>IF(ISERROR('8. Forecast Wholesale'!$P$117*N27), "", '8. Forecast Wholesale'!$P$117*N27)</f>
        <v>303184.45671397925</v>
      </c>
      <c r="R27" s="63">
        <f t="shared" si="2"/>
        <v>4.7249364909930612E-3</v>
      </c>
    </row>
    <row r="28" spans="2:18" ht="25.5" customHeight="1" thickBot="1" x14ac:dyDescent="0.25">
      <c r="B28" s="15" t="str">
        <f>IF('3. Rate Classes'!Q27=1,'3. Rate Classes'!C27, 0)</f>
        <v>General Service 50 to 4,999 kW</v>
      </c>
      <c r="C28" s="8"/>
      <c r="D28" s="16" t="str">
        <f>IF(ISERROR(VLOOKUP($B28, '3. Rate Classes'!$C$24:$H$45,6,0)), "", VLOOKUP($B28, '3. Rate Classes'!$C$24:$H$45,6,0))</f>
        <v>kW</v>
      </c>
      <c r="F28" s="69">
        <f>VLOOKUP($B28, '10. Adj Conn. to Current WS'!$B$25:$R$47, 17,0)</f>
        <v>1.7490041574416395</v>
      </c>
      <c r="G28" s="57"/>
      <c r="H28" s="64">
        <f>VLOOKUP('9. Adj Network to Current WS'!$B28, '4. RRR Data'!$B$27:$M$49,11,0)</f>
        <v>45990808</v>
      </c>
      <c r="I28" s="71"/>
      <c r="J28" s="64">
        <f>VLOOKUP('9. Adj Network to Current WS'!$B28, '4. RRR Data'!$B$27:$M$49,12,0)</f>
        <v>136482</v>
      </c>
      <c r="K28" s="59"/>
      <c r="L28" s="60">
        <f t="shared" si="0"/>
        <v>238707.58541594984</v>
      </c>
      <c r="M28" s="55"/>
      <c r="N28" s="61">
        <f t="shared" si="1"/>
        <v>8.2905857373276645E-2</v>
      </c>
      <c r="P28" s="62">
        <f>IF(ISERROR('8. Forecast Wholesale'!$P$117*N28), "", '8. Forecast Wholesale'!$P$117*N28)</f>
        <v>254981.11646753305</v>
      </c>
      <c r="R28" s="63">
        <f t="shared" si="2"/>
        <v>1.8682398885386575</v>
      </c>
    </row>
    <row r="29" spans="2:18" ht="25.5" customHeight="1" thickBot="1" x14ac:dyDescent="0.25">
      <c r="B29" s="15" t="str">
        <f>IF('3. Rate Classes'!Q28=1,'3. Rate Classes'!C28, 0)</f>
        <v>General Service 50 to 999 kW - Interval Metered</v>
      </c>
      <c r="C29" s="8"/>
      <c r="D29" s="16" t="str">
        <f>IF(ISERROR(VLOOKUP($B29, '3. Rate Classes'!$C$24:$H$45,6,0)), "", VLOOKUP($B29, '3. Rate Classes'!$C$24:$H$45,6,0))</f>
        <v>kW</v>
      </c>
      <c r="F29" s="69">
        <f>VLOOKUP($B29, '10. Adj Conn. to Current WS'!$B$25:$R$47, 17,0)</f>
        <v>1.9173874610833817</v>
      </c>
      <c r="G29" s="57"/>
      <c r="H29" s="64">
        <f>VLOOKUP('9. Adj Network to Current WS'!$B29, '4. RRR Data'!$B$27:$M$49,11,0)</f>
        <v>325271056</v>
      </c>
      <c r="I29" s="71"/>
      <c r="J29" s="64">
        <f>VLOOKUP('9. Adj Network to Current WS'!$B29, '4. RRR Data'!$B$27:$M$49,12,0)</f>
        <v>823296</v>
      </c>
      <c r="K29" s="59"/>
      <c r="L29" s="60">
        <f t="shared" si="0"/>
        <v>1578577.4271601038</v>
      </c>
      <c r="M29" s="55"/>
      <c r="N29" s="61">
        <f t="shared" si="1"/>
        <v>0.54825788129338993</v>
      </c>
      <c r="P29" s="62">
        <f>IF(ISERROR('8. Forecast Wholesale'!$P$117*N29), "", '8. Forecast Wholesale'!$P$117*N29)</f>
        <v>1686194.5719335089</v>
      </c>
      <c r="R29" s="63">
        <f t="shared" si="2"/>
        <v>2.0481024709624593</v>
      </c>
    </row>
    <row r="30" spans="2:18" ht="25.5" customHeight="1" thickBot="1" x14ac:dyDescent="0.25">
      <c r="B30" s="15" t="str">
        <f>IF('3. Rate Classes'!Q29=1,'3. Rate Classes'!C29, 0)</f>
        <v>Large Use</v>
      </c>
      <c r="C30" s="8"/>
      <c r="D30" s="16" t="str">
        <f>IF(ISERROR(VLOOKUP($B30, '3. Rate Classes'!$C$24:$H$45,6,0)), "", VLOOKUP($B30, '3. Rate Classes'!$C$24:$H$45,6,0))</f>
        <v>kW</v>
      </c>
      <c r="F30" s="69">
        <f>VLOOKUP($B30, '10. Adj Conn. to Current WS'!$B$25:$R$47, 17,0)</f>
        <v>2.1927182453802421</v>
      </c>
      <c r="G30" s="57"/>
      <c r="H30" s="64">
        <f>VLOOKUP('9. Adj Network to Current WS'!$B30, '4. RRR Data'!$B$27:$M$49,11,0)</f>
        <v>17987095</v>
      </c>
      <c r="I30" s="71"/>
      <c r="J30" s="64">
        <f>VLOOKUP('9. Adj Network to Current WS'!$B30, '4. RRR Data'!$B$27:$M$49,12,0)</f>
        <v>31765</v>
      </c>
      <c r="K30" s="59"/>
      <c r="L30" s="60">
        <f t="shared" si="0"/>
        <v>69651.695064503394</v>
      </c>
      <c r="M30" s="55"/>
      <c r="N30" s="61">
        <f t="shared" si="1"/>
        <v>2.4190825301016326E-2</v>
      </c>
      <c r="P30" s="62">
        <f>IF(ISERROR('8. Forecast Wholesale'!$P$117*N30), "", '8. Forecast Wholesale'!$P$117*N30)</f>
        <v>74400.094745445676</v>
      </c>
      <c r="R30" s="63">
        <f t="shared" si="2"/>
        <v>2.3422035178796059</v>
      </c>
    </row>
    <row r="31" spans="2:18" ht="25.5" customHeight="1" thickBot="1" x14ac:dyDescent="0.25">
      <c r="B31" s="15" t="str">
        <f>IF('3. Rate Classes'!Q30=1,'3. Rate Classes'!C30, 0)</f>
        <v>Unmetered Scattered Load</v>
      </c>
      <c r="C31" s="8"/>
      <c r="D31" s="16" t="str">
        <f>IF(ISERROR(VLOOKUP($B31, '3. Rate Classes'!$C$24:$H$45,6,0)), "", VLOOKUP($B31, '3. Rate Classes'!$C$24:$H$45,6,0))</f>
        <v>kWh</v>
      </c>
      <c r="F31" s="69">
        <f>VLOOKUP($B31, '10. Adj Conn. to Current WS'!$B$25:$R$47, 17,0)</f>
        <v>4.4233792550370226E-3</v>
      </c>
      <c r="G31" s="57"/>
      <c r="H31" s="64">
        <f>VLOOKUP('9. Adj Network to Current WS'!$B31, '4. RRR Data'!$B$27:$M$49,11,0)</f>
        <v>687868.56599999999</v>
      </c>
      <c r="I31" s="71"/>
      <c r="J31" s="64">
        <f>VLOOKUP('9. Adj Network to Current WS'!$B31, '4. RRR Data'!$B$27:$M$49,12,0)</f>
        <v>0</v>
      </c>
      <c r="K31" s="59"/>
      <c r="L31" s="60">
        <f t="shared" si="0"/>
        <v>3042.7035450364651</v>
      </c>
      <c r="M31" s="55"/>
      <c r="N31" s="61">
        <f t="shared" si="1"/>
        <v>1.0567655221110587E-3</v>
      </c>
      <c r="P31" s="62">
        <f>IF(ISERROR('8. Forecast Wholesale'!$P$117*N31), "", '8. Forecast Wholesale'!$P$117*N31)</f>
        <v>3250.135288500469</v>
      </c>
      <c r="R31" s="63">
        <f t="shared" si="2"/>
        <v>4.7249364909930612E-3</v>
      </c>
    </row>
    <row r="32" spans="2:18" ht="25.5" customHeight="1" thickBot="1" x14ac:dyDescent="0.25">
      <c r="B32" s="15" t="str">
        <f>IF('3. Rate Classes'!Q31=1,'3. Rate Classes'!C31, 0)</f>
        <v>Sentinel Lighting</v>
      </c>
      <c r="C32" s="8"/>
      <c r="D32" s="16" t="str">
        <f>IF(ISERROR(VLOOKUP($B32, '3. Rate Classes'!$C$24:$H$45,6,0)), "", VLOOKUP($B32, '3. Rate Classes'!$C$24:$H$45,6,0))</f>
        <v>kW</v>
      </c>
      <c r="F32" s="69">
        <f>VLOOKUP($B32, '10. Adj Conn. to Current WS'!$B$25:$R$47, 17,0)</f>
        <v>1.3804875168386659</v>
      </c>
      <c r="G32" s="57"/>
      <c r="H32" s="64">
        <f>VLOOKUP('9. Adj Network to Current WS'!$B32, '4. RRR Data'!$B$27:$M$49,11,0)</f>
        <v>192847</v>
      </c>
      <c r="I32" s="71"/>
      <c r="J32" s="64">
        <f>VLOOKUP('9. Adj Network to Current WS'!$B32, '4. RRR Data'!$B$27:$M$49,12,0)</f>
        <v>536</v>
      </c>
      <c r="K32" s="59"/>
      <c r="L32" s="60">
        <f t="shared" si="0"/>
        <v>739.9413090255249</v>
      </c>
      <c r="M32" s="55"/>
      <c r="N32" s="61">
        <f t="shared" si="1"/>
        <v>2.5699002620201963E-4</v>
      </c>
      <c r="P32" s="62">
        <f>IF(ISERROR('8. Forecast Wholesale'!$P$117*N32), "", '8. Forecast Wholesale'!$P$117*N32)</f>
        <v>790.38569623590058</v>
      </c>
      <c r="R32" s="63">
        <f t="shared" si="2"/>
        <v>1.4746001795445907</v>
      </c>
    </row>
    <row r="33" spans="2:18" ht="25.5" customHeight="1" thickBot="1" x14ac:dyDescent="0.25">
      <c r="B33" s="15" t="str">
        <f>IF('3. Rate Classes'!Q32=1,'3. Rate Classes'!C32, 0)</f>
        <v>Street Lighting</v>
      </c>
      <c r="C33" s="8"/>
      <c r="D33" s="16" t="str">
        <f>IF(ISERROR(VLOOKUP($B33, '3. Rate Classes'!$C$24:$H$45,6,0)), "", VLOOKUP($B33, '3. Rate Classes'!$C$24:$H$45,6,0))</f>
        <v>kW</v>
      </c>
      <c r="F33" s="69">
        <f>VLOOKUP($B33, '10. Adj Conn. to Current WS'!$B$25:$R$47, 17,0)</f>
        <v>1.3521778896064289</v>
      </c>
      <c r="G33" s="57"/>
      <c r="H33" s="64">
        <f>VLOOKUP('9. Adj Network to Current WS'!$B33, '4. RRR Data'!$B$27:$M$49,11,0)</f>
        <v>4359071</v>
      </c>
      <c r="I33" s="71"/>
      <c r="J33" s="64">
        <f>VLOOKUP('9. Adj Network to Current WS'!$B33, '4. RRR Data'!$B$27:$M$49,12,0)</f>
        <v>11445</v>
      </c>
      <c r="K33" s="59"/>
      <c r="L33" s="60">
        <f t="shared" si="0"/>
        <v>15475.67594654558</v>
      </c>
      <c r="M33" s="55"/>
      <c r="N33" s="61">
        <f t="shared" si="1"/>
        <v>5.3748781403141254E-3</v>
      </c>
      <c r="P33" s="62">
        <f>IF(ISERROR('8. Forecast Wholesale'!$P$117*N33), "", '8. Forecast Wholesale'!$P$117*N33)</f>
        <v>16530.706906795578</v>
      </c>
      <c r="R33" s="63">
        <f t="shared" si="2"/>
        <v>1.4443605860022348</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2879260.8022999996</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opLeftCell="B1" workbookViewId="0">
      <pane ySplit="24" topLeftCell="A25" activePane="bottomLeft" state="frozenSplit"/>
      <selection pane="bottomLeft" activeCell="C23" sqref="C23"/>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9" t="s">
        <v>257</v>
      </c>
      <c r="C13" s="199"/>
      <c r="D13" s="199"/>
      <c r="E13" s="199"/>
      <c r="F13" s="199"/>
      <c r="G13" s="199"/>
      <c r="H13" s="199"/>
      <c r="I13" s="199"/>
      <c r="J13" s="199"/>
      <c r="K13" s="199"/>
      <c r="L13" s="199"/>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7.1837879783919392E-3</v>
      </c>
      <c r="G26" s="57"/>
      <c r="H26" s="69">
        <f>VLOOKUP($B26, '12. Adj Conn. to Forecast WS'!$B$25:$R$48,17,0)</f>
        <v>5.144930845748001E-3</v>
      </c>
      <c r="I26" s="68"/>
      <c r="J26" s="79"/>
      <c r="K26" s="80"/>
      <c r="L26" s="81"/>
      <c r="M26" s="82"/>
      <c r="N26" s="83"/>
      <c r="O26" s="84"/>
      <c r="P26" s="81"/>
      <c r="Q26" s="78"/>
      <c r="R26" s="75"/>
      <c r="S26" s="78"/>
      <c r="T26" s="78"/>
    </row>
    <row r="27" spans="2:24" ht="25.5" customHeight="1" thickBot="1" x14ac:dyDescent="0.25">
      <c r="B27" s="15" t="str">
        <f>IF('3. Rate Classes'!Q25=1,'3. Rate Classes'!C25, 0)</f>
        <v>Residential - Hensall</v>
      </c>
      <c r="C27" s="8"/>
      <c r="D27" s="16" t="str">
        <f>IF(ISERROR(VLOOKUP($B27, '3. Rate Classes'!$C$24:$H$45,6,0)), "", VLOOKUP($B27, '3. Rate Classes'!$C$24:$H$45,6,0))</f>
        <v>kWh</v>
      </c>
      <c r="F27" s="69">
        <f>VLOOKUP($B27, '11. Adj Network to Forecast WS'!$B$25:$R$48,17,0)</f>
        <v>7.1837879783919392E-3</v>
      </c>
      <c r="G27" s="57"/>
      <c r="H27" s="69">
        <f>VLOOKUP($B27, '12. Adj Conn. to Forecast WS'!$B$25:$R$48,17,0)</f>
        <v>5.1449308457480027E-3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Less Than 50 kW</v>
      </c>
      <c r="C28" s="8"/>
      <c r="D28" s="16" t="str">
        <f>IF(ISERROR(VLOOKUP($B28, '3. Rate Classes'!$C$24:$H$45,6,0)), "", VLOOKUP($B28, '3. Rate Classes'!$C$24:$H$45,6,0))</f>
        <v>kWh</v>
      </c>
      <c r="F28" s="69">
        <f>VLOOKUP($B28, '11. Adj Network to Forecast WS'!$B$25:$R$48,17,0)</f>
        <v>6.2467721551234239E-3</v>
      </c>
      <c r="G28" s="57"/>
      <c r="H28" s="69">
        <f>VLOOKUP($B28, '12. Adj Conn. to Forecast WS'!$B$25:$R$48,17,0)</f>
        <v>4.7249364909930612E-3</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General Service 50 to 4,999 kW</v>
      </c>
      <c r="C29" s="8"/>
      <c r="D29" s="16" t="str">
        <f>IF(ISERROR(VLOOKUP($B29, '3. Rate Classes'!$C$24:$H$45,6,0)), "", VLOOKUP($B29, '3. Rate Classes'!$C$24:$H$45,6,0))</f>
        <v>kW</v>
      </c>
      <c r="F29" s="69">
        <f>VLOOKUP($B29, '11. Adj Network to Forecast WS'!$B$25:$R$48,17,0)</f>
        <v>2.613649469703641</v>
      </c>
      <c r="G29" s="57"/>
      <c r="H29" s="69">
        <f>VLOOKUP($B29, '12. Adj Conn. to Forecast WS'!$B$25:$R$48,17,0)</f>
        <v>1.8682398885386575</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General Service 50 to 999 kW - Interval Metered</v>
      </c>
      <c r="C30" s="8"/>
      <c r="D30" s="16" t="str">
        <f>IF(ISERROR(VLOOKUP($B30, '3. Rate Classes'!$C$24:$H$45,6,0)), "", VLOOKUP($B30, '3. Rate Classes'!$C$24:$H$45,6,0))</f>
        <v>kW</v>
      </c>
      <c r="F30" s="69">
        <f>VLOOKUP($B30, '11. Adj Network to Forecast WS'!$B$25:$R$48,17,0)</f>
        <v>2.7760655457368495</v>
      </c>
      <c r="G30" s="57"/>
      <c r="H30" s="69">
        <f>VLOOKUP($B30, '12. Adj Conn. to Forecast WS'!$B$25:$R$48,17,0)</f>
        <v>2.0481024709624593</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Large Use</v>
      </c>
      <c r="C31" s="8"/>
      <c r="D31" s="16" t="str">
        <f>IF(ISERROR(VLOOKUP($B31, '3. Rate Classes'!$C$24:$H$45,6,0)), "", VLOOKUP($B31, '3. Rate Classes'!$C$24:$H$45,6,0))</f>
        <v>kW</v>
      </c>
      <c r="F31" s="69">
        <f>VLOOKUP($B31, '11. Adj Network to Forecast WS'!$B$25:$R$48,17,0)</f>
        <v>3.0738283517977334</v>
      </c>
      <c r="G31" s="57"/>
      <c r="H31" s="69">
        <f>VLOOKUP($B31, '12. Adj Conn. to Forecast WS'!$B$25:$R$48,17,0)</f>
        <v>2.3422035178796059</v>
      </c>
      <c r="I31" s="68"/>
      <c r="J31" s="79"/>
      <c r="K31" s="80"/>
      <c r="L31" s="81"/>
      <c r="M31" s="82"/>
      <c r="N31" s="83"/>
      <c r="O31" s="78"/>
      <c r="P31" s="81"/>
      <c r="Q31" s="78"/>
      <c r="R31" s="75"/>
      <c r="S31" s="78"/>
      <c r="T31" s="78"/>
      <c r="U31" s="85"/>
      <c r="V31" s="85"/>
      <c r="W31" s="85"/>
      <c r="X31" s="85"/>
    </row>
    <row r="32" spans="2:24" ht="25.5" customHeight="1" thickBot="1" x14ac:dyDescent="0.25">
      <c r="B32" s="15" t="str">
        <f>IF('3. Rate Classes'!Q30=1,'3. Rate Classes'!C30, 0)</f>
        <v>Unmetered Scattered Load</v>
      </c>
      <c r="C32" s="8"/>
      <c r="D32" s="16" t="str">
        <f>IF(ISERROR(VLOOKUP($B32, '3. Rate Classes'!$C$24:$H$45,6,0)), "", VLOOKUP($B32, '3. Rate Classes'!$C$24:$H$45,6,0))</f>
        <v>kWh</v>
      </c>
      <c r="F32" s="69">
        <f>VLOOKUP($B32, '11. Adj Network to Forecast WS'!$B$25:$R$48,17,0)</f>
        <v>6.2467721551234239E-3</v>
      </c>
      <c r="G32" s="57"/>
      <c r="H32" s="69">
        <f>VLOOKUP($B32, '12. Adj Conn. to Forecast WS'!$B$25:$R$48,17,0)</f>
        <v>4.7249364909930612E-3</v>
      </c>
      <c r="I32" s="68"/>
      <c r="J32" s="79"/>
      <c r="K32" s="80"/>
      <c r="L32" s="81"/>
      <c r="M32" s="82"/>
      <c r="N32" s="83"/>
      <c r="O32" s="78"/>
      <c r="P32" s="81"/>
      <c r="Q32" s="78"/>
      <c r="R32" s="75"/>
      <c r="S32" s="78"/>
      <c r="T32" s="78"/>
      <c r="U32" s="85"/>
      <c r="V32" s="85"/>
      <c r="W32" s="85"/>
      <c r="X32" s="85"/>
    </row>
    <row r="33" spans="2:24" ht="25.5" customHeight="1" thickBot="1" x14ac:dyDescent="0.25">
      <c r="B33" s="15" t="str">
        <f>IF('3. Rate Classes'!Q31=1,'3. Rate Classes'!C31, 0)</f>
        <v>Sentinel Lighting</v>
      </c>
      <c r="C33" s="8"/>
      <c r="D33" s="16" t="str">
        <f>IF(ISERROR(VLOOKUP($B33, '3. Rate Classes'!$C$24:$H$45,6,0)), "", VLOOKUP($B33, '3. Rate Classes'!$C$24:$H$45,6,0))</f>
        <v>kW</v>
      </c>
      <c r="F33" s="69">
        <f>VLOOKUP($B33, '11. Adj Network to Forecast WS'!$B$25:$R$48,17,0)</f>
        <v>1.9811637889973948</v>
      </c>
      <c r="G33" s="57"/>
      <c r="H33" s="69">
        <f>VLOOKUP($B33, '12. Adj Conn. to Forecast WS'!$B$25:$R$48,17,0)</f>
        <v>1.4746001795445907</v>
      </c>
      <c r="I33" s="68"/>
      <c r="J33" s="79"/>
      <c r="K33" s="80"/>
      <c r="L33" s="81"/>
      <c r="M33" s="82"/>
      <c r="N33" s="83"/>
      <c r="O33" s="78"/>
      <c r="P33" s="81"/>
      <c r="Q33" s="78"/>
      <c r="R33" s="75"/>
      <c r="S33" s="78"/>
      <c r="T33" s="78"/>
      <c r="U33" s="85"/>
      <c r="V33" s="85"/>
      <c r="W33" s="85"/>
      <c r="X33" s="85"/>
    </row>
    <row r="34" spans="2:24" ht="25.5" customHeight="1" thickBot="1" x14ac:dyDescent="0.25">
      <c r="B34" s="15" t="str">
        <f>IF('3. Rate Classes'!Q32=1,'3. Rate Classes'!C32, 0)</f>
        <v>Street Lighting</v>
      </c>
      <c r="C34" s="8"/>
      <c r="D34" s="16" t="str">
        <f>IF(ISERROR(VLOOKUP($B34, '3. Rate Classes'!$C$24:$H$45,6,0)), "", VLOOKUP($B34, '3. Rate Classes'!$C$24:$H$45,6,0))</f>
        <v>kW</v>
      </c>
      <c r="F34" s="69">
        <f>VLOOKUP($B34, '11. Adj Network to Forecast WS'!$B$25:$R$48,17,0)</f>
        <v>1.9711689535491972</v>
      </c>
      <c r="G34" s="57"/>
      <c r="H34" s="69">
        <f>VLOOKUP($B34, '12. Adj Conn. to Forecast WS'!$B$25:$R$48,17,0)</f>
        <v>1.4443605860022348</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6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Residential - Hensall</v>
      </c>
      <c r="B2" s="4">
        <v>2</v>
      </c>
    </row>
    <row r="3" spans="1:4" x14ac:dyDescent="0.2">
      <c r="A3" s="4" t="str">
        <f>IF('3. Rate Classes'!Q26=1, '3. Rate Classes'!C26, "")</f>
        <v>General Service Less Than 50 kW</v>
      </c>
      <c r="B3" s="4">
        <v>3</v>
      </c>
    </row>
    <row r="4" spans="1:4" x14ac:dyDescent="0.2">
      <c r="A4" s="4" t="str">
        <f>IF('3. Rate Classes'!Q27=1, '3. Rate Classes'!C27, "")</f>
        <v>General Service 50 to 4,999 kW</v>
      </c>
      <c r="B4" s="4">
        <v>4</v>
      </c>
    </row>
    <row r="5" spans="1:4" x14ac:dyDescent="0.2">
      <c r="A5" s="4" t="str">
        <f>IF('3. Rate Classes'!Q28=1, '3. Rate Classes'!C28, "")</f>
        <v>General Service 50 to 999 kW - Interval Metered</v>
      </c>
      <c r="B5" s="4">
        <v>5</v>
      </c>
    </row>
    <row r="6" spans="1:4" x14ac:dyDescent="0.2">
      <c r="A6" s="4" t="str">
        <f>IF('3. Rate Classes'!Q29=1, '3. Rate Classes'!C29, "")</f>
        <v>Large Use</v>
      </c>
      <c r="B6" s="4">
        <v>6</v>
      </c>
    </row>
    <row r="7" spans="1:4" x14ac:dyDescent="0.2">
      <c r="A7" s="4" t="str">
        <f>IF('3. Rate Classes'!Q30=1, '3. Rate Classes'!C30, "")</f>
        <v>Unmetered Scattered Load</v>
      </c>
      <c r="B7" s="4">
        <v>7</v>
      </c>
    </row>
    <row r="8" spans="1:4" x14ac:dyDescent="0.2">
      <c r="A8" s="4" t="str">
        <f>IF('3. Rate Classes'!Q31=1, '3. Rate Classes'!C31, "")</f>
        <v>Sentinel Lighting</v>
      </c>
      <c r="B8" s="4">
        <v>8</v>
      </c>
    </row>
    <row r="9" spans="1:4" x14ac:dyDescent="0.2">
      <c r="A9" s="4" t="str">
        <f>IF('3. Rate Classes'!Q32=1, '3. Rate Classes'!C32, "")</f>
        <v>Street Lighting</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I32" sqref="I32"/>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4803149606299213" right="0.74803149606299213" top="0.98425196850393704" bottom="0.98425196850393704" header="0.51181102362204722" footer="0.51181102362204722"/>
  <pageSetup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O1" sqref="B1:O47"/>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9" t="s">
        <v>242</v>
      </c>
      <c r="D13" s="199"/>
      <c r="E13" s="199"/>
      <c r="F13" s="199"/>
      <c r="G13" s="199"/>
      <c r="H13" s="199"/>
      <c r="I13" s="199"/>
      <c r="J13" s="199"/>
      <c r="K13" s="199"/>
      <c r="L13" s="199"/>
      <c r="M13" s="199"/>
      <c r="N13" s="199"/>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198" t="s">
        <v>29</v>
      </c>
      <c r="D24" s="198"/>
      <c r="E24" s="198"/>
      <c r="F24" s="198"/>
      <c r="G24" s="10"/>
      <c r="H24" s="3" t="s">
        <v>269</v>
      </c>
      <c r="I24" s="14"/>
      <c r="J24" s="197">
        <v>6.8999999999999999E-3</v>
      </c>
      <c r="K24" s="197"/>
      <c r="L24" s="7"/>
      <c r="M24" s="197">
        <v>4.8999999999999998E-3</v>
      </c>
      <c r="N24" s="197"/>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8" t="s">
        <v>45</v>
      </c>
      <c r="D25" s="198"/>
      <c r="E25" s="198"/>
      <c r="F25" s="198"/>
      <c r="G25" s="10"/>
      <c r="H25" s="151" t="s">
        <v>269</v>
      </c>
      <c r="I25" s="6"/>
      <c r="J25" s="196">
        <v>6.8999999999999999E-3</v>
      </c>
      <c r="K25" s="196"/>
      <c r="L25" s="8"/>
      <c r="M25" s="196">
        <v>4.8999999999999998E-3</v>
      </c>
      <c r="N25" s="196"/>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8" t="s">
        <v>31</v>
      </c>
      <c r="D26" s="198"/>
      <c r="E26" s="198"/>
      <c r="F26" s="198"/>
      <c r="G26" s="10"/>
      <c r="H26" s="151" t="s">
        <v>269</v>
      </c>
      <c r="I26" s="6"/>
      <c r="J26" s="196">
        <v>6.0000000000000001E-3</v>
      </c>
      <c r="K26" s="196"/>
      <c r="L26" s="8"/>
      <c r="M26" s="196">
        <v>4.4999999999999997E-3</v>
      </c>
      <c r="N26" s="196"/>
      <c r="Q26">
        <f t="shared" si="0"/>
        <v>1</v>
      </c>
      <c r="R26" t="str">
        <f t="shared" si="1"/>
        <v>C26</v>
      </c>
      <c r="S26" t="str">
        <f t="shared" si="2"/>
        <v/>
      </c>
      <c r="AB26" t="s">
        <v>33</v>
      </c>
    </row>
    <row r="27" spans="3:28" x14ac:dyDescent="0.2">
      <c r="C27" s="198" t="s">
        <v>70</v>
      </c>
      <c r="D27" s="198"/>
      <c r="E27" s="198"/>
      <c r="F27" s="198"/>
      <c r="G27" s="10"/>
      <c r="H27" s="151" t="s">
        <v>113</v>
      </c>
      <c r="I27" s="6"/>
      <c r="J27" s="196">
        <v>2.5104000000000002</v>
      </c>
      <c r="K27" s="196"/>
      <c r="L27" s="8"/>
      <c r="M27" s="196">
        <v>1.7793000000000001</v>
      </c>
      <c r="N27" s="196"/>
      <c r="Q27">
        <f t="shared" si="0"/>
        <v>1</v>
      </c>
      <c r="R27" t="str">
        <f t="shared" si="1"/>
        <v>C27</v>
      </c>
      <c r="S27" t="str">
        <f t="shared" si="2"/>
        <v/>
      </c>
      <c r="AB27" t="s">
        <v>35</v>
      </c>
    </row>
    <row r="28" spans="3:28" x14ac:dyDescent="0.2">
      <c r="C28" s="198" t="s">
        <v>62</v>
      </c>
      <c r="D28" s="198"/>
      <c r="E28" s="198"/>
      <c r="F28" s="198"/>
      <c r="G28" s="10"/>
      <c r="H28" s="151" t="s">
        <v>113</v>
      </c>
      <c r="I28" s="6"/>
      <c r="J28" s="196">
        <v>2.6663999999999999</v>
      </c>
      <c r="K28" s="196"/>
      <c r="L28" s="8"/>
      <c r="M28" s="196">
        <v>1.9505999999999999</v>
      </c>
      <c r="N28" s="196"/>
      <c r="Q28">
        <f t="shared" si="0"/>
        <v>1</v>
      </c>
      <c r="R28" t="str">
        <f t="shared" si="1"/>
        <v>C28</v>
      </c>
      <c r="S28" t="str">
        <f t="shared" si="2"/>
        <v/>
      </c>
      <c r="AB28" t="s">
        <v>37</v>
      </c>
    </row>
    <row r="29" spans="3:28" x14ac:dyDescent="0.2">
      <c r="C29" s="198" t="s">
        <v>36</v>
      </c>
      <c r="D29" s="198"/>
      <c r="E29" s="198"/>
      <c r="F29" s="198"/>
      <c r="G29" s="10"/>
      <c r="H29" s="151" t="s">
        <v>113</v>
      </c>
      <c r="I29" s="6"/>
      <c r="J29" s="196">
        <v>2.9523999999999999</v>
      </c>
      <c r="K29" s="196"/>
      <c r="L29" s="8"/>
      <c r="M29" s="196">
        <v>2.2307000000000001</v>
      </c>
      <c r="N29" s="196"/>
      <c r="Q29">
        <f t="shared" si="0"/>
        <v>1</v>
      </c>
      <c r="R29" t="str">
        <f t="shared" si="1"/>
        <v>C29</v>
      </c>
      <c r="S29" t="str">
        <f t="shared" si="2"/>
        <v/>
      </c>
      <c r="AB29" t="s">
        <v>39</v>
      </c>
    </row>
    <row r="30" spans="3:28" x14ac:dyDescent="0.2">
      <c r="C30" s="198" t="s">
        <v>38</v>
      </c>
      <c r="D30" s="198"/>
      <c r="E30" s="198"/>
      <c r="F30" s="198"/>
      <c r="G30" s="10"/>
      <c r="H30" s="151" t="s">
        <v>269</v>
      </c>
      <c r="I30" s="6"/>
      <c r="J30" s="196">
        <v>6.0000000000000001E-3</v>
      </c>
      <c r="K30" s="196"/>
      <c r="L30" s="8"/>
      <c r="M30" s="196">
        <v>4.4999999999999997E-3</v>
      </c>
      <c r="N30" s="196"/>
      <c r="Q30">
        <f t="shared" si="0"/>
        <v>1</v>
      </c>
      <c r="R30" t="str">
        <f t="shared" si="1"/>
        <v>C30</v>
      </c>
      <c r="S30" t="str">
        <f t="shared" si="2"/>
        <v/>
      </c>
      <c r="AB30" t="s">
        <v>41</v>
      </c>
    </row>
    <row r="31" spans="3:28" x14ac:dyDescent="0.2">
      <c r="C31" s="198" t="s">
        <v>40</v>
      </c>
      <c r="D31" s="198"/>
      <c r="E31" s="198"/>
      <c r="F31" s="198"/>
      <c r="G31" s="10"/>
      <c r="H31" s="151" t="s">
        <v>113</v>
      </c>
      <c r="I31" s="6"/>
      <c r="J31" s="196">
        <v>1.9029</v>
      </c>
      <c r="K31" s="196"/>
      <c r="L31" s="8"/>
      <c r="M31" s="196">
        <v>1.4044000000000001</v>
      </c>
      <c r="N31" s="196"/>
      <c r="Q31">
        <f t="shared" si="0"/>
        <v>1</v>
      </c>
      <c r="R31" t="str">
        <f t="shared" si="1"/>
        <v>C31</v>
      </c>
      <c r="S31" t="str">
        <f t="shared" si="2"/>
        <v/>
      </c>
      <c r="AB31" t="s">
        <v>43</v>
      </c>
    </row>
    <row r="32" spans="3:28" x14ac:dyDescent="0.2">
      <c r="C32" s="198" t="s">
        <v>42</v>
      </c>
      <c r="D32" s="198"/>
      <c r="E32" s="198"/>
      <c r="F32" s="198"/>
      <c r="G32" s="10"/>
      <c r="H32" s="151" t="s">
        <v>113</v>
      </c>
      <c r="I32" s="6"/>
      <c r="J32" s="196">
        <v>1.8933</v>
      </c>
      <c r="K32" s="196"/>
      <c r="L32" s="8"/>
      <c r="M32" s="196">
        <v>1.3755999999999999</v>
      </c>
      <c r="N32" s="196"/>
      <c r="Q32">
        <f t="shared" si="0"/>
        <v>1</v>
      </c>
      <c r="R32" t="str">
        <f t="shared" si="1"/>
        <v>C32</v>
      </c>
      <c r="S32" t="str">
        <f t="shared" si="2"/>
        <v/>
      </c>
      <c r="AB32" t="s">
        <v>44</v>
      </c>
    </row>
    <row r="33" spans="3:28" x14ac:dyDescent="0.2">
      <c r="C33" s="198" t="s">
        <v>30</v>
      </c>
      <c r="D33" s="198"/>
      <c r="E33" s="198"/>
      <c r="F33" s="198"/>
      <c r="G33" s="10"/>
      <c r="H33" s="152"/>
      <c r="I33" s="6"/>
      <c r="J33" s="196"/>
      <c r="K33" s="196"/>
      <c r="L33" s="8"/>
      <c r="M33" s="196"/>
      <c r="N33" s="196"/>
      <c r="Q33">
        <f t="shared" si="0"/>
        <v>0</v>
      </c>
      <c r="R33" t="str">
        <f t="shared" si="1"/>
        <v>C33</v>
      </c>
      <c r="S33" t="str">
        <f t="shared" si="2"/>
        <v/>
      </c>
      <c r="AB33" t="s">
        <v>45</v>
      </c>
    </row>
    <row r="34" spans="3:28" x14ac:dyDescent="0.2">
      <c r="C34" s="198" t="s">
        <v>30</v>
      </c>
      <c r="D34" s="198"/>
      <c r="E34" s="198"/>
      <c r="F34" s="198"/>
      <c r="G34" s="10"/>
      <c r="H34" s="152"/>
      <c r="I34" s="6"/>
      <c r="J34" s="196"/>
      <c r="K34" s="196"/>
      <c r="L34" s="8"/>
      <c r="M34" s="196"/>
      <c r="N34" s="196"/>
      <c r="Q34">
        <f t="shared" si="0"/>
        <v>0</v>
      </c>
      <c r="R34" t="str">
        <f t="shared" si="1"/>
        <v>C34</v>
      </c>
      <c r="S34" t="str">
        <f t="shared" si="2"/>
        <v/>
      </c>
      <c r="AB34" t="s">
        <v>46</v>
      </c>
    </row>
    <row r="35" spans="3:28" x14ac:dyDescent="0.2">
      <c r="C35" s="198" t="s">
        <v>30</v>
      </c>
      <c r="D35" s="198"/>
      <c r="E35" s="198"/>
      <c r="F35" s="198"/>
      <c r="G35" s="10"/>
      <c r="H35" s="152"/>
      <c r="I35" s="6"/>
      <c r="J35" s="196"/>
      <c r="K35" s="196"/>
      <c r="L35" s="8"/>
      <c r="M35" s="196"/>
      <c r="N35" s="196"/>
      <c r="Q35">
        <f t="shared" si="0"/>
        <v>0</v>
      </c>
      <c r="R35" t="str">
        <f t="shared" si="1"/>
        <v>C35</v>
      </c>
      <c r="S35" t="str">
        <f t="shared" si="2"/>
        <v/>
      </c>
      <c r="AB35" t="s">
        <v>47</v>
      </c>
    </row>
    <row r="36" spans="3:28" x14ac:dyDescent="0.2">
      <c r="C36" s="198" t="s">
        <v>30</v>
      </c>
      <c r="D36" s="198"/>
      <c r="E36" s="198"/>
      <c r="F36" s="198"/>
      <c r="G36" s="10"/>
      <c r="H36" s="152"/>
      <c r="I36" s="6"/>
      <c r="J36" s="196"/>
      <c r="K36" s="196"/>
      <c r="L36" s="8"/>
      <c r="M36" s="196"/>
      <c r="N36" s="196"/>
      <c r="Q36">
        <f t="shared" si="0"/>
        <v>0</v>
      </c>
      <c r="R36" t="str">
        <f t="shared" si="1"/>
        <v>C36</v>
      </c>
      <c r="S36" t="str">
        <f t="shared" si="2"/>
        <v/>
      </c>
      <c r="AB36" t="s">
        <v>48</v>
      </c>
    </row>
    <row r="37" spans="3:28" x14ac:dyDescent="0.2">
      <c r="C37" s="198" t="s">
        <v>30</v>
      </c>
      <c r="D37" s="198"/>
      <c r="E37" s="198"/>
      <c r="F37" s="198"/>
      <c r="G37" s="10"/>
      <c r="H37" s="152"/>
      <c r="I37" s="6"/>
      <c r="J37" s="196"/>
      <c r="K37" s="196"/>
      <c r="L37" s="8"/>
      <c r="M37" s="196"/>
      <c r="N37" s="196"/>
      <c r="Q37">
        <f t="shared" si="0"/>
        <v>0</v>
      </c>
      <c r="R37" t="str">
        <f t="shared" si="1"/>
        <v>C37</v>
      </c>
      <c r="S37" t="str">
        <f t="shared" si="2"/>
        <v/>
      </c>
      <c r="AB37" t="s">
        <v>49</v>
      </c>
    </row>
    <row r="38" spans="3:28" x14ac:dyDescent="0.2">
      <c r="C38" s="198" t="s">
        <v>30</v>
      </c>
      <c r="D38" s="198"/>
      <c r="E38" s="198"/>
      <c r="F38" s="198"/>
      <c r="G38" s="10"/>
      <c r="H38" s="152"/>
      <c r="I38" s="6"/>
      <c r="J38" s="196"/>
      <c r="K38" s="196"/>
      <c r="L38" s="8"/>
      <c r="M38" s="196"/>
      <c r="N38" s="196"/>
      <c r="Q38">
        <f t="shared" si="0"/>
        <v>0</v>
      </c>
      <c r="R38" t="str">
        <f t="shared" si="1"/>
        <v>C38</v>
      </c>
      <c r="S38" t="str">
        <f t="shared" si="2"/>
        <v/>
      </c>
      <c r="AB38" t="s">
        <v>50</v>
      </c>
    </row>
    <row r="39" spans="3:28" x14ac:dyDescent="0.2">
      <c r="C39" s="198" t="s">
        <v>30</v>
      </c>
      <c r="D39" s="198"/>
      <c r="E39" s="198"/>
      <c r="F39" s="198"/>
      <c r="G39" s="10"/>
      <c r="H39" s="152"/>
      <c r="I39" s="6"/>
      <c r="J39" s="196"/>
      <c r="K39" s="196"/>
      <c r="L39" s="8"/>
      <c r="M39" s="196"/>
      <c r="N39" s="196"/>
      <c r="Q39">
        <f t="shared" si="0"/>
        <v>0</v>
      </c>
      <c r="R39" t="str">
        <f t="shared" si="1"/>
        <v>C39</v>
      </c>
      <c r="S39" t="str">
        <f t="shared" si="2"/>
        <v/>
      </c>
    </row>
    <row r="40" spans="3:28" x14ac:dyDescent="0.2">
      <c r="C40" s="198" t="s">
        <v>30</v>
      </c>
      <c r="D40" s="198"/>
      <c r="E40" s="198"/>
      <c r="F40" s="198"/>
      <c r="G40" s="10"/>
      <c r="H40" s="152"/>
      <c r="I40" s="6"/>
      <c r="J40" s="196"/>
      <c r="K40" s="196"/>
      <c r="L40" s="8"/>
      <c r="M40" s="196"/>
      <c r="N40" s="196"/>
      <c r="Q40">
        <f t="shared" si="0"/>
        <v>0</v>
      </c>
      <c r="R40" t="str">
        <f t="shared" si="1"/>
        <v>C40</v>
      </c>
      <c r="S40" t="str">
        <f t="shared" si="2"/>
        <v/>
      </c>
      <c r="AB40" t="s">
        <v>31</v>
      </c>
    </row>
    <row r="41" spans="3:28" x14ac:dyDescent="0.2">
      <c r="C41" s="198" t="s">
        <v>30</v>
      </c>
      <c r="D41" s="198"/>
      <c r="E41" s="198"/>
      <c r="F41" s="198"/>
      <c r="G41" s="10"/>
      <c r="H41" s="152"/>
      <c r="I41" s="6"/>
      <c r="J41" s="196"/>
      <c r="K41" s="196"/>
      <c r="L41" s="8"/>
      <c r="M41" s="196"/>
      <c r="N41" s="196"/>
      <c r="Q41">
        <f t="shared" si="0"/>
        <v>0</v>
      </c>
      <c r="R41" t="str">
        <f t="shared" si="1"/>
        <v>C41</v>
      </c>
      <c r="S41" t="str">
        <f t="shared" si="2"/>
        <v/>
      </c>
      <c r="AB41" t="s">
        <v>51</v>
      </c>
    </row>
    <row r="42" spans="3:28" x14ac:dyDescent="0.2">
      <c r="C42" s="198" t="s">
        <v>30</v>
      </c>
      <c r="D42" s="198"/>
      <c r="E42" s="198"/>
      <c r="F42" s="198"/>
      <c r="G42" s="10"/>
      <c r="H42" s="152"/>
      <c r="I42" s="6"/>
      <c r="J42" s="196"/>
      <c r="K42" s="196"/>
      <c r="L42" s="8"/>
      <c r="M42" s="196"/>
      <c r="N42" s="196"/>
      <c r="Q42">
        <f t="shared" si="0"/>
        <v>0</v>
      </c>
      <c r="R42" t="str">
        <f t="shared" si="1"/>
        <v>C42</v>
      </c>
      <c r="S42" t="str">
        <f t="shared" si="2"/>
        <v/>
      </c>
      <c r="AB42" t="s">
        <v>52</v>
      </c>
    </row>
    <row r="43" spans="3:28" x14ac:dyDescent="0.2">
      <c r="C43" s="198" t="s">
        <v>30</v>
      </c>
      <c r="D43" s="198"/>
      <c r="E43" s="198"/>
      <c r="F43" s="198"/>
      <c r="G43" s="10"/>
      <c r="H43" s="152"/>
      <c r="I43" s="6"/>
      <c r="J43" s="196"/>
      <c r="K43" s="196"/>
      <c r="L43" s="8"/>
      <c r="M43" s="196"/>
      <c r="N43" s="196"/>
      <c r="Q43">
        <f t="shared" si="0"/>
        <v>0</v>
      </c>
      <c r="R43" t="str">
        <f t="shared" si="1"/>
        <v>C43</v>
      </c>
      <c r="S43" t="str">
        <f t="shared" si="2"/>
        <v/>
      </c>
      <c r="AB43" t="s">
        <v>53</v>
      </c>
    </row>
    <row r="44" spans="3:28" x14ac:dyDescent="0.2">
      <c r="C44" s="198" t="s">
        <v>30</v>
      </c>
      <c r="D44" s="198"/>
      <c r="E44" s="198"/>
      <c r="F44" s="198"/>
      <c r="G44" s="10"/>
      <c r="H44" s="152"/>
      <c r="I44" s="6"/>
      <c r="J44" s="196"/>
      <c r="K44" s="196"/>
      <c r="L44" s="8"/>
      <c r="M44" s="196"/>
      <c r="N44" s="196"/>
      <c r="Q44">
        <f t="shared" si="0"/>
        <v>0</v>
      </c>
      <c r="R44" t="str">
        <f t="shared" si="1"/>
        <v>C44</v>
      </c>
      <c r="S44" t="str">
        <f t="shared" si="2"/>
        <v/>
      </c>
      <c r="AB44" t="s">
        <v>54</v>
      </c>
    </row>
    <row r="45" spans="3:28" x14ac:dyDescent="0.2">
      <c r="C45" s="198" t="s">
        <v>30</v>
      </c>
      <c r="D45" s="198"/>
      <c r="E45" s="198"/>
      <c r="F45" s="198"/>
      <c r="G45" s="10"/>
      <c r="H45" s="152"/>
      <c r="I45" s="6"/>
      <c r="J45" s="196"/>
      <c r="K45" s="196"/>
      <c r="L45" s="8"/>
      <c r="M45" s="196"/>
      <c r="N45" s="196"/>
      <c r="Q45">
        <f t="shared" si="0"/>
        <v>0</v>
      </c>
      <c r="R45" t="str">
        <f t="shared" si="1"/>
        <v>C45</v>
      </c>
      <c r="S45" t="str">
        <f t="shared" si="2"/>
        <v/>
      </c>
      <c r="AB45" t="s">
        <v>55</v>
      </c>
    </row>
    <row r="46" spans="3:28" x14ac:dyDescent="0.2">
      <c r="C46" s="200"/>
      <c r="D46" s="200"/>
      <c r="E46" s="200"/>
      <c r="F46" s="200"/>
      <c r="G46" s="10"/>
      <c r="H46" s="10"/>
      <c r="S46">
        <f>COUNTIF(S24:S45, "x")</f>
        <v>0</v>
      </c>
      <c r="AB46" t="s">
        <v>56</v>
      </c>
    </row>
    <row r="47" spans="3:28" x14ac:dyDescent="0.2">
      <c r="C47" s="200"/>
      <c r="D47" s="200"/>
      <c r="E47" s="200"/>
      <c r="F47" s="200"/>
      <c r="G47" s="10"/>
      <c r="H47" s="10"/>
      <c r="AB47" t="s">
        <v>57</v>
      </c>
    </row>
    <row r="48" spans="3:28" x14ac:dyDescent="0.2">
      <c r="C48" s="200"/>
      <c r="D48" s="200"/>
      <c r="E48" s="200"/>
      <c r="F48" s="200"/>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5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48" sqref="H48:I48"/>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5" t="s">
        <v>241</v>
      </c>
      <c r="C13" s="205"/>
      <c r="D13" s="205"/>
      <c r="E13" s="205"/>
      <c r="F13" s="205"/>
      <c r="G13" s="205"/>
      <c r="H13" s="205"/>
      <c r="I13" s="205"/>
      <c r="J13" s="205"/>
      <c r="K13" s="205"/>
      <c r="L13" s="205"/>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4"/>
      <c r="K21" s="204"/>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4" t="s">
        <v>239</v>
      </c>
      <c r="K24" s="204"/>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135123779</v>
      </c>
      <c r="G27" s="149"/>
      <c r="H27" s="202">
        <v>1.0306999999999999</v>
      </c>
      <c r="I27" s="202"/>
      <c r="J27" s="203" t="str">
        <f t="shared" ref="J27:J32" si="0">IF(ISERROR(F27/(G27*30.4*24)), "", IF(D27="kW", F27/(G27*30.4*24), ""))</f>
        <v/>
      </c>
      <c r="K27" s="203"/>
      <c r="L27" s="97">
        <f>IF(OR(H27=0, OR(ISBLANK(H27), TRIM(H27)="")), F27, F27*H27)</f>
        <v>139272079.01530001</v>
      </c>
      <c r="M27" s="97">
        <f>IF(OR(H27=0, OR(ISBLANK(H27), TRIM(H27)="")), G27, G27)</f>
        <v>0</v>
      </c>
      <c r="N27" s="13"/>
    </row>
    <row r="28" spans="2:14" ht="25.5" customHeight="1" thickBot="1" x14ac:dyDescent="0.25">
      <c r="B28" s="94" t="str">
        <f>IF('3. Rate Classes'!Q25=1,'3. Rate Classes'!C25, 0)</f>
        <v>Residential - Hensall</v>
      </c>
      <c r="C28" s="95"/>
      <c r="D28" s="96" t="str">
        <f>IF(OR(VLOOKUP($B28, '3. Rate Classes'!$C$24:$H$45,6,0)=0, ISERROR(VLOOKUP($B28, '3. Rate Classes'!$C$24:$H$45,6,0))), "", VLOOKUP($B28, '3. Rate Classes'!$C$24:$H$45,6,0))</f>
        <v>kWh</v>
      </c>
      <c r="F28" s="150">
        <v>3709946</v>
      </c>
      <c r="G28" s="150"/>
      <c r="H28" s="202">
        <v>1.0306999999999999</v>
      </c>
      <c r="I28" s="202"/>
      <c r="J28" s="203" t="str">
        <f t="shared" si="0"/>
        <v/>
      </c>
      <c r="K28" s="203"/>
      <c r="L28" s="97">
        <f t="shared" ref="L28:L48" si="1">IF(OR(H28=0, OR(ISBLANK(H28), TRIM(H28)="")), F28, F28*H28)</f>
        <v>3823841.3421999998</v>
      </c>
      <c r="M28" s="97">
        <f t="shared" ref="M28:M48" si="2">IF(OR(H28=0, OR(ISBLANK(H28), TRIM(H28)="")), G28, G28)</f>
        <v>0</v>
      </c>
    </row>
    <row r="29" spans="2:14" ht="25.5" customHeight="1" thickBot="1" x14ac:dyDescent="0.25">
      <c r="B29" s="94" t="str">
        <f>IF('3. Rate Classes'!Q26=1,'3. Rate Classes'!C26, 0)</f>
        <v>General Service Less Than 50 kW</v>
      </c>
      <c r="C29" s="95"/>
      <c r="D29" s="96" t="str">
        <f>IF(OR(VLOOKUP($B29, '3. Rate Classes'!$C$24:$H$45,6,0)=0, ISERROR(VLOOKUP($B29, '3. Rate Classes'!$C$24:$H$45,6,0))), "", VLOOKUP($B29, '3. Rate Classes'!$C$24:$H$45,6,0))</f>
        <v>kWh</v>
      </c>
      <c r="F29" s="150">
        <v>62255637</v>
      </c>
      <c r="G29" s="149"/>
      <c r="H29" s="202">
        <v>1.0306999999999999</v>
      </c>
      <c r="I29" s="202"/>
      <c r="J29" s="203" t="str">
        <f t="shared" si="0"/>
        <v/>
      </c>
      <c r="K29" s="203"/>
      <c r="L29" s="97">
        <f t="shared" si="1"/>
        <v>64166885.0559</v>
      </c>
      <c r="M29" s="97">
        <f t="shared" si="2"/>
        <v>0</v>
      </c>
    </row>
    <row r="30" spans="2:14" ht="25.5" customHeight="1" thickBot="1" x14ac:dyDescent="0.25">
      <c r="B30" s="94" t="str">
        <f>IF('3. Rate Classes'!Q27=1,'3. Rate Classes'!C27, 0)</f>
        <v>General Service 50 to 4,999 kW</v>
      </c>
      <c r="C30" s="95"/>
      <c r="D30" s="96" t="str">
        <f>IF(OR(VLOOKUP($B30, '3. Rate Classes'!$C$24:$H$45,6,0)=0, ISERROR(VLOOKUP($B30, '3. Rate Classes'!$C$24:$H$45,6,0))), "", VLOOKUP($B30, '3. Rate Classes'!$C$24:$H$45,6,0))</f>
        <v>kW</v>
      </c>
      <c r="F30" s="150">
        <f>38218979+7771829</f>
        <v>45990808</v>
      </c>
      <c r="G30" s="150">
        <v>136482</v>
      </c>
      <c r="H30" s="201"/>
      <c r="I30" s="201"/>
      <c r="J30" s="203">
        <f t="shared" si="0"/>
        <v>0.4618605158909202</v>
      </c>
      <c r="K30" s="203"/>
      <c r="L30" s="97">
        <f t="shared" si="1"/>
        <v>45990808</v>
      </c>
      <c r="M30" s="97">
        <f t="shared" si="2"/>
        <v>136482</v>
      </c>
    </row>
    <row r="31" spans="2:14" ht="25.5" customHeight="1" thickBot="1" x14ac:dyDescent="0.25">
      <c r="B31" s="94" t="str">
        <f>IF('3. Rate Classes'!Q28=1,'3. Rate Classes'!C28, 0)</f>
        <v>General Service 50 to 999 kW - Interval Metered</v>
      </c>
      <c r="C31" s="95"/>
      <c r="D31" s="96" t="str">
        <f>IF(OR(VLOOKUP($B31, '3. Rate Classes'!$C$24:$H$45,6,0)=0, ISERROR(VLOOKUP($B31, '3. Rate Classes'!$C$24:$H$45,6,0))), "", VLOOKUP($B31, '3. Rate Classes'!$C$24:$H$45,6,0))</f>
        <v>kW</v>
      </c>
      <c r="F31" s="150">
        <f>301210356+19990689+4070011</f>
        <v>325271056</v>
      </c>
      <c r="G31" s="149">
        <v>823296</v>
      </c>
      <c r="H31" s="201"/>
      <c r="I31" s="201"/>
      <c r="J31" s="203">
        <f t="shared" si="0"/>
        <v>0.54150764070444113</v>
      </c>
      <c r="K31" s="203"/>
      <c r="L31" s="97">
        <f t="shared" si="1"/>
        <v>325271056</v>
      </c>
      <c r="M31" s="97">
        <f t="shared" si="2"/>
        <v>823296</v>
      </c>
    </row>
    <row r="32" spans="2:14" ht="25.5" customHeight="1" thickBot="1" x14ac:dyDescent="0.25">
      <c r="B32" s="94" t="str">
        <f>IF('3. Rate Classes'!Q29=1,'3. Rate Classes'!C29, 0)</f>
        <v>Large Use</v>
      </c>
      <c r="C32" s="95"/>
      <c r="D32" s="96" t="str">
        <f>IF(OR(VLOOKUP($B32, '3. Rate Classes'!$C$24:$H$45,6,0)=0, ISERROR(VLOOKUP($B32, '3. Rate Classes'!$C$24:$H$45,6,0))), "", VLOOKUP($B32, '3. Rate Classes'!$C$24:$H$45,6,0))</f>
        <v>kW</v>
      </c>
      <c r="F32" s="150">
        <v>17987095</v>
      </c>
      <c r="G32" s="150">
        <v>31765</v>
      </c>
      <c r="H32" s="201"/>
      <c r="I32" s="201"/>
      <c r="J32" s="203">
        <f t="shared" si="0"/>
        <v>0.77611726294525862</v>
      </c>
      <c r="K32" s="203"/>
      <c r="L32" s="97">
        <f t="shared" si="1"/>
        <v>17987095</v>
      </c>
      <c r="M32" s="97">
        <f t="shared" si="2"/>
        <v>31765</v>
      </c>
    </row>
    <row r="33" spans="2:13" ht="25.5" customHeight="1" thickBot="1" x14ac:dyDescent="0.25">
      <c r="B33" s="94" t="str">
        <f>IF('3. Rate Classes'!Q30=1,'3. Rate Classes'!C30, 0)</f>
        <v>Unmetered Scattered Load</v>
      </c>
      <c r="C33" s="95"/>
      <c r="D33" s="96" t="str">
        <f>IF(OR(VLOOKUP($B33, '3. Rate Classes'!$C$24:$H$45,6,0)=0, ISERROR(VLOOKUP($B33, '3. Rate Classes'!$C$24:$H$45,6,0))), "", VLOOKUP($B33, '3. Rate Classes'!$C$24:$H$45,6,0))</f>
        <v>kWh</v>
      </c>
      <c r="F33" s="150">
        <v>667380</v>
      </c>
      <c r="G33" s="149"/>
      <c r="H33" s="202">
        <v>1.0306999999999999</v>
      </c>
      <c r="I33" s="202"/>
      <c r="J33" s="203" t="str">
        <f t="shared" ref="J33:J48" si="3">IF(ISERROR(F33/(G33*30.4*24)), "", IF(D33="kW", F33/(G33*30.4*24), ""))</f>
        <v/>
      </c>
      <c r="K33" s="203"/>
      <c r="L33" s="97">
        <f t="shared" si="1"/>
        <v>687868.56599999999</v>
      </c>
      <c r="M33" s="97">
        <f t="shared" si="2"/>
        <v>0</v>
      </c>
    </row>
    <row r="34" spans="2:13" ht="25.5" customHeight="1" thickBot="1" x14ac:dyDescent="0.25">
      <c r="B34" s="94" t="str">
        <f>IF('3. Rate Classes'!Q31=1,'3. Rate Classes'!C31, 0)</f>
        <v>Sentinel Lighting</v>
      </c>
      <c r="C34" s="95"/>
      <c r="D34" s="96" t="str">
        <f>IF(OR(VLOOKUP($B34, '3. Rate Classes'!$C$24:$H$45,6,0)=0, ISERROR(VLOOKUP($B34, '3. Rate Classes'!$C$24:$H$45,6,0))), "", VLOOKUP($B34, '3. Rate Classes'!$C$24:$H$45,6,0))</f>
        <v>kW</v>
      </c>
      <c r="F34" s="150">
        <v>192847</v>
      </c>
      <c r="G34" s="150">
        <v>536</v>
      </c>
      <c r="H34" s="201"/>
      <c r="I34" s="201"/>
      <c r="J34" s="203">
        <f t="shared" si="3"/>
        <v>0.49313209855328621</v>
      </c>
      <c r="K34" s="203"/>
      <c r="L34" s="97">
        <f t="shared" si="1"/>
        <v>192847</v>
      </c>
      <c r="M34" s="97">
        <f t="shared" si="2"/>
        <v>536</v>
      </c>
    </row>
    <row r="35" spans="2:13" ht="25.5" customHeight="1" thickBot="1" x14ac:dyDescent="0.25">
      <c r="B35" s="94" t="str">
        <f>IF('3. Rate Classes'!Q32=1,'3. Rate Classes'!C32, 0)</f>
        <v>Street Lighting</v>
      </c>
      <c r="C35" s="95"/>
      <c r="D35" s="96" t="str">
        <f>IF(OR(VLOOKUP($B35, '3. Rate Classes'!$C$24:$H$45,6,0)=0, ISERROR(VLOOKUP($B35, '3. Rate Classes'!$C$24:$H$45,6,0))), "", VLOOKUP($B35, '3. Rate Classes'!$C$24:$H$45,6,0))</f>
        <v>kW</v>
      </c>
      <c r="F35" s="150">
        <v>4359071</v>
      </c>
      <c r="G35" s="149">
        <v>11445</v>
      </c>
      <c r="H35" s="201"/>
      <c r="I35" s="201"/>
      <c r="J35" s="203">
        <f t="shared" si="3"/>
        <v>0.52202742617246478</v>
      </c>
      <c r="K35" s="203"/>
      <c r="L35" s="97">
        <f t="shared" si="1"/>
        <v>4359071</v>
      </c>
      <c r="M35" s="97">
        <f t="shared" si="2"/>
        <v>11445</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0"/>
      <c r="G36" s="150"/>
      <c r="H36" s="201"/>
      <c r="I36" s="201"/>
      <c r="J36" s="203" t="str">
        <f t="shared" si="3"/>
        <v/>
      </c>
      <c r="K36" s="203"/>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201"/>
      <c r="I37" s="201"/>
      <c r="J37" s="203" t="str">
        <f t="shared" si="3"/>
        <v/>
      </c>
      <c r="K37" s="203"/>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01"/>
      <c r="I38" s="201"/>
      <c r="J38" s="203" t="str">
        <f t="shared" si="3"/>
        <v/>
      </c>
      <c r="K38" s="203"/>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01"/>
      <c r="I39" s="201"/>
      <c r="J39" s="203" t="str">
        <f t="shared" si="3"/>
        <v/>
      </c>
      <c r="K39" s="203"/>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01"/>
      <c r="I40" s="201"/>
      <c r="J40" s="203" t="str">
        <f t="shared" si="3"/>
        <v/>
      </c>
      <c r="K40" s="203"/>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01"/>
      <c r="I41" s="201"/>
      <c r="J41" s="203" t="str">
        <f t="shared" si="3"/>
        <v/>
      </c>
      <c r="K41" s="203"/>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01"/>
      <c r="I42" s="201"/>
      <c r="J42" s="203" t="str">
        <f t="shared" si="3"/>
        <v/>
      </c>
      <c r="K42" s="203"/>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01"/>
      <c r="I43" s="201"/>
      <c r="J43" s="203" t="str">
        <f t="shared" si="3"/>
        <v/>
      </c>
      <c r="K43" s="203"/>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01"/>
      <c r="I44" s="201"/>
      <c r="J44" s="203" t="str">
        <f t="shared" si="3"/>
        <v/>
      </c>
      <c r="K44" s="203"/>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01"/>
      <c r="I45" s="201"/>
      <c r="J45" s="203" t="str">
        <f t="shared" si="3"/>
        <v/>
      </c>
      <c r="K45" s="203"/>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01"/>
      <c r="I46" s="201"/>
      <c r="J46" s="203" t="str">
        <f t="shared" si="3"/>
        <v/>
      </c>
      <c r="K46" s="203"/>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01"/>
      <c r="I47" s="201"/>
      <c r="J47" s="203" t="str">
        <f t="shared" si="3"/>
        <v/>
      </c>
      <c r="K47" s="203"/>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01"/>
      <c r="I48" s="201"/>
      <c r="J48" s="203" t="str">
        <f t="shared" si="3"/>
        <v/>
      </c>
      <c r="K48" s="203"/>
      <c r="L48" s="97">
        <f t="shared" si="1"/>
        <v>0</v>
      </c>
      <c r="M48" s="97">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topLeftCell="C1" zoomScale="90" zoomScaleNormal="90" workbookViewId="0">
      <pane ySplit="16" topLeftCell="A17" activePane="bottomLeft" state="frozenSplit"/>
      <selection activeCell="I48" sqref="I48"/>
      <selection pane="bottomLeft" activeCell="I40" sqref="I40"/>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4" t="s">
        <v>263</v>
      </c>
      <c r="C44" s="173" t="s">
        <v>209</v>
      </c>
      <c r="E44" s="173" t="s">
        <v>233</v>
      </c>
      <c r="G44" s="173" t="s">
        <v>234</v>
      </c>
      <c r="I44" s="173"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4" t="s">
        <v>264</v>
      </c>
      <c r="C59" s="173" t="s">
        <v>209</v>
      </c>
      <c r="E59" s="173" t="s">
        <v>233</v>
      </c>
      <c r="G59" s="173" t="s">
        <v>234</v>
      </c>
      <c r="I59" s="173"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259</v>
      </c>
      <c r="F94" s="171"/>
      <c r="G94" s="171" t="s">
        <v>260</v>
      </c>
      <c r="H94" s="171"/>
      <c r="I94" s="171" t="s">
        <v>261</v>
      </c>
    </row>
    <row r="95" spans="2:9" ht="34.5" x14ac:dyDescent="0.3">
      <c r="B95" s="175" t="s">
        <v>265</v>
      </c>
      <c r="C95" s="33" t="s">
        <v>256</v>
      </c>
      <c r="E95" s="187"/>
      <c r="F95" s="38"/>
      <c r="G95" s="187"/>
      <c r="H95" s="38"/>
      <c r="I95" s="18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117"/>
  <sheetViews>
    <sheetView showGridLines="0" tabSelected="1" topLeftCell="B1" zoomScaleNormal="100" workbookViewId="0">
      <pane ySplit="16" topLeftCell="A17" activePane="bottomLeft" state="frozenSplit"/>
      <selection activeCell="I48" sqref="I48"/>
      <selection pane="bottomLeft" activeCell="F117" sqref="F117"/>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7" t="s">
        <v>227</v>
      </c>
      <c r="E21" s="207"/>
      <c r="F21" s="207"/>
      <c r="G21" s="140"/>
      <c r="H21" s="207" t="s">
        <v>230</v>
      </c>
      <c r="I21" s="207"/>
      <c r="J21" s="207"/>
      <c r="K21" s="140"/>
      <c r="L21" s="207" t="s">
        <v>229</v>
      </c>
      <c r="M21" s="207"/>
      <c r="N21" s="207"/>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v>84267</v>
      </c>
      <c r="E24" s="188">
        <f>'5. UTRs and Sub-Transmission'!E22</f>
        <v>3.57</v>
      </c>
      <c r="F24" s="156">
        <f>D24*E24</f>
        <v>300833.19</v>
      </c>
      <c r="G24" s="17"/>
      <c r="H24" s="154">
        <v>84516</v>
      </c>
      <c r="I24" s="188">
        <f>'5. UTRs and Sub-Transmission'!E24</f>
        <v>0.8</v>
      </c>
      <c r="J24" s="157">
        <f>H24*I24</f>
        <v>67612.800000000003</v>
      </c>
      <c r="K24" s="17"/>
      <c r="L24" s="154">
        <v>84516</v>
      </c>
      <c r="M24" s="188">
        <f>'5. UTRs and Sub-Transmission'!E26</f>
        <v>1.86</v>
      </c>
      <c r="N24" s="156">
        <f>L24*M24</f>
        <v>157199.76</v>
      </c>
      <c r="O24" s="17"/>
      <c r="P24" s="47">
        <f t="shared" ref="P24:P35" si="0">J24+N24</f>
        <v>224812.56</v>
      </c>
      <c r="Q24" s="17"/>
    </row>
    <row r="25" spans="2:17" ht="15.75" x14ac:dyDescent="0.25">
      <c r="B25" s="48" t="s">
        <v>128</v>
      </c>
      <c r="C25" s="17"/>
      <c r="D25" s="154">
        <v>77807</v>
      </c>
      <c r="E25" s="188">
        <f>E24</f>
        <v>3.57</v>
      </c>
      <c r="F25" s="156">
        <f t="shared" ref="F25:F34" si="1">D25*E25</f>
        <v>277770.99</v>
      </c>
      <c r="G25" s="17"/>
      <c r="H25" s="154">
        <v>81413</v>
      </c>
      <c r="I25" s="188">
        <f>I24</f>
        <v>0.8</v>
      </c>
      <c r="J25" s="157">
        <f t="shared" ref="J25:J35" si="2">H25*I25</f>
        <v>65130.400000000001</v>
      </c>
      <c r="K25" s="17"/>
      <c r="L25" s="154">
        <v>81413</v>
      </c>
      <c r="M25" s="188">
        <f>M24</f>
        <v>1.86</v>
      </c>
      <c r="N25" s="156">
        <f t="shared" ref="N25:N34" si="3">L25*M25</f>
        <v>151428.18000000002</v>
      </c>
      <c r="O25" s="17"/>
      <c r="P25" s="47">
        <f t="shared" si="0"/>
        <v>216558.58000000002</v>
      </c>
      <c r="Q25" s="17"/>
    </row>
    <row r="26" spans="2:17" ht="15.75" x14ac:dyDescent="0.25">
      <c r="B26" s="48" t="s">
        <v>129</v>
      </c>
      <c r="C26" s="17"/>
      <c r="D26" s="154">
        <v>79899</v>
      </c>
      <c r="E26" s="188">
        <f t="shared" ref="E26:E35" si="4">E25</f>
        <v>3.57</v>
      </c>
      <c r="F26" s="156">
        <f t="shared" si="1"/>
        <v>285239.43</v>
      </c>
      <c r="G26" s="17"/>
      <c r="H26" s="154">
        <v>80286</v>
      </c>
      <c r="I26" s="188">
        <f t="shared" ref="I26:I35" si="5">I25</f>
        <v>0.8</v>
      </c>
      <c r="J26" s="157">
        <f t="shared" si="2"/>
        <v>64228.800000000003</v>
      </c>
      <c r="K26" s="17"/>
      <c r="L26" s="154">
        <v>80286</v>
      </c>
      <c r="M26" s="188">
        <f t="shared" ref="M26:M35" si="6">M25</f>
        <v>1.86</v>
      </c>
      <c r="N26" s="156">
        <f t="shared" si="3"/>
        <v>149331.96000000002</v>
      </c>
      <c r="O26" s="17"/>
      <c r="P26" s="47">
        <f t="shared" si="0"/>
        <v>213560.76</v>
      </c>
      <c r="Q26" s="17"/>
    </row>
    <row r="27" spans="2:17" ht="15.75" x14ac:dyDescent="0.25">
      <c r="B27" s="48" t="s">
        <v>130</v>
      </c>
      <c r="C27" s="17"/>
      <c r="D27" s="154">
        <v>73750</v>
      </c>
      <c r="E27" s="188">
        <f t="shared" si="4"/>
        <v>3.57</v>
      </c>
      <c r="F27" s="156">
        <f t="shared" si="1"/>
        <v>263287.5</v>
      </c>
      <c r="G27" s="17"/>
      <c r="H27" s="154">
        <v>75261</v>
      </c>
      <c r="I27" s="188">
        <f t="shared" si="5"/>
        <v>0.8</v>
      </c>
      <c r="J27" s="157">
        <f t="shared" si="2"/>
        <v>60208.800000000003</v>
      </c>
      <c r="K27" s="17"/>
      <c r="L27" s="154">
        <v>75261</v>
      </c>
      <c r="M27" s="188">
        <f t="shared" si="6"/>
        <v>1.86</v>
      </c>
      <c r="N27" s="156">
        <f t="shared" si="3"/>
        <v>139985.46000000002</v>
      </c>
      <c r="O27" s="17"/>
      <c r="P27" s="47">
        <f t="shared" si="0"/>
        <v>200194.26</v>
      </c>
      <c r="Q27" s="17"/>
    </row>
    <row r="28" spans="2:17" ht="15.75" x14ac:dyDescent="0.25">
      <c r="B28" s="48" t="s">
        <v>131</v>
      </c>
      <c r="C28" s="17"/>
      <c r="D28" s="154">
        <v>84639</v>
      </c>
      <c r="E28" s="188">
        <f t="shared" si="4"/>
        <v>3.57</v>
      </c>
      <c r="F28" s="156">
        <f t="shared" si="1"/>
        <v>302161.23</v>
      </c>
      <c r="G28" s="17"/>
      <c r="H28" s="154">
        <v>86630</v>
      </c>
      <c r="I28" s="188">
        <f t="shared" si="5"/>
        <v>0.8</v>
      </c>
      <c r="J28" s="157">
        <f t="shared" si="2"/>
        <v>69304</v>
      </c>
      <c r="K28" s="17"/>
      <c r="L28" s="154">
        <v>86630</v>
      </c>
      <c r="M28" s="188">
        <f t="shared" si="6"/>
        <v>1.86</v>
      </c>
      <c r="N28" s="156">
        <f t="shared" si="3"/>
        <v>161131.80000000002</v>
      </c>
      <c r="O28" s="17"/>
      <c r="P28" s="47">
        <f t="shared" si="0"/>
        <v>230435.80000000002</v>
      </c>
      <c r="Q28" s="17"/>
    </row>
    <row r="29" spans="2:17" ht="15.75" x14ac:dyDescent="0.25">
      <c r="B29" s="48" t="s">
        <v>132</v>
      </c>
      <c r="C29" s="17"/>
      <c r="D29" s="154">
        <v>93666</v>
      </c>
      <c r="E29" s="188">
        <f t="shared" si="4"/>
        <v>3.57</v>
      </c>
      <c r="F29" s="156">
        <f t="shared" si="1"/>
        <v>334387.62</v>
      </c>
      <c r="G29" s="17"/>
      <c r="H29" s="154">
        <v>95363</v>
      </c>
      <c r="I29" s="188">
        <f t="shared" si="5"/>
        <v>0.8</v>
      </c>
      <c r="J29" s="157">
        <f t="shared" si="2"/>
        <v>76290.400000000009</v>
      </c>
      <c r="K29" s="17"/>
      <c r="L29" s="154">
        <v>95363</v>
      </c>
      <c r="M29" s="188">
        <f t="shared" si="6"/>
        <v>1.86</v>
      </c>
      <c r="N29" s="156">
        <f t="shared" si="3"/>
        <v>177375.18000000002</v>
      </c>
      <c r="O29" s="17"/>
      <c r="P29" s="47">
        <f t="shared" si="0"/>
        <v>253665.58000000002</v>
      </c>
      <c r="Q29" s="17"/>
    </row>
    <row r="30" spans="2:17" ht="15.75" x14ac:dyDescent="0.25">
      <c r="B30" s="48" t="s">
        <v>133</v>
      </c>
      <c r="C30" s="17"/>
      <c r="D30" s="154">
        <v>95552</v>
      </c>
      <c r="E30" s="188">
        <f t="shared" si="4"/>
        <v>3.57</v>
      </c>
      <c r="F30" s="156">
        <f t="shared" si="1"/>
        <v>341120.63999999996</v>
      </c>
      <c r="G30" s="17"/>
      <c r="H30" s="154">
        <v>95569</v>
      </c>
      <c r="I30" s="188">
        <f t="shared" si="5"/>
        <v>0.8</v>
      </c>
      <c r="J30" s="157">
        <f t="shared" si="2"/>
        <v>76455.199999999997</v>
      </c>
      <c r="K30" s="17"/>
      <c r="L30" s="154">
        <v>95569</v>
      </c>
      <c r="M30" s="188">
        <f t="shared" si="6"/>
        <v>1.86</v>
      </c>
      <c r="N30" s="156">
        <f t="shared" si="3"/>
        <v>177758.34</v>
      </c>
      <c r="O30" s="17"/>
      <c r="P30" s="47">
        <f t="shared" si="0"/>
        <v>254213.53999999998</v>
      </c>
      <c r="Q30" s="17"/>
    </row>
    <row r="31" spans="2:17" ht="15.75" x14ac:dyDescent="0.25">
      <c r="B31" s="48" t="s">
        <v>134</v>
      </c>
      <c r="C31" s="17"/>
      <c r="D31" s="154">
        <v>87350</v>
      </c>
      <c r="E31" s="188">
        <f t="shared" si="4"/>
        <v>3.57</v>
      </c>
      <c r="F31" s="156">
        <f t="shared" si="1"/>
        <v>311839.5</v>
      </c>
      <c r="G31" s="17"/>
      <c r="H31" s="154">
        <v>89212</v>
      </c>
      <c r="I31" s="188">
        <f t="shared" si="5"/>
        <v>0.8</v>
      </c>
      <c r="J31" s="157">
        <f t="shared" si="2"/>
        <v>71369.600000000006</v>
      </c>
      <c r="K31" s="17"/>
      <c r="L31" s="154">
        <v>89212</v>
      </c>
      <c r="M31" s="188">
        <f t="shared" si="6"/>
        <v>1.86</v>
      </c>
      <c r="N31" s="156">
        <f t="shared" si="3"/>
        <v>165934.32</v>
      </c>
      <c r="O31" s="17"/>
      <c r="P31" s="47">
        <f t="shared" si="0"/>
        <v>237303.92</v>
      </c>
      <c r="Q31" s="17"/>
    </row>
    <row r="32" spans="2:17" ht="15.75" x14ac:dyDescent="0.25">
      <c r="B32" s="48" t="s">
        <v>135</v>
      </c>
      <c r="C32" s="17"/>
      <c r="D32" s="154">
        <v>85175</v>
      </c>
      <c r="E32" s="188">
        <f t="shared" si="4"/>
        <v>3.57</v>
      </c>
      <c r="F32" s="156">
        <f t="shared" si="1"/>
        <v>304074.75</v>
      </c>
      <c r="G32" s="17"/>
      <c r="H32" s="154">
        <v>85584</v>
      </c>
      <c r="I32" s="188">
        <f t="shared" si="5"/>
        <v>0.8</v>
      </c>
      <c r="J32" s="157">
        <f t="shared" si="2"/>
        <v>68467.199999999997</v>
      </c>
      <c r="K32" s="17"/>
      <c r="L32" s="154">
        <v>85584</v>
      </c>
      <c r="M32" s="188">
        <f t="shared" si="6"/>
        <v>1.86</v>
      </c>
      <c r="N32" s="156">
        <f t="shared" si="3"/>
        <v>159186.24000000002</v>
      </c>
      <c r="O32" s="17"/>
      <c r="P32" s="47">
        <f t="shared" si="0"/>
        <v>227653.44</v>
      </c>
      <c r="Q32" s="17"/>
    </row>
    <row r="33" spans="2:17" ht="15.75" x14ac:dyDescent="0.25">
      <c r="B33" s="48" t="s">
        <v>136</v>
      </c>
      <c r="C33" s="17"/>
      <c r="D33" s="154">
        <v>76905</v>
      </c>
      <c r="E33" s="188">
        <f t="shared" si="4"/>
        <v>3.57</v>
      </c>
      <c r="F33" s="156">
        <f t="shared" si="1"/>
        <v>274550.84999999998</v>
      </c>
      <c r="G33" s="17"/>
      <c r="H33" s="154">
        <v>77910</v>
      </c>
      <c r="I33" s="188">
        <f t="shared" si="5"/>
        <v>0.8</v>
      </c>
      <c r="J33" s="157">
        <f t="shared" si="2"/>
        <v>62328</v>
      </c>
      <c r="K33" s="17"/>
      <c r="L33" s="154">
        <v>77910</v>
      </c>
      <c r="M33" s="188">
        <f t="shared" si="6"/>
        <v>1.86</v>
      </c>
      <c r="N33" s="156">
        <f t="shared" si="3"/>
        <v>144912.6</v>
      </c>
      <c r="O33" s="17"/>
      <c r="P33" s="47">
        <f t="shared" si="0"/>
        <v>207240.6</v>
      </c>
      <c r="Q33" s="17"/>
    </row>
    <row r="34" spans="2:17" ht="15.75" x14ac:dyDescent="0.25">
      <c r="B34" s="48" t="s">
        <v>137</v>
      </c>
      <c r="C34" s="17"/>
      <c r="D34" s="154">
        <v>79701</v>
      </c>
      <c r="E34" s="188">
        <f t="shared" si="4"/>
        <v>3.57</v>
      </c>
      <c r="F34" s="156">
        <f t="shared" si="1"/>
        <v>284532.57</v>
      </c>
      <c r="G34" s="17"/>
      <c r="H34" s="154">
        <v>80870</v>
      </c>
      <c r="I34" s="188">
        <f t="shared" si="5"/>
        <v>0.8</v>
      </c>
      <c r="J34" s="157">
        <f t="shared" si="2"/>
        <v>64696</v>
      </c>
      <c r="K34" s="17"/>
      <c r="L34" s="154">
        <v>80870</v>
      </c>
      <c r="M34" s="188">
        <f t="shared" si="6"/>
        <v>1.86</v>
      </c>
      <c r="N34" s="156">
        <f t="shared" si="3"/>
        <v>150418.20000000001</v>
      </c>
      <c r="O34" s="17"/>
      <c r="P34" s="47">
        <f t="shared" si="0"/>
        <v>215114.2</v>
      </c>
      <c r="Q34" s="17"/>
    </row>
    <row r="35" spans="2:17" ht="15.75" x14ac:dyDescent="0.25">
      <c r="B35" s="48" t="s">
        <v>138</v>
      </c>
      <c r="C35" s="17"/>
      <c r="D35" s="154">
        <v>80834</v>
      </c>
      <c r="E35" s="188">
        <f t="shared" si="4"/>
        <v>3.57</v>
      </c>
      <c r="F35" s="156">
        <f>D35*E35+18</f>
        <v>288595.38</v>
      </c>
      <c r="G35" s="17"/>
      <c r="H35" s="154">
        <v>81790</v>
      </c>
      <c r="I35" s="188">
        <f t="shared" si="5"/>
        <v>0.8</v>
      </c>
      <c r="J35" s="157">
        <f t="shared" si="2"/>
        <v>65432</v>
      </c>
      <c r="K35" s="17"/>
      <c r="L35" s="154">
        <v>81790</v>
      </c>
      <c r="M35" s="188">
        <f t="shared" si="6"/>
        <v>1.86</v>
      </c>
      <c r="N35" s="156">
        <f>L35*M35-438</f>
        <v>151691.4</v>
      </c>
      <c r="O35" s="17"/>
      <c r="P35" s="47">
        <f t="shared" si="0"/>
        <v>217123.4</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999545</v>
      </c>
      <c r="E37" s="51">
        <f>IF(D37&lt;&gt;0,F37/D37,0)</f>
        <v>3.5700180081937281</v>
      </c>
      <c r="F37" s="52">
        <f>SUM(F24:F35)</f>
        <v>3568393.65</v>
      </c>
      <c r="G37" s="17"/>
      <c r="H37" s="50">
        <f>SUM(H24:H35)</f>
        <v>1014404</v>
      </c>
      <c r="I37" s="51">
        <f>IF(H37&lt;&gt;0,J37/H37,0)</f>
        <v>0.79999999999999993</v>
      </c>
      <c r="J37" s="52">
        <f>SUM(J24:J35)</f>
        <v>811523.2</v>
      </c>
      <c r="K37" s="17"/>
      <c r="L37" s="50">
        <f>SUM(L24:L35)</f>
        <v>1014404</v>
      </c>
      <c r="M37" s="51">
        <f>IF(L37&lt;&gt;0,N37/L37,0)</f>
        <v>1.8595682193682204</v>
      </c>
      <c r="N37" s="52">
        <f>SUM(N24:N35)</f>
        <v>1886353.4400000002</v>
      </c>
      <c r="O37" s="17"/>
      <c r="P37" s="52">
        <f>SUM(P24:P35)</f>
        <v>2697876.64</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7" t="s">
        <v>227</v>
      </c>
      <c r="E39" s="207"/>
      <c r="F39" s="207"/>
      <c r="G39" s="140"/>
      <c r="H39" s="207" t="s">
        <v>230</v>
      </c>
      <c r="I39" s="207"/>
      <c r="J39" s="207"/>
      <c r="K39" s="140"/>
      <c r="L39" s="207" t="s">
        <v>229</v>
      </c>
      <c r="M39" s="207"/>
      <c r="N39" s="207"/>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v>9909</v>
      </c>
      <c r="E43" s="188">
        <f>'5. UTRs and Sub-Transmission'!E35</f>
        <v>2.65</v>
      </c>
      <c r="F43" s="156">
        <f>D43*E43</f>
        <v>26258.85</v>
      </c>
      <c r="G43" s="17"/>
      <c r="H43" s="154">
        <f>D43</f>
        <v>9909</v>
      </c>
      <c r="I43" s="188">
        <f>'5. UTRs and Sub-Transmission'!E37</f>
        <v>0.64</v>
      </c>
      <c r="J43" s="157">
        <f>H43*I43</f>
        <v>6341.76</v>
      </c>
      <c r="K43" s="17"/>
      <c r="L43" s="154">
        <v>8379</v>
      </c>
      <c r="M43" s="188">
        <f>'5. UTRs and Sub-Transmission'!E39</f>
        <v>1.5</v>
      </c>
      <c r="N43" s="156">
        <f>L43*M43</f>
        <v>12568.5</v>
      </c>
      <c r="O43" s="17"/>
      <c r="P43" s="47">
        <f t="shared" ref="P43:P54" si="7">J43+N43</f>
        <v>18910.260000000002</v>
      </c>
      <c r="Q43" s="17"/>
    </row>
    <row r="44" spans="2:17" ht="15.75" x14ac:dyDescent="0.25">
      <c r="B44" s="48" t="s">
        <v>128</v>
      </c>
      <c r="C44" s="17"/>
      <c r="D44" s="154">
        <v>9695</v>
      </c>
      <c r="E44" s="188">
        <f>E43</f>
        <v>2.65</v>
      </c>
      <c r="F44" s="156">
        <f t="shared" ref="F44:F54" si="8">D44*E44</f>
        <v>25691.75</v>
      </c>
      <c r="G44" s="17"/>
      <c r="H44" s="154">
        <v>9740</v>
      </c>
      <c r="I44" s="188">
        <f>I43</f>
        <v>0.64</v>
      </c>
      <c r="J44" s="157">
        <f t="shared" ref="J44:J54" si="9">H44*I44</f>
        <v>6233.6</v>
      </c>
      <c r="K44" s="17"/>
      <c r="L44" s="154">
        <v>8330</v>
      </c>
      <c r="M44" s="188">
        <f>M43</f>
        <v>1.5</v>
      </c>
      <c r="N44" s="156">
        <f t="shared" ref="N44:N54" si="10">L44*M44</f>
        <v>12495</v>
      </c>
      <c r="O44" s="17"/>
      <c r="P44" s="47">
        <f t="shared" si="7"/>
        <v>18728.599999999999</v>
      </c>
      <c r="Q44" s="17"/>
    </row>
    <row r="45" spans="2:17" ht="15.75" x14ac:dyDescent="0.25">
      <c r="B45" s="48" t="s">
        <v>129</v>
      </c>
      <c r="C45" s="17"/>
      <c r="D45" s="154">
        <v>9559</v>
      </c>
      <c r="E45" s="188">
        <f t="shared" ref="E45:E54" si="11">E44</f>
        <v>2.65</v>
      </c>
      <c r="F45" s="156">
        <f t="shared" si="8"/>
        <v>25331.35</v>
      </c>
      <c r="G45" s="17"/>
      <c r="H45" s="154">
        <v>9563</v>
      </c>
      <c r="I45" s="188">
        <f t="shared" ref="I45:I54" si="12">I44</f>
        <v>0.64</v>
      </c>
      <c r="J45" s="157">
        <f t="shared" si="9"/>
        <v>6120.32</v>
      </c>
      <c r="K45" s="17"/>
      <c r="L45" s="154">
        <v>8230</v>
      </c>
      <c r="M45" s="188">
        <f t="shared" ref="M45:M54" si="13">M44</f>
        <v>1.5</v>
      </c>
      <c r="N45" s="156">
        <f t="shared" si="10"/>
        <v>12345</v>
      </c>
      <c r="O45" s="17"/>
      <c r="P45" s="47">
        <f t="shared" si="7"/>
        <v>18465.32</v>
      </c>
      <c r="Q45" s="17"/>
    </row>
    <row r="46" spans="2:17" ht="15.75" x14ac:dyDescent="0.25">
      <c r="B46" s="48" t="s">
        <v>130</v>
      </c>
      <c r="C46" s="17"/>
      <c r="D46" s="154">
        <v>8695</v>
      </c>
      <c r="E46" s="188">
        <f t="shared" si="11"/>
        <v>2.65</v>
      </c>
      <c r="F46" s="156">
        <f t="shared" si="8"/>
        <v>23041.75</v>
      </c>
      <c r="G46" s="17"/>
      <c r="H46" s="154">
        <v>8699</v>
      </c>
      <c r="I46" s="188">
        <f t="shared" si="12"/>
        <v>0.64</v>
      </c>
      <c r="J46" s="157">
        <f t="shared" si="9"/>
        <v>5567.36</v>
      </c>
      <c r="K46" s="17"/>
      <c r="L46" s="154">
        <v>7567</v>
      </c>
      <c r="M46" s="188">
        <f t="shared" si="13"/>
        <v>1.5</v>
      </c>
      <c r="N46" s="156">
        <f t="shared" si="10"/>
        <v>11350.5</v>
      </c>
      <c r="O46" s="17"/>
      <c r="P46" s="47">
        <f t="shared" si="7"/>
        <v>16917.86</v>
      </c>
      <c r="Q46" s="17"/>
    </row>
    <row r="47" spans="2:17" ht="15.75" x14ac:dyDescent="0.25">
      <c r="B47" s="48" t="s">
        <v>131</v>
      </c>
      <c r="C47" s="17"/>
      <c r="D47" s="154">
        <v>8320</v>
      </c>
      <c r="E47" s="188">
        <f t="shared" si="11"/>
        <v>2.65</v>
      </c>
      <c r="F47" s="156">
        <f t="shared" si="8"/>
        <v>22048</v>
      </c>
      <c r="G47" s="17"/>
      <c r="H47" s="154">
        <f t="shared" ref="H47:H49" si="14">D47</f>
        <v>8320</v>
      </c>
      <c r="I47" s="188">
        <f t="shared" si="12"/>
        <v>0.64</v>
      </c>
      <c r="J47" s="157">
        <f t="shared" si="9"/>
        <v>5324.8</v>
      </c>
      <c r="K47" s="17"/>
      <c r="L47" s="154">
        <v>6995</v>
      </c>
      <c r="M47" s="188">
        <f t="shared" si="13"/>
        <v>1.5</v>
      </c>
      <c r="N47" s="156">
        <f t="shared" si="10"/>
        <v>10492.5</v>
      </c>
      <c r="O47" s="17"/>
      <c r="P47" s="47">
        <f t="shared" si="7"/>
        <v>15817.3</v>
      </c>
      <c r="Q47" s="17"/>
    </row>
    <row r="48" spans="2:17" ht="15.75" x14ac:dyDescent="0.25">
      <c r="B48" s="48" t="s">
        <v>132</v>
      </c>
      <c r="C48" s="17"/>
      <c r="D48" s="154">
        <v>9343</v>
      </c>
      <c r="E48" s="188">
        <f t="shared" si="11"/>
        <v>2.65</v>
      </c>
      <c r="F48" s="156">
        <f t="shared" si="8"/>
        <v>24758.95</v>
      </c>
      <c r="G48" s="17"/>
      <c r="H48" s="154">
        <f t="shared" si="14"/>
        <v>9343</v>
      </c>
      <c r="I48" s="188">
        <f t="shared" si="12"/>
        <v>0.64</v>
      </c>
      <c r="J48" s="157">
        <f t="shared" si="9"/>
        <v>5979.52</v>
      </c>
      <c r="K48" s="17"/>
      <c r="L48" s="154">
        <v>7777</v>
      </c>
      <c r="M48" s="188">
        <f t="shared" si="13"/>
        <v>1.5</v>
      </c>
      <c r="N48" s="156">
        <f t="shared" si="10"/>
        <v>11665.5</v>
      </c>
      <c r="O48" s="17"/>
      <c r="P48" s="47">
        <f t="shared" si="7"/>
        <v>17645.02</v>
      </c>
      <c r="Q48" s="17"/>
    </row>
    <row r="49" spans="2:17" ht="15.75" x14ac:dyDescent="0.25">
      <c r="B49" s="48" t="s">
        <v>133</v>
      </c>
      <c r="C49" s="17"/>
      <c r="D49" s="154">
        <v>9977</v>
      </c>
      <c r="E49" s="188">
        <f t="shared" si="11"/>
        <v>2.65</v>
      </c>
      <c r="F49" s="156">
        <f t="shared" si="8"/>
        <v>26439.05</v>
      </c>
      <c r="G49" s="17"/>
      <c r="H49" s="154">
        <f t="shared" si="14"/>
        <v>9977</v>
      </c>
      <c r="I49" s="188">
        <f t="shared" si="12"/>
        <v>0.64</v>
      </c>
      <c r="J49" s="157">
        <f t="shared" si="9"/>
        <v>6385.28</v>
      </c>
      <c r="K49" s="17"/>
      <c r="L49" s="154">
        <v>8298</v>
      </c>
      <c r="M49" s="188">
        <f t="shared" si="13"/>
        <v>1.5</v>
      </c>
      <c r="N49" s="156">
        <f t="shared" si="10"/>
        <v>12447</v>
      </c>
      <c r="O49" s="17"/>
      <c r="P49" s="47">
        <f t="shared" si="7"/>
        <v>18832.28</v>
      </c>
      <c r="Q49" s="17"/>
    </row>
    <row r="50" spans="2:17" ht="15.75" x14ac:dyDescent="0.25">
      <c r="B50" s="48" t="s">
        <v>134</v>
      </c>
      <c r="C50" s="17"/>
      <c r="D50" s="154">
        <v>8747</v>
      </c>
      <c r="E50" s="188">
        <f t="shared" si="11"/>
        <v>2.65</v>
      </c>
      <c r="F50" s="156">
        <f t="shared" si="8"/>
        <v>23179.55</v>
      </c>
      <c r="G50" s="17"/>
      <c r="H50" s="154">
        <v>8768</v>
      </c>
      <c r="I50" s="188">
        <f t="shared" si="12"/>
        <v>0.64</v>
      </c>
      <c r="J50" s="157">
        <f t="shared" si="9"/>
        <v>5611.52</v>
      </c>
      <c r="K50" s="17"/>
      <c r="L50" s="154">
        <v>7274</v>
      </c>
      <c r="M50" s="188">
        <f t="shared" si="13"/>
        <v>1.5</v>
      </c>
      <c r="N50" s="156">
        <f t="shared" si="10"/>
        <v>10911</v>
      </c>
      <c r="O50" s="17"/>
      <c r="P50" s="47">
        <f t="shared" si="7"/>
        <v>16522.52</v>
      </c>
      <c r="Q50" s="17"/>
    </row>
    <row r="51" spans="2:17" ht="15.75" x14ac:dyDescent="0.25">
      <c r="B51" s="48" t="s">
        <v>135</v>
      </c>
      <c r="C51" s="17"/>
      <c r="D51" s="154">
        <v>8413</v>
      </c>
      <c r="E51" s="188">
        <f t="shared" si="11"/>
        <v>2.65</v>
      </c>
      <c r="F51" s="156">
        <f t="shared" si="8"/>
        <v>22294.45</v>
      </c>
      <c r="G51" s="17"/>
      <c r="H51" s="154">
        <v>8672</v>
      </c>
      <c r="I51" s="188">
        <f t="shared" si="12"/>
        <v>0.64</v>
      </c>
      <c r="J51" s="157">
        <f t="shared" si="9"/>
        <v>5550.08</v>
      </c>
      <c r="K51" s="17"/>
      <c r="L51" s="154">
        <v>7184</v>
      </c>
      <c r="M51" s="188">
        <f t="shared" si="13"/>
        <v>1.5</v>
      </c>
      <c r="N51" s="156">
        <f t="shared" si="10"/>
        <v>10776</v>
      </c>
      <c r="O51" s="17"/>
      <c r="P51" s="47">
        <f t="shared" si="7"/>
        <v>16326.08</v>
      </c>
      <c r="Q51" s="17"/>
    </row>
    <row r="52" spans="2:17" ht="15.75" x14ac:dyDescent="0.25">
      <c r="B52" s="48" t="s">
        <v>136</v>
      </c>
      <c r="C52" s="17"/>
      <c r="D52" s="154">
        <v>9566</v>
      </c>
      <c r="E52" s="188">
        <f t="shared" si="11"/>
        <v>2.65</v>
      </c>
      <c r="F52" s="156">
        <f t="shared" si="8"/>
        <v>25349.899999999998</v>
      </c>
      <c r="G52" s="17"/>
      <c r="H52" s="154">
        <v>9677</v>
      </c>
      <c r="I52" s="188">
        <f t="shared" si="12"/>
        <v>0.64</v>
      </c>
      <c r="J52" s="157">
        <f t="shared" si="9"/>
        <v>6193.28</v>
      </c>
      <c r="K52" s="17"/>
      <c r="L52" s="154">
        <v>8380</v>
      </c>
      <c r="M52" s="188">
        <f t="shared" si="13"/>
        <v>1.5</v>
      </c>
      <c r="N52" s="156">
        <f t="shared" si="10"/>
        <v>12570</v>
      </c>
      <c r="O52" s="17"/>
      <c r="P52" s="47">
        <f t="shared" si="7"/>
        <v>18763.28</v>
      </c>
      <c r="Q52" s="17"/>
    </row>
    <row r="53" spans="2:17" ht="15.75" x14ac:dyDescent="0.25">
      <c r="B53" s="48" t="s">
        <v>137</v>
      </c>
      <c r="C53" s="17"/>
      <c r="D53" s="154">
        <v>9848</v>
      </c>
      <c r="E53" s="188">
        <f t="shared" si="11"/>
        <v>2.65</v>
      </c>
      <c r="F53" s="156">
        <f t="shared" si="8"/>
        <v>26097.200000000001</v>
      </c>
      <c r="G53" s="17"/>
      <c r="H53" s="154">
        <v>9872</v>
      </c>
      <c r="I53" s="188">
        <f t="shared" si="12"/>
        <v>0.64</v>
      </c>
      <c r="J53" s="157">
        <f t="shared" si="9"/>
        <v>6318.08</v>
      </c>
      <c r="K53" s="17"/>
      <c r="L53" s="154">
        <v>8418</v>
      </c>
      <c r="M53" s="188">
        <f t="shared" si="13"/>
        <v>1.5</v>
      </c>
      <c r="N53" s="156">
        <f t="shared" si="10"/>
        <v>12627</v>
      </c>
      <c r="O53" s="17"/>
      <c r="P53" s="47">
        <f t="shared" si="7"/>
        <v>18945.080000000002</v>
      </c>
      <c r="Q53" s="17"/>
    </row>
    <row r="54" spans="2:17" ht="15.75" x14ac:dyDescent="0.25">
      <c r="B54" s="48" t="s">
        <v>138</v>
      </c>
      <c r="C54" s="17"/>
      <c r="D54" s="154">
        <f>9749+231</f>
        <v>9980</v>
      </c>
      <c r="E54" s="188">
        <f t="shared" si="11"/>
        <v>2.65</v>
      </c>
      <c r="F54" s="156">
        <f t="shared" si="8"/>
        <v>26447</v>
      </c>
      <c r="G54" s="17"/>
      <c r="H54" s="154">
        <f>9767+462</f>
        <v>10229</v>
      </c>
      <c r="I54" s="188">
        <f t="shared" si="12"/>
        <v>0.64</v>
      </c>
      <c r="J54" s="157">
        <f t="shared" si="9"/>
        <v>6546.56</v>
      </c>
      <c r="K54" s="17"/>
      <c r="L54" s="154">
        <f>8244+231</f>
        <v>8475</v>
      </c>
      <c r="M54" s="188">
        <f t="shared" si="13"/>
        <v>1.5</v>
      </c>
      <c r="N54" s="156">
        <f t="shared" si="10"/>
        <v>12712.5</v>
      </c>
      <c r="O54" s="17"/>
      <c r="P54" s="47">
        <f t="shared" si="7"/>
        <v>19259.060000000001</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112052</v>
      </c>
      <c r="E56" s="51">
        <f>IF(D56&lt;&gt;0,F56/D56,0)</f>
        <v>2.65</v>
      </c>
      <c r="F56" s="52">
        <f>SUM(F43:F54)</f>
        <v>296937.8</v>
      </c>
      <c r="G56" s="17"/>
      <c r="H56" s="50">
        <f>SUM(H43:H54)</f>
        <v>112769</v>
      </c>
      <c r="I56" s="51">
        <f>IF(H56&lt;&gt;0,J56/H56,0)</f>
        <v>0.64</v>
      </c>
      <c r="J56" s="52">
        <f>SUM(J43:J54)</f>
        <v>72172.160000000003</v>
      </c>
      <c r="K56" s="17"/>
      <c r="L56" s="50">
        <f>SUM(L43:L54)</f>
        <v>95307</v>
      </c>
      <c r="M56" s="51">
        <f>IF(L56&lt;&gt;0,N56/L56,0)</f>
        <v>1.5</v>
      </c>
      <c r="N56" s="52">
        <f>SUM(N43:N54)</f>
        <v>142960.5</v>
      </c>
      <c r="O56" s="17"/>
      <c r="P56" s="52">
        <f>SUM(P43:P54)</f>
        <v>215132.65999999997</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252</v>
      </c>
      <c r="C58" s="140"/>
      <c r="D58" s="207" t="s">
        <v>227</v>
      </c>
      <c r="E58" s="207"/>
      <c r="F58" s="207"/>
      <c r="G58" s="140"/>
      <c r="H58" s="207" t="s">
        <v>230</v>
      </c>
      <c r="I58" s="207"/>
      <c r="J58" s="207"/>
      <c r="K58" s="140"/>
      <c r="L58" s="207" t="s">
        <v>229</v>
      </c>
      <c r="M58" s="207"/>
      <c r="N58" s="207"/>
      <c r="O58" s="140"/>
      <c r="P58" s="163" t="s">
        <v>228</v>
      </c>
      <c r="Q58" s="17"/>
    </row>
    <row r="59" spans="2:17" ht="16.5" x14ac:dyDescent="0.3">
      <c r="B59" s="167"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5">IF(D62&lt;&gt;0,F62/D62,0)</f>
        <v>0</v>
      </c>
      <c r="F62" s="156"/>
      <c r="G62" s="17"/>
      <c r="H62" s="154"/>
      <c r="I62" s="155">
        <f t="shared" ref="I62:I73" si="16">IF(H62&lt;&gt;0,J62/H62,0)</f>
        <v>0</v>
      </c>
      <c r="J62" s="157"/>
      <c r="K62" s="17"/>
      <c r="L62" s="154"/>
      <c r="M62" s="155">
        <f t="shared" ref="M62:M73" si="17">IF(L62&lt;&gt;0,N62/L62,0)</f>
        <v>0</v>
      </c>
      <c r="N62" s="156"/>
      <c r="O62" s="17"/>
      <c r="P62" s="47">
        <f t="shared" ref="P62:P73" si="18">J62+N62</f>
        <v>0</v>
      </c>
      <c r="Q62" s="17"/>
    </row>
    <row r="63" spans="2:17" ht="15.75" x14ac:dyDescent="0.25">
      <c r="B63" s="48" t="s">
        <v>128</v>
      </c>
      <c r="C63" s="17"/>
      <c r="D63" s="154"/>
      <c r="E63" s="155">
        <f t="shared" si="15"/>
        <v>0</v>
      </c>
      <c r="F63" s="156"/>
      <c r="G63" s="17"/>
      <c r="H63" s="154"/>
      <c r="I63" s="155">
        <f t="shared" si="16"/>
        <v>0</v>
      </c>
      <c r="J63" s="157"/>
      <c r="K63" s="17"/>
      <c r="L63" s="154"/>
      <c r="M63" s="155">
        <f t="shared" si="17"/>
        <v>0</v>
      </c>
      <c r="N63" s="156"/>
      <c r="O63" s="17"/>
      <c r="P63" s="47">
        <f t="shared" si="18"/>
        <v>0</v>
      </c>
      <c r="Q63" s="17"/>
    </row>
    <row r="64" spans="2:17" ht="15.75" x14ac:dyDescent="0.25">
      <c r="B64" s="48" t="s">
        <v>129</v>
      </c>
      <c r="C64" s="17"/>
      <c r="D64" s="154"/>
      <c r="E64" s="155">
        <f t="shared" si="15"/>
        <v>0</v>
      </c>
      <c r="F64" s="156"/>
      <c r="G64" s="17"/>
      <c r="H64" s="154"/>
      <c r="I64" s="155">
        <f t="shared" si="16"/>
        <v>0</v>
      </c>
      <c r="J64" s="157"/>
      <c r="K64" s="17"/>
      <c r="L64" s="154"/>
      <c r="M64" s="155">
        <f t="shared" si="17"/>
        <v>0</v>
      </c>
      <c r="N64" s="156"/>
      <c r="O64" s="17"/>
      <c r="P64" s="47">
        <f t="shared" si="18"/>
        <v>0</v>
      </c>
      <c r="Q64" s="17"/>
    </row>
    <row r="65" spans="2:17" ht="15.75" x14ac:dyDescent="0.25">
      <c r="B65" s="48" t="s">
        <v>130</v>
      </c>
      <c r="C65" s="17"/>
      <c r="D65" s="154"/>
      <c r="E65" s="155">
        <f t="shared" si="15"/>
        <v>0</v>
      </c>
      <c r="F65" s="156"/>
      <c r="G65" s="17"/>
      <c r="H65" s="154"/>
      <c r="I65" s="155">
        <f t="shared" si="16"/>
        <v>0</v>
      </c>
      <c r="J65" s="157"/>
      <c r="K65" s="17"/>
      <c r="L65" s="154"/>
      <c r="M65" s="155">
        <f t="shared" si="17"/>
        <v>0</v>
      </c>
      <c r="N65" s="156"/>
      <c r="O65" s="17"/>
      <c r="P65" s="47">
        <f t="shared" si="18"/>
        <v>0</v>
      </c>
      <c r="Q65" s="17"/>
    </row>
    <row r="66" spans="2:17" ht="15.75" x14ac:dyDescent="0.25">
      <c r="B66" s="48" t="s">
        <v>131</v>
      </c>
      <c r="C66" s="17"/>
      <c r="D66" s="154"/>
      <c r="E66" s="155">
        <f t="shared" si="15"/>
        <v>0</v>
      </c>
      <c r="F66" s="156"/>
      <c r="G66" s="17"/>
      <c r="H66" s="154"/>
      <c r="I66" s="155">
        <f t="shared" si="16"/>
        <v>0</v>
      </c>
      <c r="J66" s="157"/>
      <c r="K66" s="17"/>
      <c r="L66" s="154"/>
      <c r="M66" s="155">
        <f t="shared" si="17"/>
        <v>0</v>
      </c>
      <c r="N66" s="156"/>
      <c r="O66" s="17"/>
      <c r="P66" s="47">
        <f t="shared" si="18"/>
        <v>0</v>
      </c>
      <c r="Q66" s="17"/>
    </row>
    <row r="67" spans="2:17" ht="15.75" x14ac:dyDescent="0.25">
      <c r="B67" s="48" t="s">
        <v>132</v>
      </c>
      <c r="C67" s="17"/>
      <c r="D67" s="154"/>
      <c r="E67" s="155">
        <f t="shared" si="15"/>
        <v>0</v>
      </c>
      <c r="F67" s="156"/>
      <c r="G67" s="17"/>
      <c r="H67" s="154"/>
      <c r="I67" s="155">
        <f t="shared" si="16"/>
        <v>0</v>
      </c>
      <c r="J67" s="157"/>
      <c r="K67" s="17"/>
      <c r="L67" s="154"/>
      <c r="M67" s="155">
        <f t="shared" si="17"/>
        <v>0</v>
      </c>
      <c r="N67" s="156"/>
      <c r="O67" s="17"/>
      <c r="P67" s="47">
        <f t="shared" si="18"/>
        <v>0</v>
      </c>
      <c r="Q67" s="17"/>
    </row>
    <row r="68" spans="2:17" ht="15.75" x14ac:dyDescent="0.25">
      <c r="B68" s="48" t="s">
        <v>133</v>
      </c>
      <c r="C68" s="17"/>
      <c r="D68" s="154"/>
      <c r="E68" s="155">
        <f t="shared" si="15"/>
        <v>0</v>
      </c>
      <c r="F68" s="156"/>
      <c r="G68" s="17"/>
      <c r="H68" s="154"/>
      <c r="I68" s="155">
        <f t="shared" si="16"/>
        <v>0</v>
      </c>
      <c r="J68" s="157"/>
      <c r="K68" s="17"/>
      <c r="L68" s="154"/>
      <c r="M68" s="155">
        <f t="shared" si="17"/>
        <v>0</v>
      </c>
      <c r="N68" s="156"/>
      <c r="O68" s="17"/>
      <c r="P68" s="47">
        <f t="shared" si="18"/>
        <v>0</v>
      </c>
      <c r="Q68" s="17"/>
    </row>
    <row r="69" spans="2:17" ht="15.75" x14ac:dyDescent="0.25">
      <c r="B69" s="48" t="s">
        <v>134</v>
      </c>
      <c r="C69" s="17"/>
      <c r="D69" s="154"/>
      <c r="E69" s="155">
        <f t="shared" si="15"/>
        <v>0</v>
      </c>
      <c r="F69" s="156"/>
      <c r="G69" s="17"/>
      <c r="H69" s="154"/>
      <c r="I69" s="155">
        <f t="shared" si="16"/>
        <v>0</v>
      </c>
      <c r="J69" s="157"/>
      <c r="K69" s="17"/>
      <c r="L69" s="154"/>
      <c r="M69" s="155">
        <f t="shared" si="17"/>
        <v>0</v>
      </c>
      <c r="N69" s="156"/>
      <c r="O69" s="17"/>
      <c r="P69" s="47">
        <f t="shared" si="18"/>
        <v>0</v>
      </c>
      <c r="Q69" s="17"/>
    </row>
    <row r="70" spans="2:17" ht="15.75" x14ac:dyDescent="0.25">
      <c r="B70" s="48" t="s">
        <v>135</v>
      </c>
      <c r="C70" s="17"/>
      <c r="D70" s="154"/>
      <c r="E70" s="155">
        <f t="shared" si="15"/>
        <v>0</v>
      </c>
      <c r="F70" s="156"/>
      <c r="G70" s="17"/>
      <c r="H70" s="154"/>
      <c r="I70" s="155">
        <f t="shared" si="16"/>
        <v>0</v>
      </c>
      <c r="J70" s="157"/>
      <c r="K70" s="17"/>
      <c r="L70" s="154"/>
      <c r="M70" s="155">
        <f t="shared" si="17"/>
        <v>0</v>
      </c>
      <c r="N70" s="156"/>
      <c r="O70" s="17"/>
      <c r="P70" s="47">
        <f t="shared" si="18"/>
        <v>0</v>
      </c>
      <c r="Q70" s="17"/>
    </row>
    <row r="71" spans="2:17" ht="15.75" x14ac:dyDescent="0.25">
      <c r="B71" s="48" t="s">
        <v>136</v>
      </c>
      <c r="C71" s="17"/>
      <c r="D71" s="154"/>
      <c r="E71" s="155">
        <f t="shared" si="15"/>
        <v>0</v>
      </c>
      <c r="F71" s="156"/>
      <c r="G71" s="17"/>
      <c r="H71" s="154"/>
      <c r="I71" s="155">
        <f t="shared" si="16"/>
        <v>0</v>
      </c>
      <c r="J71" s="157"/>
      <c r="K71" s="17"/>
      <c r="L71" s="154"/>
      <c r="M71" s="155">
        <f t="shared" si="17"/>
        <v>0</v>
      </c>
      <c r="N71" s="156"/>
      <c r="O71" s="17"/>
      <c r="P71" s="47">
        <f t="shared" si="18"/>
        <v>0</v>
      </c>
      <c r="Q71" s="17"/>
    </row>
    <row r="72" spans="2:17" ht="15.75" x14ac:dyDescent="0.25">
      <c r="B72" s="48" t="s">
        <v>137</v>
      </c>
      <c r="C72" s="17"/>
      <c r="D72" s="154"/>
      <c r="E72" s="155">
        <f t="shared" si="15"/>
        <v>0</v>
      </c>
      <c r="F72" s="156"/>
      <c r="G72" s="17"/>
      <c r="H72" s="154"/>
      <c r="I72" s="155">
        <f t="shared" si="16"/>
        <v>0</v>
      </c>
      <c r="J72" s="157"/>
      <c r="K72" s="17"/>
      <c r="L72" s="154"/>
      <c r="M72" s="155">
        <f t="shared" si="17"/>
        <v>0</v>
      </c>
      <c r="N72" s="156"/>
      <c r="O72" s="17"/>
      <c r="P72" s="47">
        <f t="shared" si="18"/>
        <v>0</v>
      </c>
      <c r="Q72" s="17"/>
    </row>
    <row r="73" spans="2:17" ht="15.75" x14ac:dyDescent="0.25">
      <c r="B73" s="48" t="s">
        <v>138</v>
      </c>
      <c r="C73" s="17"/>
      <c r="D73" s="154"/>
      <c r="E73" s="155">
        <f t="shared" si="15"/>
        <v>0</v>
      </c>
      <c r="F73" s="156"/>
      <c r="G73" s="17"/>
      <c r="H73" s="154"/>
      <c r="I73" s="155">
        <f t="shared" si="16"/>
        <v>0</v>
      </c>
      <c r="J73" s="157"/>
      <c r="K73" s="17"/>
      <c r="L73" s="154"/>
      <c r="M73" s="155">
        <f t="shared" si="17"/>
        <v>0</v>
      </c>
      <c r="N73" s="156"/>
      <c r="O73" s="17"/>
      <c r="P73" s="47">
        <f t="shared" si="18"/>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253</v>
      </c>
      <c r="C77" s="140"/>
      <c r="D77" s="207" t="s">
        <v>227</v>
      </c>
      <c r="E77" s="207"/>
      <c r="F77" s="207"/>
      <c r="G77" s="140"/>
      <c r="H77" s="207" t="s">
        <v>230</v>
      </c>
      <c r="I77" s="207"/>
      <c r="J77" s="207"/>
      <c r="K77" s="140"/>
      <c r="L77" s="207" t="s">
        <v>229</v>
      </c>
      <c r="M77" s="207"/>
      <c r="N77" s="207"/>
      <c r="O77" s="140"/>
      <c r="P77" s="163" t="s">
        <v>228</v>
      </c>
      <c r="Q77" s="17"/>
    </row>
    <row r="78" spans="2:17" ht="16.5" x14ac:dyDescent="0.3">
      <c r="B78" s="167"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9">IF(D81&lt;&gt;0,F81/D81,0)</f>
        <v>0</v>
      </c>
      <c r="F81" s="156"/>
      <c r="G81" s="17"/>
      <c r="H81" s="154"/>
      <c r="I81" s="155">
        <f t="shared" ref="I81:I92" si="20">IF(H81&lt;&gt;0,J81/H81,0)</f>
        <v>0</v>
      </c>
      <c r="J81" s="157"/>
      <c r="K81" s="17"/>
      <c r="L81" s="154"/>
      <c r="M81" s="155">
        <f t="shared" ref="M81:M92" si="21">IF(L81&lt;&gt;0,N81/L81,0)</f>
        <v>0</v>
      </c>
      <c r="N81" s="156"/>
      <c r="O81" s="17"/>
      <c r="P81" s="47">
        <f t="shared" ref="P81:P92" si="22">J81+N81</f>
        <v>0</v>
      </c>
      <c r="Q81" s="17"/>
    </row>
    <row r="82" spans="2:17" ht="15.75" x14ac:dyDescent="0.25">
      <c r="B82" s="48" t="s">
        <v>128</v>
      </c>
      <c r="C82" s="17"/>
      <c r="D82" s="154"/>
      <c r="E82" s="155">
        <f t="shared" si="19"/>
        <v>0</v>
      </c>
      <c r="F82" s="156"/>
      <c r="G82" s="17"/>
      <c r="H82" s="154"/>
      <c r="I82" s="155">
        <f t="shared" si="20"/>
        <v>0</v>
      </c>
      <c r="J82" s="157"/>
      <c r="K82" s="17"/>
      <c r="L82" s="154"/>
      <c r="M82" s="155">
        <f t="shared" si="21"/>
        <v>0</v>
      </c>
      <c r="N82" s="156"/>
      <c r="O82" s="17"/>
      <c r="P82" s="47">
        <f t="shared" si="22"/>
        <v>0</v>
      </c>
      <c r="Q82" s="17"/>
    </row>
    <row r="83" spans="2:17" ht="15.75" x14ac:dyDescent="0.25">
      <c r="B83" s="48" t="s">
        <v>129</v>
      </c>
      <c r="C83" s="17"/>
      <c r="D83" s="154"/>
      <c r="E83" s="155">
        <f t="shared" si="19"/>
        <v>0</v>
      </c>
      <c r="F83" s="156"/>
      <c r="G83" s="17"/>
      <c r="H83" s="154"/>
      <c r="I83" s="155">
        <f t="shared" si="20"/>
        <v>0</v>
      </c>
      <c r="J83" s="157"/>
      <c r="K83" s="17"/>
      <c r="L83" s="154"/>
      <c r="M83" s="155">
        <f t="shared" si="21"/>
        <v>0</v>
      </c>
      <c r="N83" s="156"/>
      <c r="O83" s="17"/>
      <c r="P83" s="47">
        <f t="shared" si="22"/>
        <v>0</v>
      </c>
      <c r="Q83" s="17"/>
    </row>
    <row r="84" spans="2:17" ht="15.75" x14ac:dyDescent="0.25">
      <c r="B84" s="48" t="s">
        <v>130</v>
      </c>
      <c r="C84" s="17"/>
      <c r="D84" s="154"/>
      <c r="E84" s="155">
        <f t="shared" si="19"/>
        <v>0</v>
      </c>
      <c r="F84" s="156"/>
      <c r="G84" s="17"/>
      <c r="H84" s="154"/>
      <c r="I84" s="155">
        <f t="shared" si="20"/>
        <v>0</v>
      </c>
      <c r="J84" s="157"/>
      <c r="K84" s="17"/>
      <c r="L84" s="154"/>
      <c r="M84" s="155">
        <f t="shared" si="21"/>
        <v>0</v>
      </c>
      <c r="N84" s="156"/>
      <c r="O84" s="17"/>
      <c r="P84" s="47">
        <f t="shared" si="22"/>
        <v>0</v>
      </c>
      <c r="Q84" s="17"/>
    </row>
    <row r="85" spans="2:17" ht="15.75" x14ac:dyDescent="0.25">
      <c r="B85" s="48" t="s">
        <v>131</v>
      </c>
      <c r="C85" s="17"/>
      <c r="D85" s="154"/>
      <c r="E85" s="155">
        <f t="shared" si="19"/>
        <v>0</v>
      </c>
      <c r="F85" s="156"/>
      <c r="G85" s="17"/>
      <c r="H85" s="154"/>
      <c r="I85" s="155">
        <f t="shared" si="20"/>
        <v>0</v>
      </c>
      <c r="J85" s="157"/>
      <c r="K85" s="17"/>
      <c r="L85" s="154"/>
      <c r="M85" s="155">
        <f t="shared" si="21"/>
        <v>0</v>
      </c>
      <c r="N85" s="156"/>
      <c r="O85" s="17"/>
      <c r="P85" s="47">
        <f t="shared" si="22"/>
        <v>0</v>
      </c>
      <c r="Q85" s="17"/>
    </row>
    <row r="86" spans="2:17" ht="15.75" x14ac:dyDescent="0.25">
      <c r="B86" s="48" t="s">
        <v>132</v>
      </c>
      <c r="C86" s="17"/>
      <c r="D86" s="154"/>
      <c r="E86" s="155">
        <f t="shared" si="19"/>
        <v>0</v>
      </c>
      <c r="F86" s="156"/>
      <c r="G86" s="17"/>
      <c r="H86" s="154"/>
      <c r="I86" s="155">
        <f t="shared" si="20"/>
        <v>0</v>
      </c>
      <c r="J86" s="157"/>
      <c r="K86" s="17"/>
      <c r="L86" s="154"/>
      <c r="M86" s="155">
        <f t="shared" si="21"/>
        <v>0</v>
      </c>
      <c r="N86" s="156"/>
      <c r="O86" s="17"/>
      <c r="P86" s="47">
        <f t="shared" si="22"/>
        <v>0</v>
      </c>
      <c r="Q86" s="17"/>
    </row>
    <row r="87" spans="2:17" ht="15.75" x14ac:dyDescent="0.25">
      <c r="B87" s="48" t="s">
        <v>133</v>
      </c>
      <c r="C87" s="17"/>
      <c r="D87" s="154"/>
      <c r="E87" s="155">
        <f t="shared" si="19"/>
        <v>0</v>
      </c>
      <c r="F87" s="156"/>
      <c r="G87" s="17"/>
      <c r="H87" s="154"/>
      <c r="I87" s="155">
        <f t="shared" si="20"/>
        <v>0</v>
      </c>
      <c r="J87" s="157"/>
      <c r="K87" s="17"/>
      <c r="L87" s="154"/>
      <c r="M87" s="155">
        <f t="shared" si="21"/>
        <v>0</v>
      </c>
      <c r="N87" s="156"/>
      <c r="O87" s="17"/>
      <c r="P87" s="47">
        <f t="shared" si="22"/>
        <v>0</v>
      </c>
      <c r="Q87" s="17"/>
    </row>
    <row r="88" spans="2:17" ht="15.75" x14ac:dyDescent="0.25">
      <c r="B88" s="48" t="s">
        <v>134</v>
      </c>
      <c r="C88" s="17"/>
      <c r="D88" s="154"/>
      <c r="E88" s="155">
        <f t="shared" si="19"/>
        <v>0</v>
      </c>
      <c r="F88" s="156"/>
      <c r="G88" s="17"/>
      <c r="H88" s="154"/>
      <c r="I88" s="155">
        <f t="shared" si="20"/>
        <v>0</v>
      </c>
      <c r="J88" s="157"/>
      <c r="K88" s="17"/>
      <c r="L88" s="154"/>
      <c r="M88" s="155">
        <f t="shared" si="21"/>
        <v>0</v>
      </c>
      <c r="N88" s="156"/>
      <c r="O88" s="17"/>
      <c r="P88" s="47">
        <f t="shared" si="22"/>
        <v>0</v>
      </c>
      <c r="Q88" s="17"/>
    </row>
    <row r="89" spans="2:17" ht="15.75" x14ac:dyDescent="0.25">
      <c r="B89" s="48" t="s">
        <v>135</v>
      </c>
      <c r="C89" s="17"/>
      <c r="D89" s="154"/>
      <c r="E89" s="155">
        <f t="shared" si="19"/>
        <v>0</v>
      </c>
      <c r="F89" s="156"/>
      <c r="G89" s="17"/>
      <c r="H89" s="154"/>
      <c r="I89" s="155">
        <f t="shared" si="20"/>
        <v>0</v>
      </c>
      <c r="J89" s="157"/>
      <c r="K89" s="17"/>
      <c r="L89" s="154"/>
      <c r="M89" s="155">
        <f t="shared" si="21"/>
        <v>0</v>
      </c>
      <c r="N89" s="156"/>
      <c r="O89" s="17"/>
      <c r="P89" s="47">
        <f t="shared" si="22"/>
        <v>0</v>
      </c>
      <c r="Q89" s="17"/>
    </row>
    <row r="90" spans="2:17" ht="15.75" x14ac:dyDescent="0.25">
      <c r="B90" s="48" t="s">
        <v>136</v>
      </c>
      <c r="C90" s="17"/>
      <c r="D90" s="154"/>
      <c r="E90" s="155">
        <f t="shared" si="19"/>
        <v>0</v>
      </c>
      <c r="F90" s="156"/>
      <c r="G90" s="17"/>
      <c r="H90" s="154"/>
      <c r="I90" s="155">
        <f t="shared" si="20"/>
        <v>0</v>
      </c>
      <c r="J90" s="157"/>
      <c r="K90" s="17"/>
      <c r="L90" s="154"/>
      <c r="M90" s="155">
        <f t="shared" si="21"/>
        <v>0</v>
      </c>
      <c r="N90" s="156"/>
      <c r="O90" s="17"/>
      <c r="P90" s="47">
        <f t="shared" si="22"/>
        <v>0</v>
      </c>
      <c r="Q90" s="17"/>
    </row>
    <row r="91" spans="2:17" ht="15.75" x14ac:dyDescent="0.25">
      <c r="B91" s="48" t="s">
        <v>137</v>
      </c>
      <c r="C91" s="17"/>
      <c r="D91" s="154"/>
      <c r="E91" s="155">
        <f t="shared" si="19"/>
        <v>0</v>
      </c>
      <c r="F91" s="156"/>
      <c r="G91" s="17"/>
      <c r="H91" s="154"/>
      <c r="I91" s="155">
        <f t="shared" si="20"/>
        <v>0</v>
      </c>
      <c r="J91" s="157"/>
      <c r="K91" s="17"/>
      <c r="L91" s="154"/>
      <c r="M91" s="155">
        <f t="shared" si="21"/>
        <v>0</v>
      </c>
      <c r="N91" s="156"/>
      <c r="O91" s="17"/>
      <c r="P91" s="47">
        <f t="shared" si="22"/>
        <v>0</v>
      </c>
      <c r="Q91" s="17"/>
    </row>
    <row r="92" spans="2:17" ht="15.75" x14ac:dyDescent="0.25">
      <c r="B92" s="48" t="s">
        <v>138</v>
      </c>
      <c r="C92" s="17"/>
      <c r="D92" s="154"/>
      <c r="E92" s="155">
        <f t="shared" si="19"/>
        <v>0</v>
      </c>
      <c r="F92" s="156"/>
      <c r="G92" s="17"/>
      <c r="H92" s="154"/>
      <c r="I92" s="155">
        <f t="shared" si="20"/>
        <v>0</v>
      </c>
      <c r="J92" s="157"/>
      <c r="K92" s="17"/>
      <c r="L92" s="154"/>
      <c r="M92" s="155">
        <f t="shared" si="21"/>
        <v>0</v>
      </c>
      <c r="N92" s="156"/>
      <c r="O92" s="17"/>
      <c r="P92" s="47">
        <f t="shared" si="22"/>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7" t="s">
        <v>227</v>
      </c>
      <c r="E96" s="207"/>
      <c r="F96" s="207"/>
      <c r="G96" s="140"/>
      <c r="H96" s="207" t="s">
        <v>230</v>
      </c>
      <c r="I96" s="207"/>
      <c r="J96" s="207"/>
      <c r="K96" s="140"/>
      <c r="L96" s="207" t="s">
        <v>229</v>
      </c>
      <c r="M96" s="207"/>
      <c r="N96" s="207"/>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94176</v>
      </c>
      <c r="E100" s="86">
        <f t="shared" ref="E100:E111" si="23">IF(D100&lt;&gt;0,F100/D100,0)</f>
        <v>3.4731995412844037</v>
      </c>
      <c r="F100" s="47">
        <f>F24+F43+F62+F81</f>
        <v>327092.03999999998</v>
      </c>
      <c r="G100" s="17"/>
      <c r="H100" s="53">
        <f>H24+H43+H62+H81</f>
        <v>94425</v>
      </c>
      <c r="I100" s="86">
        <f t="shared" ref="I100:I111" si="24">IF(H100&lt;&gt;0,J100/H100,0)</f>
        <v>0.78320953137410643</v>
      </c>
      <c r="J100" s="47">
        <f>J24+J43+J62+J81</f>
        <v>73954.559999999998</v>
      </c>
      <c r="K100" s="17"/>
      <c r="L100" s="53">
        <f>L24+L43+L62+L81</f>
        <v>92895</v>
      </c>
      <c r="M100" s="86">
        <f t="shared" ref="M100:M111" si="25">IF(L100&lt;&gt;0,N100/L100,0)</f>
        <v>1.8275284999192638</v>
      </c>
      <c r="N100" s="47">
        <f>N24+N43+N62+N81</f>
        <v>169768.26</v>
      </c>
      <c r="O100" s="17"/>
      <c r="P100" s="47">
        <f t="shared" ref="P100:P111" si="26">J100+N100</f>
        <v>243722.82</v>
      </c>
      <c r="Q100" s="17"/>
    </row>
    <row r="101" spans="2:17" ht="15.75" x14ac:dyDescent="0.25">
      <c r="B101" s="48" t="s">
        <v>128</v>
      </c>
      <c r="C101" s="17"/>
      <c r="D101" s="53">
        <f t="shared" ref="D101:D111" si="27">D25+D44+D63+D82</f>
        <v>87502</v>
      </c>
      <c r="E101" s="86">
        <f t="shared" si="23"/>
        <v>3.468066329912459</v>
      </c>
      <c r="F101" s="47">
        <f t="shared" ref="F101:F111" si="28">F25+F44+F63+F82</f>
        <v>303462.74</v>
      </c>
      <c r="G101" s="17"/>
      <c r="H101" s="53">
        <f t="shared" ref="H101:H111" si="29">H25+H44+H63+H82</f>
        <v>91153</v>
      </c>
      <c r="I101" s="86">
        <f t="shared" si="24"/>
        <v>0.78290346999001681</v>
      </c>
      <c r="J101" s="47">
        <f t="shared" ref="J101:J111" si="30">J25+J44+J63+J82</f>
        <v>71364</v>
      </c>
      <c r="K101" s="17"/>
      <c r="L101" s="53">
        <f t="shared" ref="L101:L111" si="31">L25+L44+L63+L82</f>
        <v>89743</v>
      </c>
      <c r="M101" s="86">
        <f t="shared" si="25"/>
        <v>1.8265845804129572</v>
      </c>
      <c r="N101" s="47">
        <f t="shared" ref="N101:N111" si="32">N25+N44+N63+N82</f>
        <v>163923.18000000002</v>
      </c>
      <c r="O101" s="17"/>
      <c r="P101" s="47">
        <f t="shared" si="26"/>
        <v>235287.18000000002</v>
      </c>
      <c r="Q101" s="17"/>
    </row>
    <row r="102" spans="2:17" ht="15.75" x14ac:dyDescent="0.25">
      <c r="B102" s="48" t="s">
        <v>129</v>
      </c>
      <c r="C102" s="17"/>
      <c r="D102" s="53">
        <f t="shared" si="27"/>
        <v>89458</v>
      </c>
      <c r="E102" s="86">
        <f t="shared" si="23"/>
        <v>3.4716937557289449</v>
      </c>
      <c r="F102" s="47">
        <f t="shared" si="28"/>
        <v>310570.77999999997</v>
      </c>
      <c r="G102" s="17"/>
      <c r="H102" s="53">
        <f t="shared" si="29"/>
        <v>89849</v>
      </c>
      <c r="I102" s="86">
        <f t="shared" si="24"/>
        <v>0.78297053946065065</v>
      </c>
      <c r="J102" s="47">
        <f t="shared" si="30"/>
        <v>70349.119999999995</v>
      </c>
      <c r="K102" s="17"/>
      <c r="L102" s="53">
        <f t="shared" si="31"/>
        <v>88516</v>
      </c>
      <c r="M102" s="86">
        <f t="shared" si="25"/>
        <v>1.8265280853179089</v>
      </c>
      <c r="N102" s="47">
        <f t="shared" si="32"/>
        <v>161676.96000000002</v>
      </c>
      <c r="O102" s="17"/>
      <c r="P102" s="47">
        <f t="shared" si="26"/>
        <v>232026.08000000002</v>
      </c>
      <c r="Q102" s="17"/>
    </row>
    <row r="103" spans="2:17" ht="15.75" x14ac:dyDescent="0.25">
      <c r="B103" s="48" t="s">
        <v>130</v>
      </c>
      <c r="C103" s="17"/>
      <c r="D103" s="53">
        <f t="shared" si="27"/>
        <v>82445</v>
      </c>
      <c r="E103" s="86">
        <f t="shared" si="23"/>
        <v>3.4729728910182547</v>
      </c>
      <c r="F103" s="47">
        <f t="shared" si="28"/>
        <v>286329.25</v>
      </c>
      <c r="G103" s="17"/>
      <c r="H103" s="53">
        <f t="shared" si="29"/>
        <v>83960</v>
      </c>
      <c r="I103" s="86">
        <f t="shared" si="24"/>
        <v>0.78342258218199146</v>
      </c>
      <c r="J103" s="47">
        <f t="shared" si="30"/>
        <v>65776.160000000003</v>
      </c>
      <c r="K103" s="17"/>
      <c r="L103" s="53">
        <f t="shared" si="31"/>
        <v>82828</v>
      </c>
      <c r="M103" s="86">
        <f t="shared" si="25"/>
        <v>1.8271111218428553</v>
      </c>
      <c r="N103" s="47">
        <f t="shared" si="32"/>
        <v>151335.96000000002</v>
      </c>
      <c r="O103" s="17"/>
      <c r="P103" s="47">
        <f t="shared" si="26"/>
        <v>217112.12000000002</v>
      </c>
      <c r="Q103" s="17"/>
    </row>
    <row r="104" spans="2:17" ht="15.75" x14ac:dyDescent="0.25">
      <c r="B104" s="48" t="s">
        <v>131</v>
      </c>
      <c r="C104" s="17"/>
      <c r="D104" s="53">
        <f t="shared" si="27"/>
        <v>92959</v>
      </c>
      <c r="E104" s="86">
        <f t="shared" si="23"/>
        <v>3.4876583224862574</v>
      </c>
      <c r="F104" s="47">
        <f t="shared" si="28"/>
        <v>324209.23</v>
      </c>
      <c r="G104" s="17"/>
      <c r="H104" s="53">
        <f t="shared" si="29"/>
        <v>94950</v>
      </c>
      <c r="I104" s="86">
        <f t="shared" si="24"/>
        <v>0.78597998946814118</v>
      </c>
      <c r="J104" s="47">
        <f t="shared" si="30"/>
        <v>74628.800000000003</v>
      </c>
      <c r="K104" s="17"/>
      <c r="L104" s="53">
        <f t="shared" si="31"/>
        <v>93625</v>
      </c>
      <c r="M104" s="86">
        <f t="shared" si="25"/>
        <v>1.8331033377837118</v>
      </c>
      <c r="N104" s="47">
        <f t="shared" si="32"/>
        <v>171624.30000000002</v>
      </c>
      <c r="O104" s="17"/>
      <c r="P104" s="47">
        <f t="shared" si="26"/>
        <v>246253.10000000003</v>
      </c>
      <c r="Q104" s="17"/>
    </row>
    <row r="105" spans="2:17" ht="15.75" x14ac:dyDescent="0.25">
      <c r="B105" s="48" t="s">
        <v>132</v>
      </c>
      <c r="C105" s="17"/>
      <c r="D105" s="53">
        <f t="shared" si="27"/>
        <v>103009</v>
      </c>
      <c r="E105" s="86">
        <f t="shared" si="23"/>
        <v>3.4865552524536692</v>
      </c>
      <c r="F105" s="47">
        <f t="shared" si="28"/>
        <v>359146.57</v>
      </c>
      <c r="G105" s="17"/>
      <c r="H105" s="53">
        <f t="shared" si="29"/>
        <v>104706</v>
      </c>
      <c r="I105" s="86">
        <f t="shared" si="24"/>
        <v>0.78572307222126725</v>
      </c>
      <c r="J105" s="47">
        <f t="shared" si="30"/>
        <v>82269.920000000013</v>
      </c>
      <c r="K105" s="17"/>
      <c r="L105" s="53">
        <f t="shared" si="31"/>
        <v>103140</v>
      </c>
      <c r="M105" s="86">
        <f t="shared" si="25"/>
        <v>1.8328551483420596</v>
      </c>
      <c r="N105" s="47">
        <f t="shared" si="32"/>
        <v>189040.68000000002</v>
      </c>
      <c r="O105" s="17"/>
      <c r="P105" s="47">
        <f t="shared" si="26"/>
        <v>271310.60000000003</v>
      </c>
      <c r="Q105" s="17"/>
    </row>
    <row r="106" spans="2:17" ht="15.75" x14ac:dyDescent="0.25">
      <c r="B106" s="48" t="s">
        <v>133</v>
      </c>
      <c r="C106" s="17"/>
      <c r="D106" s="53">
        <f t="shared" si="27"/>
        <v>105529</v>
      </c>
      <c r="E106" s="86">
        <f t="shared" si="23"/>
        <v>3.4830206862568578</v>
      </c>
      <c r="F106" s="47">
        <f t="shared" si="28"/>
        <v>367559.68999999994</v>
      </c>
      <c r="G106" s="17"/>
      <c r="H106" s="53">
        <f t="shared" si="29"/>
        <v>105546</v>
      </c>
      <c r="I106" s="86">
        <f t="shared" si="24"/>
        <v>0.78487559926477546</v>
      </c>
      <c r="J106" s="47">
        <f t="shared" si="30"/>
        <v>82840.479999999996</v>
      </c>
      <c r="K106" s="17"/>
      <c r="L106" s="53">
        <f t="shared" si="31"/>
        <v>103867</v>
      </c>
      <c r="M106" s="86">
        <f t="shared" si="25"/>
        <v>1.8312393734294818</v>
      </c>
      <c r="N106" s="47">
        <f t="shared" si="32"/>
        <v>190205.34</v>
      </c>
      <c r="O106" s="17"/>
      <c r="P106" s="47">
        <f t="shared" si="26"/>
        <v>273045.82</v>
      </c>
      <c r="Q106" s="17"/>
    </row>
    <row r="107" spans="2:17" ht="15.75" x14ac:dyDescent="0.25">
      <c r="B107" s="48" t="s">
        <v>134</v>
      </c>
      <c r="C107" s="17"/>
      <c r="D107" s="53">
        <f t="shared" si="27"/>
        <v>96097</v>
      </c>
      <c r="E107" s="86">
        <f t="shared" si="23"/>
        <v>3.4862591964369334</v>
      </c>
      <c r="F107" s="47">
        <f t="shared" si="28"/>
        <v>335019.05</v>
      </c>
      <c r="G107" s="17"/>
      <c r="H107" s="53">
        <f t="shared" si="29"/>
        <v>97980</v>
      </c>
      <c r="I107" s="86">
        <f t="shared" si="24"/>
        <v>0.78568197591345179</v>
      </c>
      <c r="J107" s="47">
        <f t="shared" si="30"/>
        <v>76981.12000000001</v>
      </c>
      <c r="K107" s="17"/>
      <c r="L107" s="53">
        <f t="shared" si="31"/>
        <v>96486</v>
      </c>
      <c r="M107" s="86">
        <f t="shared" si="25"/>
        <v>1.8328598967725889</v>
      </c>
      <c r="N107" s="47">
        <f t="shared" si="32"/>
        <v>176845.32</v>
      </c>
      <c r="O107" s="17"/>
      <c r="P107" s="47">
        <f t="shared" si="26"/>
        <v>253826.44</v>
      </c>
      <c r="Q107" s="17"/>
    </row>
    <row r="108" spans="2:17" ht="15.75" x14ac:dyDescent="0.25">
      <c r="B108" s="48" t="s">
        <v>135</v>
      </c>
      <c r="C108" s="17"/>
      <c r="D108" s="53">
        <f t="shared" si="27"/>
        <v>93588</v>
      </c>
      <c r="E108" s="86">
        <f t="shared" si="23"/>
        <v>3.487297516775655</v>
      </c>
      <c r="F108" s="47">
        <f t="shared" si="28"/>
        <v>326369.2</v>
      </c>
      <c r="G108" s="17"/>
      <c r="H108" s="53">
        <f t="shared" si="29"/>
        <v>94256</v>
      </c>
      <c r="I108" s="86">
        <f t="shared" si="24"/>
        <v>0.78527923951790868</v>
      </c>
      <c r="J108" s="47">
        <f t="shared" si="30"/>
        <v>74017.279999999999</v>
      </c>
      <c r="K108" s="17"/>
      <c r="L108" s="53">
        <f t="shared" si="31"/>
        <v>92768</v>
      </c>
      <c r="M108" s="86">
        <f t="shared" si="25"/>
        <v>1.8321214211797174</v>
      </c>
      <c r="N108" s="47">
        <f t="shared" si="32"/>
        <v>169962.24000000002</v>
      </c>
      <c r="O108" s="17"/>
      <c r="P108" s="47">
        <f t="shared" si="26"/>
        <v>243979.52000000002</v>
      </c>
      <c r="Q108" s="17"/>
    </row>
    <row r="109" spans="2:17" ht="15.75" x14ac:dyDescent="0.25">
      <c r="B109" s="48" t="s">
        <v>136</v>
      </c>
      <c r="C109" s="17"/>
      <c r="D109" s="53">
        <f t="shared" si="27"/>
        <v>86471</v>
      </c>
      <c r="E109" s="86">
        <f t="shared" si="23"/>
        <v>3.4682234506366294</v>
      </c>
      <c r="F109" s="47">
        <f t="shared" si="28"/>
        <v>299900.75</v>
      </c>
      <c r="G109" s="17"/>
      <c r="H109" s="53">
        <f t="shared" si="29"/>
        <v>87587</v>
      </c>
      <c r="I109" s="86">
        <f t="shared" si="24"/>
        <v>0.78232249078059524</v>
      </c>
      <c r="J109" s="47">
        <f t="shared" si="30"/>
        <v>68521.279999999999</v>
      </c>
      <c r="K109" s="17"/>
      <c r="L109" s="53">
        <f t="shared" si="31"/>
        <v>86290</v>
      </c>
      <c r="M109" s="86">
        <f t="shared" si="25"/>
        <v>1.8250388225750378</v>
      </c>
      <c r="N109" s="47">
        <f t="shared" si="32"/>
        <v>157482.6</v>
      </c>
      <c r="O109" s="17"/>
      <c r="P109" s="47">
        <f t="shared" si="26"/>
        <v>226003.88</v>
      </c>
      <c r="Q109" s="17"/>
    </row>
    <row r="110" spans="2:17" ht="15.75" x14ac:dyDescent="0.25">
      <c r="B110" s="48" t="s">
        <v>137</v>
      </c>
      <c r="C110" s="17"/>
      <c r="D110" s="53">
        <f t="shared" si="27"/>
        <v>89549</v>
      </c>
      <c r="E110" s="86">
        <f t="shared" si="23"/>
        <v>3.4688245541547089</v>
      </c>
      <c r="F110" s="47">
        <f t="shared" si="28"/>
        <v>310629.77</v>
      </c>
      <c r="G110" s="17"/>
      <c r="H110" s="53">
        <f t="shared" si="29"/>
        <v>90742</v>
      </c>
      <c r="I110" s="86">
        <f t="shared" si="24"/>
        <v>0.7825932864605144</v>
      </c>
      <c r="J110" s="47">
        <f t="shared" si="30"/>
        <v>71014.080000000002</v>
      </c>
      <c r="K110" s="17"/>
      <c r="L110" s="53">
        <f t="shared" si="31"/>
        <v>89288</v>
      </c>
      <c r="M110" s="86">
        <f t="shared" si="25"/>
        <v>1.8260594928769824</v>
      </c>
      <c r="N110" s="47">
        <f t="shared" si="32"/>
        <v>163045.20000000001</v>
      </c>
      <c r="O110" s="17"/>
      <c r="P110" s="47">
        <f t="shared" si="26"/>
        <v>234059.28000000003</v>
      </c>
      <c r="Q110" s="17"/>
    </row>
    <row r="111" spans="2:17" ht="15.75" x14ac:dyDescent="0.25">
      <c r="B111" s="48" t="s">
        <v>138</v>
      </c>
      <c r="C111" s="17"/>
      <c r="D111" s="53">
        <f t="shared" si="27"/>
        <v>90814</v>
      </c>
      <c r="E111" s="86">
        <f t="shared" si="23"/>
        <v>3.4690948532164643</v>
      </c>
      <c r="F111" s="47">
        <f t="shared" si="28"/>
        <v>315042.38</v>
      </c>
      <c r="G111" s="17"/>
      <c r="H111" s="53">
        <f t="shared" si="29"/>
        <v>92019</v>
      </c>
      <c r="I111" s="86">
        <f t="shared" si="24"/>
        <v>0.78221410795596558</v>
      </c>
      <c r="J111" s="47">
        <f t="shared" si="30"/>
        <v>71978.559999999998</v>
      </c>
      <c r="K111" s="17"/>
      <c r="L111" s="53">
        <f t="shared" si="31"/>
        <v>90265</v>
      </c>
      <c r="M111" s="86">
        <f t="shared" si="25"/>
        <v>1.8213471445189164</v>
      </c>
      <c r="N111" s="47">
        <f t="shared" si="32"/>
        <v>164403.9</v>
      </c>
      <c r="O111" s="17"/>
      <c r="P111" s="47">
        <f t="shared" si="26"/>
        <v>236382.46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1111597</v>
      </c>
      <c r="E113" s="51">
        <f>IF(D113&lt;&gt;0,F113/D113,0)</f>
        <v>3.4772776914655217</v>
      </c>
      <c r="F113" s="52">
        <f>SUM(F100:F111)</f>
        <v>3865331.4499999997</v>
      </c>
      <c r="G113" s="17"/>
      <c r="H113" s="50">
        <f>SUM(H100:H111)</f>
        <v>1127173</v>
      </c>
      <c r="I113" s="51">
        <f>IF(H113&lt;&gt;0,J113/H113,0)</f>
        <v>0.78399266128624434</v>
      </c>
      <c r="J113" s="52">
        <f>SUM(J100:J111)</f>
        <v>883695.35999999987</v>
      </c>
      <c r="K113" s="17"/>
      <c r="L113" s="50">
        <f>SUM(L100:L111)</f>
        <v>1109711</v>
      </c>
      <c r="M113" s="51">
        <f>IF(L113&lt;&gt;0,N113/L113,0)</f>
        <v>1.8286868743303437</v>
      </c>
      <c r="N113" s="52">
        <f>SUM(N100:N111)</f>
        <v>2029313.9400000002</v>
      </c>
      <c r="O113" s="17"/>
      <c r="P113" s="52">
        <f>SUM(P100:P111)</f>
        <v>2913009.3</v>
      </c>
      <c r="Q113" s="17"/>
    </row>
    <row r="114" spans="2:17" x14ac:dyDescent="0.2">
      <c r="P114" s="47"/>
    </row>
    <row r="115" spans="2:17" x14ac:dyDescent="0.2">
      <c r="M115" s="168"/>
      <c r="N115" s="169" t="s">
        <v>255</v>
      </c>
      <c r="P115" s="172">
        <f>'5. UTRs and Sub-Transmission'!E95</f>
        <v>0</v>
      </c>
    </row>
    <row r="117" spans="2:17" ht="13.5" thickBot="1" x14ac:dyDescent="0.25">
      <c r="N117" s="170" t="s">
        <v>258</v>
      </c>
      <c r="P117" s="52">
        <f>P113+P115</f>
        <v>2913009.3</v>
      </c>
    </row>
  </sheetData>
  <sheetProtection password="F8BD" sheet="1" objects="1" scenarios="1"/>
  <mergeCells count="18">
    <mergeCell ref="H96:J96"/>
    <mergeCell ref="L96:N96"/>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s>
  <phoneticPr fontId="21" type="noConversion"/>
  <pageMargins left="0.74803149606299213" right="0.74803149606299213" top="0.98425196850393704" bottom="0.35433070866141736" header="0.51181102362204722" footer="0.15748031496062992"/>
  <pageSetup scale="34"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117"/>
  <sheetViews>
    <sheetView showGridLines="0" topLeftCell="B1" zoomScaleNormal="100" workbookViewId="0">
      <pane ySplit="16" topLeftCell="A92" activePane="bottomLeft" state="frozenSplit"/>
      <selection activeCell="I48" sqref="I48"/>
      <selection pane="bottomLeft" activeCell="E108" sqref="E108"/>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8" t="s">
        <v>250</v>
      </c>
      <c r="C13" s="208"/>
      <c r="D13" s="208"/>
      <c r="E13" s="208"/>
      <c r="F13" s="208"/>
      <c r="G13" s="208"/>
      <c r="H13" s="208"/>
      <c r="I13" s="208"/>
      <c r="J13" s="208"/>
      <c r="K13" s="208"/>
      <c r="L13" s="208"/>
    </row>
    <row r="19" spans="2:17" ht="15.75" x14ac:dyDescent="0.25">
      <c r="B19" s="17"/>
      <c r="C19" s="17"/>
      <c r="D19" s="18"/>
      <c r="E19" s="21"/>
      <c r="F19" s="17"/>
      <c r="G19" s="21"/>
      <c r="H19" s="17"/>
    </row>
    <row r="20" spans="2:17" ht="15.75" x14ac:dyDescent="0.2">
      <c r="B20" s="141" t="s">
        <v>226</v>
      </c>
      <c r="C20" s="140"/>
      <c r="D20" s="207" t="s">
        <v>227</v>
      </c>
      <c r="E20" s="207"/>
      <c r="F20" s="207"/>
      <c r="G20" s="140"/>
      <c r="H20" s="207" t="s">
        <v>230</v>
      </c>
      <c r="I20" s="207"/>
      <c r="J20" s="207"/>
      <c r="K20" s="140"/>
      <c r="L20" s="207" t="s">
        <v>229</v>
      </c>
      <c r="M20" s="207"/>
      <c r="N20" s="207"/>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84267</v>
      </c>
      <c r="E24" s="88">
        <f>'5. UTRs and Sub-Transmission'!G22</f>
        <v>3.63</v>
      </c>
      <c r="F24" s="89">
        <f>D24*E24</f>
        <v>305889.20999999996</v>
      </c>
      <c r="G24" s="17"/>
      <c r="H24" s="87">
        <f>'6. Historical Wholesale'!H24</f>
        <v>84516</v>
      </c>
      <c r="I24" s="88">
        <f>'5. UTRs and Sub-Transmission'!G24</f>
        <v>0.75</v>
      </c>
      <c r="J24" s="89">
        <f>H24*I24</f>
        <v>63387</v>
      </c>
      <c r="K24" s="17"/>
      <c r="L24" s="87">
        <f>'6. Historical Wholesale'!L24</f>
        <v>84516</v>
      </c>
      <c r="M24" s="88">
        <f>'5. UTRs and Sub-Transmission'!G26</f>
        <v>1.85</v>
      </c>
      <c r="N24" s="89">
        <f>L24*M24</f>
        <v>156354.6</v>
      </c>
      <c r="O24" s="17"/>
      <c r="P24" s="47">
        <f t="shared" ref="P24:P35" si="0">J24+N24</f>
        <v>219741.6</v>
      </c>
      <c r="Q24" s="17"/>
    </row>
    <row r="25" spans="2:17" ht="15.75" x14ac:dyDescent="0.25">
      <c r="B25" s="48" t="s">
        <v>128</v>
      </c>
      <c r="C25" s="17"/>
      <c r="D25" s="87">
        <f>'6. Historical Wholesale'!D25</f>
        <v>77807</v>
      </c>
      <c r="E25" s="88">
        <f>E24</f>
        <v>3.63</v>
      </c>
      <c r="F25" s="89">
        <f t="shared" ref="F25:F35" si="1">D25*E25</f>
        <v>282439.40999999997</v>
      </c>
      <c r="G25" s="17"/>
      <c r="H25" s="87">
        <f>'6. Historical Wholesale'!H25</f>
        <v>81413</v>
      </c>
      <c r="I25" s="88">
        <f>I24</f>
        <v>0.75</v>
      </c>
      <c r="J25" s="89">
        <f t="shared" ref="J25:J35" si="2">H25*I25</f>
        <v>61059.75</v>
      </c>
      <c r="K25" s="17"/>
      <c r="L25" s="87">
        <f>'6. Historical Wholesale'!L25</f>
        <v>81413</v>
      </c>
      <c r="M25" s="88">
        <f>M24</f>
        <v>1.85</v>
      </c>
      <c r="N25" s="89">
        <f t="shared" ref="N25:N35" si="3">L25*M25</f>
        <v>150614.05000000002</v>
      </c>
      <c r="O25" s="17"/>
      <c r="P25" s="47">
        <f t="shared" si="0"/>
        <v>211673.80000000002</v>
      </c>
      <c r="Q25" s="17"/>
    </row>
    <row r="26" spans="2:17" ht="15.75" x14ac:dyDescent="0.25">
      <c r="B26" s="48" t="s">
        <v>129</v>
      </c>
      <c r="C26" s="17"/>
      <c r="D26" s="87">
        <f>'6. Historical Wholesale'!D26</f>
        <v>79899</v>
      </c>
      <c r="E26" s="88">
        <f t="shared" ref="E26:E35" si="4">E25</f>
        <v>3.63</v>
      </c>
      <c r="F26" s="89">
        <f t="shared" si="1"/>
        <v>290033.37</v>
      </c>
      <c r="G26" s="17"/>
      <c r="H26" s="87">
        <f>'6. Historical Wholesale'!H26</f>
        <v>80286</v>
      </c>
      <c r="I26" s="88">
        <f t="shared" ref="I26:I35" si="5">I25</f>
        <v>0.75</v>
      </c>
      <c r="J26" s="89">
        <f t="shared" si="2"/>
        <v>60214.5</v>
      </c>
      <c r="K26" s="17"/>
      <c r="L26" s="87">
        <f>'6. Historical Wholesale'!L26</f>
        <v>80286</v>
      </c>
      <c r="M26" s="88">
        <f t="shared" ref="M26:M35" si="6">M25</f>
        <v>1.85</v>
      </c>
      <c r="N26" s="89">
        <f t="shared" si="3"/>
        <v>148529.1</v>
      </c>
      <c r="O26" s="17"/>
      <c r="P26" s="47">
        <f t="shared" si="0"/>
        <v>208743.6</v>
      </c>
      <c r="Q26" s="17"/>
    </row>
    <row r="27" spans="2:17" ht="15.75" x14ac:dyDescent="0.25">
      <c r="B27" s="48" t="s">
        <v>130</v>
      </c>
      <c r="C27" s="17"/>
      <c r="D27" s="87">
        <f>'6. Historical Wholesale'!D27</f>
        <v>73750</v>
      </c>
      <c r="E27" s="88">
        <f t="shared" si="4"/>
        <v>3.63</v>
      </c>
      <c r="F27" s="89">
        <f t="shared" si="1"/>
        <v>267712.5</v>
      </c>
      <c r="G27" s="17"/>
      <c r="H27" s="87">
        <f>'6. Historical Wholesale'!H27</f>
        <v>75261</v>
      </c>
      <c r="I27" s="88">
        <f t="shared" si="5"/>
        <v>0.75</v>
      </c>
      <c r="J27" s="89">
        <f t="shared" si="2"/>
        <v>56445.75</v>
      </c>
      <c r="K27" s="17"/>
      <c r="L27" s="87">
        <f>'6. Historical Wholesale'!L27</f>
        <v>75261</v>
      </c>
      <c r="M27" s="88">
        <f t="shared" si="6"/>
        <v>1.85</v>
      </c>
      <c r="N27" s="89">
        <f t="shared" si="3"/>
        <v>139232.85</v>
      </c>
      <c r="O27" s="17"/>
      <c r="P27" s="47">
        <f t="shared" si="0"/>
        <v>195678.6</v>
      </c>
      <c r="Q27" s="17"/>
    </row>
    <row r="28" spans="2:17" ht="15.75" x14ac:dyDescent="0.25">
      <c r="B28" s="48" t="s">
        <v>131</v>
      </c>
      <c r="C28" s="17"/>
      <c r="D28" s="87">
        <f>'6. Historical Wholesale'!D28</f>
        <v>84639</v>
      </c>
      <c r="E28" s="88">
        <f t="shared" si="4"/>
        <v>3.63</v>
      </c>
      <c r="F28" s="89">
        <f t="shared" si="1"/>
        <v>307239.57</v>
      </c>
      <c r="G28" s="17"/>
      <c r="H28" s="87">
        <f>'6. Historical Wholesale'!H28</f>
        <v>86630</v>
      </c>
      <c r="I28" s="88">
        <f t="shared" si="5"/>
        <v>0.75</v>
      </c>
      <c r="J28" s="89">
        <f t="shared" si="2"/>
        <v>64972.5</v>
      </c>
      <c r="K28" s="17"/>
      <c r="L28" s="87">
        <f>'6. Historical Wholesale'!L28</f>
        <v>86630</v>
      </c>
      <c r="M28" s="88">
        <f t="shared" si="6"/>
        <v>1.85</v>
      </c>
      <c r="N28" s="89">
        <f t="shared" si="3"/>
        <v>160265.5</v>
      </c>
      <c r="O28" s="17"/>
      <c r="P28" s="47">
        <f t="shared" si="0"/>
        <v>225238</v>
      </c>
      <c r="Q28" s="17"/>
    </row>
    <row r="29" spans="2:17" ht="15.75" x14ac:dyDescent="0.25">
      <c r="B29" s="48" t="s">
        <v>132</v>
      </c>
      <c r="C29" s="17"/>
      <c r="D29" s="87">
        <f>'6. Historical Wholesale'!D29</f>
        <v>93666</v>
      </c>
      <c r="E29" s="88">
        <f t="shared" si="4"/>
        <v>3.63</v>
      </c>
      <c r="F29" s="89">
        <f t="shared" si="1"/>
        <v>340007.58</v>
      </c>
      <c r="G29" s="17"/>
      <c r="H29" s="87">
        <f>'6. Historical Wholesale'!H29</f>
        <v>95363</v>
      </c>
      <c r="I29" s="88">
        <f t="shared" si="5"/>
        <v>0.75</v>
      </c>
      <c r="J29" s="89">
        <f t="shared" si="2"/>
        <v>71522.25</v>
      </c>
      <c r="K29" s="17"/>
      <c r="L29" s="87">
        <f>'6. Historical Wholesale'!L29</f>
        <v>95363</v>
      </c>
      <c r="M29" s="88">
        <f t="shared" si="6"/>
        <v>1.85</v>
      </c>
      <c r="N29" s="89">
        <f t="shared" si="3"/>
        <v>176421.55000000002</v>
      </c>
      <c r="O29" s="17"/>
      <c r="P29" s="47">
        <f t="shared" si="0"/>
        <v>247943.80000000002</v>
      </c>
      <c r="Q29" s="17"/>
    </row>
    <row r="30" spans="2:17" ht="15.75" x14ac:dyDescent="0.25">
      <c r="B30" s="48" t="s">
        <v>133</v>
      </c>
      <c r="C30" s="17"/>
      <c r="D30" s="87">
        <f>'6. Historical Wholesale'!D30</f>
        <v>95552</v>
      </c>
      <c r="E30" s="88">
        <f t="shared" si="4"/>
        <v>3.63</v>
      </c>
      <c r="F30" s="89">
        <f t="shared" si="1"/>
        <v>346853.76</v>
      </c>
      <c r="G30" s="17"/>
      <c r="H30" s="87">
        <f>'6. Historical Wholesale'!H30</f>
        <v>95569</v>
      </c>
      <c r="I30" s="88">
        <f t="shared" si="5"/>
        <v>0.75</v>
      </c>
      <c r="J30" s="89">
        <f t="shared" si="2"/>
        <v>71676.75</v>
      </c>
      <c r="K30" s="17"/>
      <c r="L30" s="87">
        <f>'6. Historical Wholesale'!L30</f>
        <v>95569</v>
      </c>
      <c r="M30" s="88">
        <f t="shared" si="6"/>
        <v>1.85</v>
      </c>
      <c r="N30" s="89">
        <f t="shared" si="3"/>
        <v>176802.65</v>
      </c>
      <c r="O30" s="17"/>
      <c r="P30" s="47">
        <f t="shared" si="0"/>
        <v>248479.4</v>
      </c>
      <c r="Q30" s="17"/>
    </row>
    <row r="31" spans="2:17" ht="15.75" x14ac:dyDescent="0.25">
      <c r="B31" s="48" t="s">
        <v>134</v>
      </c>
      <c r="C31" s="17"/>
      <c r="D31" s="87">
        <f>'6. Historical Wholesale'!D31</f>
        <v>87350</v>
      </c>
      <c r="E31" s="88">
        <f t="shared" si="4"/>
        <v>3.63</v>
      </c>
      <c r="F31" s="89">
        <f t="shared" si="1"/>
        <v>317080.5</v>
      </c>
      <c r="G31" s="17"/>
      <c r="H31" s="87">
        <f>'6. Historical Wholesale'!H31</f>
        <v>89212</v>
      </c>
      <c r="I31" s="88">
        <f t="shared" si="5"/>
        <v>0.75</v>
      </c>
      <c r="J31" s="89">
        <f t="shared" si="2"/>
        <v>66909</v>
      </c>
      <c r="K31" s="17"/>
      <c r="L31" s="87">
        <f>'6. Historical Wholesale'!L31</f>
        <v>89212</v>
      </c>
      <c r="M31" s="88">
        <f t="shared" si="6"/>
        <v>1.85</v>
      </c>
      <c r="N31" s="89">
        <f t="shared" si="3"/>
        <v>165042.20000000001</v>
      </c>
      <c r="O31" s="17"/>
      <c r="P31" s="47">
        <f t="shared" si="0"/>
        <v>231951.2</v>
      </c>
      <c r="Q31" s="17"/>
    </row>
    <row r="32" spans="2:17" ht="15.75" x14ac:dyDescent="0.25">
      <c r="B32" s="48" t="s">
        <v>135</v>
      </c>
      <c r="C32" s="17"/>
      <c r="D32" s="87">
        <f>'6. Historical Wholesale'!D32</f>
        <v>85175</v>
      </c>
      <c r="E32" s="88">
        <f t="shared" si="4"/>
        <v>3.63</v>
      </c>
      <c r="F32" s="89">
        <f t="shared" si="1"/>
        <v>309185.25</v>
      </c>
      <c r="G32" s="17"/>
      <c r="H32" s="87">
        <f>'6. Historical Wholesale'!H32</f>
        <v>85584</v>
      </c>
      <c r="I32" s="88">
        <f t="shared" si="5"/>
        <v>0.75</v>
      </c>
      <c r="J32" s="89">
        <f t="shared" si="2"/>
        <v>64188</v>
      </c>
      <c r="K32" s="17"/>
      <c r="L32" s="87">
        <f>'6. Historical Wholesale'!L32</f>
        <v>85584</v>
      </c>
      <c r="M32" s="88">
        <f t="shared" si="6"/>
        <v>1.85</v>
      </c>
      <c r="N32" s="89">
        <f t="shared" si="3"/>
        <v>158330.4</v>
      </c>
      <c r="O32" s="17"/>
      <c r="P32" s="47">
        <f t="shared" si="0"/>
        <v>222518.39999999999</v>
      </c>
      <c r="Q32" s="17"/>
    </row>
    <row r="33" spans="2:17" ht="15.75" x14ac:dyDescent="0.25">
      <c r="B33" s="48" t="s">
        <v>136</v>
      </c>
      <c r="C33" s="17"/>
      <c r="D33" s="87">
        <f>'6. Historical Wholesale'!D33</f>
        <v>76905</v>
      </c>
      <c r="E33" s="88">
        <f t="shared" si="4"/>
        <v>3.63</v>
      </c>
      <c r="F33" s="89">
        <f t="shared" si="1"/>
        <v>279165.14999999997</v>
      </c>
      <c r="G33" s="17"/>
      <c r="H33" s="87">
        <f>'6. Historical Wholesale'!H33</f>
        <v>77910</v>
      </c>
      <c r="I33" s="88">
        <f t="shared" si="5"/>
        <v>0.75</v>
      </c>
      <c r="J33" s="89">
        <f t="shared" si="2"/>
        <v>58432.5</v>
      </c>
      <c r="K33" s="17"/>
      <c r="L33" s="87">
        <f>'6. Historical Wholesale'!L33</f>
        <v>77910</v>
      </c>
      <c r="M33" s="88">
        <f t="shared" si="6"/>
        <v>1.85</v>
      </c>
      <c r="N33" s="89">
        <f t="shared" si="3"/>
        <v>144133.5</v>
      </c>
      <c r="O33" s="17"/>
      <c r="P33" s="47">
        <f t="shared" si="0"/>
        <v>202566</v>
      </c>
      <c r="Q33" s="17"/>
    </row>
    <row r="34" spans="2:17" ht="15.75" x14ac:dyDescent="0.25">
      <c r="B34" s="48" t="s">
        <v>137</v>
      </c>
      <c r="C34" s="17"/>
      <c r="D34" s="87">
        <f>'6. Historical Wholesale'!D34</f>
        <v>79701</v>
      </c>
      <c r="E34" s="88">
        <f t="shared" si="4"/>
        <v>3.63</v>
      </c>
      <c r="F34" s="89">
        <f t="shared" si="1"/>
        <v>289314.63</v>
      </c>
      <c r="G34" s="17"/>
      <c r="H34" s="87">
        <f>'6. Historical Wholesale'!H34</f>
        <v>80870</v>
      </c>
      <c r="I34" s="88">
        <f t="shared" si="5"/>
        <v>0.75</v>
      </c>
      <c r="J34" s="89">
        <f t="shared" si="2"/>
        <v>60652.5</v>
      </c>
      <c r="K34" s="17"/>
      <c r="L34" s="87">
        <f>'6. Historical Wholesale'!L34</f>
        <v>80870</v>
      </c>
      <c r="M34" s="88">
        <f t="shared" si="6"/>
        <v>1.85</v>
      </c>
      <c r="N34" s="89">
        <f t="shared" si="3"/>
        <v>149609.5</v>
      </c>
      <c r="O34" s="17"/>
      <c r="P34" s="47">
        <f t="shared" si="0"/>
        <v>210262</v>
      </c>
      <c r="Q34" s="17"/>
    </row>
    <row r="35" spans="2:17" ht="15.75" x14ac:dyDescent="0.25">
      <c r="B35" s="48" t="s">
        <v>138</v>
      </c>
      <c r="C35" s="17"/>
      <c r="D35" s="87">
        <f>'6. Historical Wholesale'!D35</f>
        <v>80834</v>
      </c>
      <c r="E35" s="88">
        <f t="shared" si="4"/>
        <v>3.63</v>
      </c>
      <c r="F35" s="89">
        <f t="shared" si="1"/>
        <v>293427.42</v>
      </c>
      <c r="G35" s="17"/>
      <c r="H35" s="87">
        <f>'6. Historical Wholesale'!H35</f>
        <v>81790</v>
      </c>
      <c r="I35" s="88">
        <f t="shared" si="5"/>
        <v>0.75</v>
      </c>
      <c r="J35" s="89">
        <f t="shared" si="2"/>
        <v>61342.5</v>
      </c>
      <c r="K35" s="17"/>
      <c r="L35" s="87">
        <f>'6. Historical Wholesale'!L35</f>
        <v>81790</v>
      </c>
      <c r="M35" s="88">
        <f t="shared" si="6"/>
        <v>1.85</v>
      </c>
      <c r="N35" s="89">
        <f t="shared" si="3"/>
        <v>151311.5</v>
      </c>
      <c r="O35" s="17"/>
      <c r="P35" s="47">
        <f t="shared" si="0"/>
        <v>212654</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999545</v>
      </c>
      <c r="E37" s="51">
        <f>IF(D37&lt;&gt;0,F37/D37,0)</f>
        <v>3.6299999999999994</v>
      </c>
      <c r="F37" s="52">
        <f>SUM(F24:F35)</f>
        <v>3628348.3499999996</v>
      </c>
      <c r="G37" s="17"/>
      <c r="H37" s="50">
        <f>SUM(H24:H35)</f>
        <v>1014404</v>
      </c>
      <c r="I37" s="51">
        <f>IF(H37&lt;&gt;0,J37/H37,0)</f>
        <v>0.75</v>
      </c>
      <c r="J37" s="52">
        <f>SUM(J24:J35)</f>
        <v>760803</v>
      </c>
      <c r="K37" s="17"/>
      <c r="L37" s="50">
        <f>SUM(L24:L35)</f>
        <v>1014404</v>
      </c>
      <c r="M37" s="51">
        <f>IF(L37&lt;&gt;0,N37/L37,0)</f>
        <v>1.8499999999999999</v>
      </c>
      <c r="N37" s="52">
        <f>SUM(N24:N35)</f>
        <v>1876647.4</v>
      </c>
      <c r="O37" s="17"/>
      <c r="P37" s="52">
        <f>SUM(P24:P35)</f>
        <v>2637450.4</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7" t="s">
        <v>227</v>
      </c>
      <c r="E39" s="207"/>
      <c r="F39" s="207"/>
      <c r="G39" s="140"/>
      <c r="H39" s="207" t="s">
        <v>230</v>
      </c>
      <c r="I39" s="207"/>
      <c r="J39" s="207"/>
      <c r="K39" s="140"/>
      <c r="L39" s="207" t="s">
        <v>229</v>
      </c>
      <c r="M39" s="207"/>
      <c r="N39" s="207"/>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9909</v>
      </c>
      <c r="E43" s="88">
        <f>'5. UTRs and Sub-Transmission'!G35+'5. UTRs and Sub-Transmission'!G79</f>
        <v>3.3265000000000002</v>
      </c>
      <c r="F43" s="89">
        <f>D43*E43</f>
        <v>32962.288500000002</v>
      </c>
      <c r="G43" s="17"/>
      <c r="H43" s="87">
        <f>'6. Historical Wholesale'!H43</f>
        <v>9909</v>
      </c>
      <c r="I43" s="88">
        <f>'5. UTRs and Sub-Transmission'!G37+'5. UTRs and Sub-Transmission'!G81</f>
        <v>0.76669999999999994</v>
      </c>
      <c r="J43" s="89">
        <f>H43*I43</f>
        <v>7597.2302999999993</v>
      </c>
      <c r="K43" s="17"/>
      <c r="L43" s="87">
        <f>'6. Historical Wholesale'!L43</f>
        <v>8379</v>
      </c>
      <c r="M43" s="88">
        <f>'5. UTRs and Sub-Transmission'!G39</f>
        <v>1.63</v>
      </c>
      <c r="N43" s="89">
        <f>L43*M43</f>
        <v>13657.769999999999</v>
      </c>
      <c r="O43" s="17"/>
      <c r="P43" s="47">
        <f t="shared" ref="P43:P54" si="7">J43+N43</f>
        <v>21255.0003</v>
      </c>
      <c r="Q43" s="17"/>
    </row>
    <row r="44" spans="2:17" ht="15.75" x14ac:dyDescent="0.25">
      <c r="B44" s="48" t="s">
        <v>128</v>
      </c>
      <c r="C44" s="17"/>
      <c r="D44" s="87">
        <f>'6. Historical Wholesale'!D44</f>
        <v>9695</v>
      </c>
      <c r="E44" s="88">
        <f>E43</f>
        <v>3.3265000000000002</v>
      </c>
      <c r="F44" s="89">
        <f t="shared" ref="F44:F54" si="8">D44*E44</f>
        <v>32250.417500000003</v>
      </c>
      <c r="G44" s="17"/>
      <c r="H44" s="87">
        <f>'6. Historical Wholesale'!H44</f>
        <v>9740</v>
      </c>
      <c r="I44" s="88">
        <f>I43</f>
        <v>0.76669999999999994</v>
      </c>
      <c r="J44" s="89">
        <f t="shared" ref="J44:J54" si="9">H44*I44</f>
        <v>7467.6579999999994</v>
      </c>
      <c r="K44" s="17"/>
      <c r="L44" s="87">
        <f>'6. Historical Wholesale'!L44</f>
        <v>8330</v>
      </c>
      <c r="M44" s="88">
        <f>M43</f>
        <v>1.63</v>
      </c>
      <c r="N44" s="89">
        <f t="shared" ref="N44:N54" si="10">L44*M44</f>
        <v>13577.9</v>
      </c>
      <c r="O44" s="17"/>
      <c r="P44" s="47">
        <f t="shared" si="7"/>
        <v>21045.557999999997</v>
      </c>
      <c r="Q44" s="17"/>
    </row>
    <row r="45" spans="2:17" ht="15.75" x14ac:dyDescent="0.25">
      <c r="B45" s="48" t="s">
        <v>129</v>
      </c>
      <c r="C45" s="17"/>
      <c r="D45" s="87">
        <f>'6. Historical Wholesale'!D45</f>
        <v>9559</v>
      </c>
      <c r="E45" s="88">
        <f t="shared" ref="E45:E54" si="11">E44</f>
        <v>3.3265000000000002</v>
      </c>
      <c r="F45" s="89">
        <f t="shared" si="8"/>
        <v>31798.013500000001</v>
      </c>
      <c r="G45" s="17"/>
      <c r="H45" s="87">
        <f>'6. Historical Wholesale'!H45</f>
        <v>9563</v>
      </c>
      <c r="I45" s="88">
        <f t="shared" ref="I45:I54" si="12">I44</f>
        <v>0.76669999999999994</v>
      </c>
      <c r="J45" s="89">
        <f t="shared" si="9"/>
        <v>7331.9520999999995</v>
      </c>
      <c r="K45" s="17"/>
      <c r="L45" s="87">
        <f>'6. Historical Wholesale'!L45</f>
        <v>8230</v>
      </c>
      <c r="M45" s="88">
        <f>M44</f>
        <v>1.63</v>
      </c>
      <c r="N45" s="89">
        <f t="shared" si="10"/>
        <v>13414.9</v>
      </c>
      <c r="O45" s="17"/>
      <c r="P45" s="47">
        <f t="shared" si="7"/>
        <v>20746.8521</v>
      </c>
      <c r="Q45" s="17"/>
    </row>
    <row r="46" spans="2:17" ht="15.75" x14ac:dyDescent="0.25">
      <c r="B46" s="48" t="s">
        <v>130</v>
      </c>
      <c r="C46" s="17"/>
      <c r="D46" s="87">
        <f>'6. Historical Wholesale'!D46</f>
        <v>8695</v>
      </c>
      <c r="E46" s="88">
        <f t="shared" si="11"/>
        <v>3.3265000000000002</v>
      </c>
      <c r="F46" s="89">
        <f t="shared" si="8"/>
        <v>28923.917500000003</v>
      </c>
      <c r="G46" s="17"/>
      <c r="H46" s="87">
        <f>'6. Historical Wholesale'!H46</f>
        <v>8699</v>
      </c>
      <c r="I46" s="88">
        <f t="shared" si="12"/>
        <v>0.76669999999999994</v>
      </c>
      <c r="J46" s="89">
        <f t="shared" si="9"/>
        <v>6669.5232999999998</v>
      </c>
      <c r="K46" s="17"/>
      <c r="L46" s="87">
        <f>'6. Historical Wholesale'!L46</f>
        <v>7567</v>
      </c>
      <c r="M46" s="88">
        <f t="shared" ref="M46:M54" si="13">M45</f>
        <v>1.63</v>
      </c>
      <c r="N46" s="89">
        <f t="shared" si="10"/>
        <v>12334.21</v>
      </c>
      <c r="O46" s="17"/>
      <c r="P46" s="47">
        <f t="shared" si="7"/>
        <v>19003.7333</v>
      </c>
      <c r="Q46" s="17"/>
    </row>
    <row r="47" spans="2:17" ht="15.75" x14ac:dyDescent="0.25">
      <c r="B47" s="48" t="s">
        <v>131</v>
      </c>
      <c r="C47" s="17"/>
      <c r="D47" s="87">
        <f>'6. Historical Wholesale'!D47</f>
        <v>8320</v>
      </c>
      <c r="E47" s="88">
        <f t="shared" si="11"/>
        <v>3.3265000000000002</v>
      </c>
      <c r="F47" s="89">
        <f t="shared" si="8"/>
        <v>27676.480000000003</v>
      </c>
      <c r="G47" s="17"/>
      <c r="H47" s="87">
        <f>'6. Historical Wholesale'!H47</f>
        <v>8320</v>
      </c>
      <c r="I47" s="88">
        <f t="shared" si="12"/>
        <v>0.76669999999999994</v>
      </c>
      <c r="J47" s="89">
        <f t="shared" si="9"/>
        <v>6378.9439999999995</v>
      </c>
      <c r="K47" s="17"/>
      <c r="L47" s="87">
        <f>'6. Historical Wholesale'!L47</f>
        <v>6995</v>
      </c>
      <c r="M47" s="88">
        <f t="shared" si="13"/>
        <v>1.63</v>
      </c>
      <c r="N47" s="89">
        <f t="shared" si="10"/>
        <v>11401.849999999999</v>
      </c>
      <c r="O47" s="17"/>
      <c r="P47" s="47">
        <f t="shared" si="7"/>
        <v>17780.793999999998</v>
      </c>
      <c r="Q47" s="17"/>
    </row>
    <row r="48" spans="2:17" ht="15.75" x14ac:dyDescent="0.25">
      <c r="B48" s="48" t="s">
        <v>132</v>
      </c>
      <c r="C48" s="17"/>
      <c r="D48" s="87">
        <f>'6. Historical Wholesale'!D48</f>
        <v>9343</v>
      </c>
      <c r="E48" s="88">
        <f t="shared" si="11"/>
        <v>3.3265000000000002</v>
      </c>
      <c r="F48" s="89">
        <f t="shared" si="8"/>
        <v>31079.489500000003</v>
      </c>
      <c r="G48" s="17"/>
      <c r="H48" s="87">
        <f>'6. Historical Wholesale'!H48</f>
        <v>9343</v>
      </c>
      <c r="I48" s="88">
        <f t="shared" si="12"/>
        <v>0.76669999999999994</v>
      </c>
      <c r="J48" s="89">
        <f t="shared" si="9"/>
        <v>7163.2780999999995</v>
      </c>
      <c r="K48" s="17"/>
      <c r="L48" s="87">
        <f>'6. Historical Wholesale'!L48</f>
        <v>7777</v>
      </c>
      <c r="M48" s="88">
        <f t="shared" si="13"/>
        <v>1.63</v>
      </c>
      <c r="N48" s="89">
        <f t="shared" si="10"/>
        <v>12676.509999999998</v>
      </c>
      <c r="O48" s="17"/>
      <c r="P48" s="47">
        <f t="shared" si="7"/>
        <v>19839.788099999998</v>
      </c>
      <c r="Q48" s="17"/>
    </row>
    <row r="49" spans="2:17" ht="15.75" x14ac:dyDescent="0.25">
      <c r="B49" s="48" t="s">
        <v>133</v>
      </c>
      <c r="C49" s="17"/>
      <c r="D49" s="87">
        <f>'6. Historical Wholesale'!D49</f>
        <v>9977</v>
      </c>
      <c r="E49" s="88">
        <f t="shared" si="11"/>
        <v>3.3265000000000002</v>
      </c>
      <c r="F49" s="89">
        <f t="shared" si="8"/>
        <v>33188.4905</v>
      </c>
      <c r="G49" s="17"/>
      <c r="H49" s="87">
        <f>'6. Historical Wholesale'!H49</f>
        <v>9977</v>
      </c>
      <c r="I49" s="88">
        <f t="shared" si="12"/>
        <v>0.76669999999999994</v>
      </c>
      <c r="J49" s="89">
        <f t="shared" si="9"/>
        <v>7649.3658999999998</v>
      </c>
      <c r="K49" s="17"/>
      <c r="L49" s="87">
        <f>'6. Historical Wholesale'!L49</f>
        <v>8298</v>
      </c>
      <c r="M49" s="88">
        <f t="shared" si="13"/>
        <v>1.63</v>
      </c>
      <c r="N49" s="89">
        <f t="shared" si="10"/>
        <v>13525.74</v>
      </c>
      <c r="O49" s="17"/>
      <c r="P49" s="47">
        <f t="shared" si="7"/>
        <v>21175.105899999999</v>
      </c>
      <c r="Q49" s="17"/>
    </row>
    <row r="50" spans="2:17" ht="15.75" x14ac:dyDescent="0.25">
      <c r="B50" s="48" t="s">
        <v>134</v>
      </c>
      <c r="C50" s="17"/>
      <c r="D50" s="87">
        <f>'6. Historical Wholesale'!D50</f>
        <v>8747</v>
      </c>
      <c r="E50" s="88">
        <f t="shared" si="11"/>
        <v>3.3265000000000002</v>
      </c>
      <c r="F50" s="89">
        <f t="shared" si="8"/>
        <v>29096.895500000002</v>
      </c>
      <c r="G50" s="17"/>
      <c r="H50" s="87">
        <f>'6. Historical Wholesale'!H50</f>
        <v>8768</v>
      </c>
      <c r="I50" s="88">
        <f t="shared" si="12"/>
        <v>0.76669999999999994</v>
      </c>
      <c r="J50" s="89">
        <f t="shared" si="9"/>
        <v>6722.4255999999996</v>
      </c>
      <c r="K50" s="17"/>
      <c r="L50" s="87">
        <f>'6. Historical Wholesale'!L50</f>
        <v>7274</v>
      </c>
      <c r="M50" s="88">
        <f t="shared" si="13"/>
        <v>1.63</v>
      </c>
      <c r="N50" s="89">
        <f t="shared" si="10"/>
        <v>11856.619999999999</v>
      </c>
      <c r="O50" s="17"/>
      <c r="P50" s="47">
        <f t="shared" si="7"/>
        <v>18579.045599999998</v>
      </c>
      <c r="Q50" s="17"/>
    </row>
    <row r="51" spans="2:17" ht="15.75" x14ac:dyDescent="0.25">
      <c r="B51" s="48" t="s">
        <v>135</v>
      </c>
      <c r="C51" s="17"/>
      <c r="D51" s="87">
        <f>'6. Historical Wholesale'!D51</f>
        <v>8413</v>
      </c>
      <c r="E51" s="88">
        <f t="shared" si="11"/>
        <v>3.3265000000000002</v>
      </c>
      <c r="F51" s="89">
        <f t="shared" si="8"/>
        <v>27985.844500000003</v>
      </c>
      <c r="G51" s="17"/>
      <c r="H51" s="87">
        <f>'6. Historical Wholesale'!H51</f>
        <v>8672</v>
      </c>
      <c r="I51" s="88">
        <f t="shared" si="12"/>
        <v>0.76669999999999994</v>
      </c>
      <c r="J51" s="89">
        <f t="shared" si="9"/>
        <v>6648.8223999999991</v>
      </c>
      <c r="K51" s="17"/>
      <c r="L51" s="87">
        <f>'6. Historical Wholesale'!L51</f>
        <v>7184</v>
      </c>
      <c r="M51" s="88">
        <f t="shared" si="13"/>
        <v>1.63</v>
      </c>
      <c r="N51" s="89">
        <f t="shared" si="10"/>
        <v>11709.92</v>
      </c>
      <c r="O51" s="17"/>
      <c r="P51" s="47">
        <f t="shared" si="7"/>
        <v>18358.742399999999</v>
      </c>
      <c r="Q51" s="17"/>
    </row>
    <row r="52" spans="2:17" ht="15.75" x14ac:dyDescent="0.25">
      <c r="B52" s="48" t="s">
        <v>136</v>
      </c>
      <c r="C52" s="17"/>
      <c r="D52" s="87">
        <f>'6. Historical Wholesale'!D52</f>
        <v>9566</v>
      </c>
      <c r="E52" s="88">
        <f t="shared" si="11"/>
        <v>3.3265000000000002</v>
      </c>
      <c r="F52" s="89">
        <f t="shared" si="8"/>
        <v>31821.299000000003</v>
      </c>
      <c r="G52" s="17"/>
      <c r="H52" s="87">
        <f>'6. Historical Wholesale'!H52</f>
        <v>9677</v>
      </c>
      <c r="I52" s="88">
        <f t="shared" si="12"/>
        <v>0.76669999999999994</v>
      </c>
      <c r="J52" s="89">
        <f t="shared" si="9"/>
        <v>7419.3558999999996</v>
      </c>
      <c r="K52" s="17"/>
      <c r="L52" s="87">
        <f>'6. Historical Wholesale'!L52</f>
        <v>8380</v>
      </c>
      <c r="M52" s="88">
        <f t="shared" si="13"/>
        <v>1.63</v>
      </c>
      <c r="N52" s="89">
        <f t="shared" si="10"/>
        <v>13659.4</v>
      </c>
      <c r="O52" s="17"/>
      <c r="P52" s="47">
        <f t="shared" si="7"/>
        <v>21078.7559</v>
      </c>
      <c r="Q52" s="17"/>
    </row>
    <row r="53" spans="2:17" ht="15.75" x14ac:dyDescent="0.25">
      <c r="B53" s="48" t="s">
        <v>137</v>
      </c>
      <c r="C53" s="17"/>
      <c r="D53" s="87">
        <f>'6. Historical Wholesale'!D53</f>
        <v>9848</v>
      </c>
      <c r="E53" s="88">
        <f t="shared" si="11"/>
        <v>3.3265000000000002</v>
      </c>
      <c r="F53" s="89">
        <f t="shared" si="8"/>
        <v>32759.372000000003</v>
      </c>
      <c r="G53" s="17"/>
      <c r="H53" s="87">
        <f>'6. Historical Wholesale'!H53</f>
        <v>9872</v>
      </c>
      <c r="I53" s="88">
        <f t="shared" si="12"/>
        <v>0.76669999999999994</v>
      </c>
      <c r="J53" s="89">
        <f t="shared" si="9"/>
        <v>7568.8623999999991</v>
      </c>
      <c r="K53" s="17"/>
      <c r="L53" s="87">
        <f>'6. Historical Wholesale'!L53</f>
        <v>8418</v>
      </c>
      <c r="M53" s="88">
        <f t="shared" si="13"/>
        <v>1.63</v>
      </c>
      <c r="N53" s="89">
        <f t="shared" si="10"/>
        <v>13721.339999999998</v>
      </c>
      <c r="O53" s="17"/>
      <c r="P53" s="47">
        <f t="shared" si="7"/>
        <v>21290.202399999998</v>
      </c>
      <c r="Q53" s="17"/>
    </row>
    <row r="54" spans="2:17" ht="15.75" x14ac:dyDescent="0.25">
      <c r="B54" s="48" t="s">
        <v>138</v>
      </c>
      <c r="C54" s="17"/>
      <c r="D54" s="87">
        <f>'6. Historical Wholesale'!D54</f>
        <v>9980</v>
      </c>
      <c r="E54" s="88">
        <f t="shared" si="11"/>
        <v>3.3265000000000002</v>
      </c>
      <c r="F54" s="89">
        <f t="shared" si="8"/>
        <v>33198.47</v>
      </c>
      <c r="G54" s="17"/>
      <c r="H54" s="87">
        <f>'6. Historical Wholesale'!H54</f>
        <v>10229</v>
      </c>
      <c r="I54" s="88">
        <f t="shared" si="12"/>
        <v>0.76669999999999994</v>
      </c>
      <c r="J54" s="89">
        <f t="shared" si="9"/>
        <v>7842.5742999999993</v>
      </c>
      <c r="K54" s="17"/>
      <c r="L54" s="87">
        <f>'6. Historical Wholesale'!L54</f>
        <v>8475</v>
      </c>
      <c r="M54" s="88">
        <f t="shared" si="13"/>
        <v>1.63</v>
      </c>
      <c r="N54" s="89">
        <f t="shared" si="10"/>
        <v>13814.25</v>
      </c>
      <c r="O54" s="17"/>
      <c r="P54" s="47">
        <f t="shared" si="7"/>
        <v>21656.8243</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112052</v>
      </c>
      <c r="E56" s="51">
        <f>IF(D56&lt;&gt;0,F56/D56,0)</f>
        <v>3.3265000000000002</v>
      </c>
      <c r="F56" s="52">
        <f>SUM(F43:F54)</f>
        <v>372740.978</v>
      </c>
      <c r="G56" s="17"/>
      <c r="H56" s="50">
        <f>SUM(H43:H54)</f>
        <v>112769</v>
      </c>
      <c r="I56" s="51">
        <f>IF(H56&lt;&gt;0,J56/H56,0)</f>
        <v>0.76669999999999983</v>
      </c>
      <c r="J56" s="52">
        <f>SUM(J43:J54)</f>
        <v>86459.992299999984</v>
      </c>
      <c r="K56" s="17"/>
      <c r="L56" s="50">
        <f>SUM(L43:L54)</f>
        <v>95307</v>
      </c>
      <c r="M56" s="51">
        <f>IF(L56&lt;&gt;0,N56/L56,0)</f>
        <v>1.6300000000000001</v>
      </c>
      <c r="N56" s="52">
        <f>SUM(N43:N54)</f>
        <v>155350.41</v>
      </c>
      <c r="O56" s="17"/>
      <c r="P56" s="52">
        <f>SUM(P43:P54)</f>
        <v>241810.40229999999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7" t="s">
        <v>227</v>
      </c>
      <c r="E58" s="207"/>
      <c r="F58" s="207"/>
      <c r="G58" s="140"/>
      <c r="H58" s="207" t="s">
        <v>230</v>
      </c>
      <c r="I58" s="207"/>
      <c r="J58" s="207"/>
      <c r="K58" s="140"/>
      <c r="L58" s="207" t="s">
        <v>229</v>
      </c>
      <c r="M58" s="207"/>
      <c r="N58" s="207"/>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7" t="s">
        <v>227</v>
      </c>
      <c r="E77" s="207"/>
      <c r="F77" s="207"/>
      <c r="G77" s="140"/>
      <c r="H77" s="207" t="s">
        <v>230</v>
      </c>
      <c r="I77" s="207"/>
      <c r="J77" s="207"/>
      <c r="K77" s="140"/>
      <c r="L77" s="207" t="s">
        <v>229</v>
      </c>
      <c r="M77" s="207"/>
      <c r="N77" s="207"/>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7" t="s">
        <v>227</v>
      </c>
      <c r="E96" s="207"/>
      <c r="F96" s="207"/>
      <c r="G96" s="140"/>
      <c r="H96" s="207" t="s">
        <v>230</v>
      </c>
      <c r="I96" s="207"/>
      <c r="J96" s="207"/>
      <c r="K96" s="140"/>
      <c r="L96" s="207" t="s">
        <v>229</v>
      </c>
      <c r="M96" s="207"/>
      <c r="N96" s="207"/>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94176</v>
      </c>
      <c r="E100" s="86">
        <f t="shared" ref="E100:E111" si="28">IF(D100&lt;&gt;0,F100/D100,0)</f>
        <v>3.5980663704128437</v>
      </c>
      <c r="F100" s="47">
        <f>F24+F43+F62+F81</f>
        <v>338851.49849999999</v>
      </c>
      <c r="G100" s="17"/>
      <c r="H100" s="53">
        <f>H24+H43+H62+H81</f>
        <v>94425</v>
      </c>
      <c r="I100" s="86">
        <f t="shared" ref="I100:I111" si="29">IF(H100&lt;&gt;0,J100/H100,0)</f>
        <v>0.75175250516282754</v>
      </c>
      <c r="J100" s="47">
        <f>J24+J43+J62+J81</f>
        <v>70984.230299999996</v>
      </c>
      <c r="K100" s="17"/>
      <c r="L100" s="53">
        <f>L24+L43+L62+L81</f>
        <v>92895</v>
      </c>
      <c r="M100" s="86">
        <f t="shared" ref="M100:M111" si="30">IF(L100&lt;&gt;0,N100/L100,0)</f>
        <v>1.8301563055062167</v>
      </c>
      <c r="N100" s="47">
        <f>N24+N43+N62+N81</f>
        <v>170012.37</v>
      </c>
      <c r="O100" s="17"/>
      <c r="P100" s="47">
        <f t="shared" ref="P100:P111" si="31">J100+N100</f>
        <v>240996.60029999999</v>
      </c>
      <c r="Q100" s="17"/>
    </row>
    <row r="101" spans="2:17" ht="15.75" x14ac:dyDescent="0.25">
      <c r="B101" s="48" t="s">
        <v>128</v>
      </c>
      <c r="C101" s="17"/>
      <c r="D101" s="53">
        <f t="shared" ref="D101:D111" si="32">D25+D44+D63+D82</f>
        <v>87502</v>
      </c>
      <c r="E101" s="86">
        <f t="shared" si="28"/>
        <v>3.5963729686178598</v>
      </c>
      <c r="F101" s="47">
        <f t="shared" ref="F101:F111" si="33">F25+F44+F63+F82</f>
        <v>314689.82749999996</v>
      </c>
      <c r="G101" s="17"/>
      <c r="H101" s="53">
        <f t="shared" ref="H101:H111" si="34">H25+H44+H63+H82</f>
        <v>91153</v>
      </c>
      <c r="I101" s="86">
        <f t="shared" si="29"/>
        <v>0.75178445031979191</v>
      </c>
      <c r="J101" s="47">
        <f t="shared" ref="J101:J111" si="35">J25+J44+J63+J82</f>
        <v>68527.407999999996</v>
      </c>
      <c r="K101" s="17"/>
      <c r="L101" s="53">
        <f t="shared" ref="L101:L111" si="36">L25+L44+L63+L82</f>
        <v>89743</v>
      </c>
      <c r="M101" s="86">
        <f t="shared" si="30"/>
        <v>1.8295794658079183</v>
      </c>
      <c r="N101" s="47">
        <f t="shared" ref="N101:N111" si="37">N25+N44+N63+N82</f>
        <v>164191.95000000001</v>
      </c>
      <c r="O101" s="17"/>
      <c r="P101" s="47">
        <f t="shared" si="31"/>
        <v>232719.35800000001</v>
      </c>
      <c r="Q101" s="17"/>
    </row>
    <row r="102" spans="2:17" ht="15.75" x14ac:dyDescent="0.25">
      <c r="B102" s="48" t="s">
        <v>129</v>
      </c>
      <c r="C102" s="17"/>
      <c r="D102" s="53">
        <f t="shared" si="32"/>
        <v>89458</v>
      </c>
      <c r="E102" s="86">
        <f t="shared" si="28"/>
        <v>3.5975696248518858</v>
      </c>
      <c r="F102" s="47">
        <f t="shared" si="33"/>
        <v>321831.3835</v>
      </c>
      <c r="G102" s="17"/>
      <c r="H102" s="53">
        <f t="shared" si="34"/>
        <v>89849</v>
      </c>
      <c r="I102" s="86">
        <f t="shared" si="29"/>
        <v>0.75177744994379458</v>
      </c>
      <c r="J102" s="47">
        <f t="shared" si="35"/>
        <v>67546.452099999995</v>
      </c>
      <c r="K102" s="17"/>
      <c r="L102" s="53">
        <f t="shared" si="36"/>
        <v>88516</v>
      </c>
      <c r="M102" s="86">
        <f t="shared" si="30"/>
        <v>1.8295449410276108</v>
      </c>
      <c r="N102" s="47">
        <f t="shared" si="37"/>
        <v>161944</v>
      </c>
      <c r="O102" s="17"/>
      <c r="P102" s="47">
        <f t="shared" si="31"/>
        <v>229490.45209999999</v>
      </c>
      <c r="Q102" s="17"/>
    </row>
    <row r="103" spans="2:17" ht="15.75" x14ac:dyDescent="0.25">
      <c r="B103" s="48" t="s">
        <v>130</v>
      </c>
      <c r="C103" s="17"/>
      <c r="D103" s="53">
        <f t="shared" si="32"/>
        <v>82445</v>
      </c>
      <c r="E103" s="86">
        <f t="shared" si="28"/>
        <v>3.5979916004609129</v>
      </c>
      <c r="F103" s="47">
        <f t="shared" si="33"/>
        <v>296636.41749999998</v>
      </c>
      <c r="G103" s="17"/>
      <c r="H103" s="53">
        <f t="shared" si="34"/>
        <v>83960</v>
      </c>
      <c r="I103" s="86">
        <f t="shared" si="29"/>
        <v>0.75173026798475462</v>
      </c>
      <c r="J103" s="47">
        <f t="shared" si="35"/>
        <v>63115.273300000001</v>
      </c>
      <c r="K103" s="17"/>
      <c r="L103" s="53">
        <f t="shared" si="36"/>
        <v>82828</v>
      </c>
      <c r="M103" s="86">
        <f t="shared" si="30"/>
        <v>1.8299012411261892</v>
      </c>
      <c r="N103" s="47">
        <f t="shared" si="37"/>
        <v>151567.06</v>
      </c>
      <c r="O103" s="17"/>
      <c r="P103" s="47">
        <f t="shared" si="31"/>
        <v>214682.3333</v>
      </c>
      <c r="Q103" s="17"/>
    </row>
    <row r="104" spans="2:17" ht="15.75" x14ac:dyDescent="0.25">
      <c r="B104" s="48" t="s">
        <v>131</v>
      </c>
      <c r="C104" s="17"/>
      <c r="D104" s="53">
        <f t="shared" si="32"/>
        <v>92959</v>
      </c>
      <c r="E104" s="86">
        <f t="shared" si="28"/>
        <v>3.6028361966028033</v>
      </c>
      <c r="F104" s="47">
        <f t="shared" si="33"/>
        <v>334916.05</v>
      </c>
      <c r="G104" s="17"/>
      <c r="H104" s="53">
        <f t="shared" si="34"/>
        <v>94950</v>
      </c>
      <c r="I104" s="86">
        <f t="shared" si="29"/>
        <v>0.75146333859926284</v>
      </c>
      <c r="J104" s="47">
        <f t="shared" si="35"/>
        <v>71351.444000000003</v>
      </c>
      <c r="K104" s="17"/>
      <c r="L104" s="53">
        <f t="shared" si="36"/>
        <v>93625</v>
      </c>
      <c r="M104" s="86">
        <f t="shared" si="30"/>
        <v>1.8335631508678238</v>
      </c>
      <c r="N104" s="47">
        <f t="shared" si="37"/>
        <v>171667.35</v>
      </c>
      <c r="O104" s="17"/>
      <c r="P104" s="47">
        <f t="shared" si="31"/>
        <v>243018.79399999999</v>
      </c>
      <c r="Q104" s="17"/>
    </row>
    <row r="105" spans="2:17" ht="15.75" x14ac:dyDescent="0.25">
      <c r="B105" s="48" t="s">
        <v>132</v>
      </c>
      <c r="C105" s="17"/>
      <c r="D105" s="53">
        <f t="shared" si="32"/>
        <v>103009</v>
      </c>
      <c r="E105" s="86">
        <f t="shared" si="28"/>
        <v>3.6024723033909662</v>
      </c>
      <c r="F105" s="47">
        <f t="shared" si="33"/>
        <v>371087.06950000004</v>
      </c>
      <c r="G105" s="17"/>
      <c r="H105" s="53">
        <f t="shared" si="34"/>
        <v>104706</v>
      </c>
      <c r="I105" s="86">
        <f t="shared" si="29"/>
        <v>0.75149015433690525</v>
      </c>
      <c r="J105" s="47">
        <f t="shared" si="35"/>
        <v>78685.528099999996</v>
      </c>
      <c r="K105" s="17"/>
      <c r="L105" s="53">
        <f t="shared" si="36"/>
        <v>103140</v>
      </c>
      <c r="M105" s="86">
        <f t="shared" si="30"/>
        <v>1.8334114795423699</v>
      </c>
      <c r="N105" s="47">
        <f t="shared" si="37"/>
        <v>189098.06000000003</v>
      </c>
      <c r="O105" s="17"/>
      <c r="P105" s="47">
        <f t="shared" si="31"/>
        <v>267783.58810000005</v>
      </c>
      <c r="Q105" s="17"/>
    </row>
    <row r="106" spans="2:17" ht="15.75" x14ac:dyDescent="0.25">
      <c r="B106" s="48" t="s">
        <v>133</v>
      </c>
      <c r="C106" s="17"/>
      <c r="D106" s="53">
        <f t="shared" si="32"/>
        <v>105529</v>
      </c>
      <c r="E106" s="86">
        <f t="shared" si="28"/>
        <v>3.6013062807379965</v>
      </c>
      <c r="F106" s="47">
        <f t="shared" si="33"/>
        <v>380042.25050000002</v>
      </c>
      <c r="G106" s="17"/>
      <c r="H106" s="53">
        <f t="shared" si="34"/>
        <v>105546</v>
      </c>
      <c r="I106" s="86">
        <f t="shared" si="29"/>
        <v>0.75157860932673914</v>
      </c>
      <c r="J106" s="47">
        <f t="shared" si="35"/>
        <v>79326.115900000004</v>
      </c>
      <c r="K106" s="17"/>
      <c r="L106" s="53">
        <f t="shared" si="36"/>
        <v>103867</v>
      </c>
      <c r="M106" s="86">
        <f t="shared" si="30"/>
        <v>1.8324240615402387</v>
      </c>
      <c r="N106" s="47">
        <f t="shared" si="37"/>
        <v>190328.38999999998</v>
      </c>
      <c r="O106" s="17"/>
      <c r="P106" s="47">
        <f t="shared" si="31"/>
        <v>269654.50589999999</v>
      </c>
      <c r="Q106" s="17"/>
    </row>
    <row r="107" spans="2:17" ht="15.75" x14ac:dyDescent="0.25">
      <c r="B107" s="48" t="s">
        <v>134</v>
      </c>
      <c r="C107" s="17"/>
      <c r="D107" s="53">
        <f t="shared" si="32"/>
        <v>96097</v>
      </c>
      <c r="E107" s="86">
        <f t="shared" si="28"/>
        <v>3.6023746370854446</v>
      </c>
      <c r="F107" s="47">
        <f t="shared" si="33"/>
        <v>346177.39549999998</v>
      </c>
      <c r="G107" s="17"/>
      <c r="H107" s="53">
        <f t="shared" si="34"/>
        <v>97980</v>
      </c>
      <c r="I107" s="86">
        <f t="shared" si="29"/>
        <v>0.75149444376403352</v>
      </c>
      <c r="J107" s="47">
        <f t="shared" si="35"/>
        <v>73631.425600000002</v>
      </c>
      <c r="K107" s="17"/>
      <c r="L107" s="53">
        <f t="shared" si="36"/>
        <v>96486</v>
      </c>
      <c r="M107" s="86">
        <f t="shared" si="30"/>
        <v>1.8334143813610266</v>
      </c>
      <c r="N107" s="47">
        <f t="shared" si="37"/>
        <v>176898.82</v>
      </c>
      <c r="O107" s="17"/>
      <c r="P107" s="47">
        <f t="shared" si="31"/>
        <v>250530.24560000002</v>
      </c>
      <c r="Q107" s="17"/>
    </row>
    <row r="108" spans="2:17" ht="15.75" x14ac:dyDescent="0.25">
      <c r="B108" s="48" t="s">
        <v>135</v>
      </c>
      <c r="C108" s="17"/>
      <c r="D108" s="53">
        <f t="shared" si="32"/>
        <v>93588</v>
      </c>
      <c r="E108" s="86">
        <f t="shared" si="28"/>
        <v>3.6027171699363167</v>
      </c>
      <c r="F108" s="47">
        <f t="shared" si="33"/>
        <v>337171.09450000001</v>
      </c>
      <c r="G108" s="17"/>
      <c r="H108" s="53">
        <f t="shared" si="34"/>
        <v>94256</v>
      </c>
      <c r="I108" s="86">
        <f t="shared" si="29"/>
        <v>0.75153647937531831</v>
      </c>
      <c r="J108" s="47">
        <f t="shared" si="35"/>
        <v>70836.822400000005</v>
      </c>
      <c r="K108" s="17"/>
      <c r="L108" s="53">
        <f t="shared" si="36"/>
        <v>92768</v>
      </c>
      <c r="M108" s="86">
        <f t="shared" si="30"/>
        <v>1.8329630907209384</v>
      </c>
      <c r="N108" s="47">
        <f t="shared" si="37"/>
        <v>170040.32000000001</v>
      </c>
      <c r="O108" s="17"/>
      <c r="P108" s="47">
        <f t="shared" si="31"/>
        <v>240877.14240000001</v>
      </c>
      <c r="Q108" s="17"/>
    </row>
    <row r="109" spans="2:17" ht="15.75" x14ac:dyDescent="0.25">
      <c r="B109" s="48" t="s">
        <v>136</v>
      </c>
      <c r="C109" s="17"/>
      <c r="D109" s="53">
        <f t="shared" si="32"/>
        <v>86471</v>
      </c>
      <c r="E109" s="86">
        <f t="shared" si="28"/>
        <v>3.5964248013784963</v>
      </c>
      <c r="F109" s="47">
        <f t="shared" si="33"/>
        <v>310986.44899999996</v>
      </c>
      <c r="G109" s="17"/>
      <c r="H109" s="53">
        <f t="shared" si="34"/>
        <v>87587</v>
      </c>
      <c r="I109" s="86">
        <f t="shared" si="29"/>
        <v>0.75184509002477529</v>
      </c>
      <c r="J109" s="47">
        <f t="shared" si="35"/>
        <v>65851.855899999995</v>
      </c>
      <c r="K109" s="17"/>
      <c r="L109" s="53">
        <f t="shared" si="36"/>
        <v>86290</v>
      </c>
      <c r="M109" s="86">
        <f t="shared" si="30"/>
        <v>1.8286348360180784</v>
      </c>
      <c r="N109" s="47">
        <f t="shared" si="37"/>
        <v>157792.9</v>
      </c>
      <c r="O109" s="17"/>
      <c r="P109" s="47">
        <f t="shared" si="31"/>
        <v>223644.75589999999</v>
      </c>
      <c r="Q109" s="17"/>
    </row>
    <row r="110" spans="2:17" ht="15.75" x14ac:dyDescent="0.25">
      <c r="B110" s="48" t="s">
        <v>137</v>
      </c>
      <c r="C110" s="17"/>
      <c r="D110" s="53">
        <f t="shared" si="32"/>
        <v>89549</v>
      </c>
      <c r="E110" s="86">
        <f t="shared" si="28"/>
        <v>3.5966231002021236</v>
      </c>
      <c r="F110" s="47">
        <f t="shared" si="33"/>
        <v>322074.00199999998</v>
      </c>
      <c r="G110" s="17"/>
      <c r="H110" s="53">
        <f t="shared" si="34"/>
        <v>90742</v>
      </c>
      <c r="I110" s="86">
        <f t="shared" si="29"/>
        <v>0.75181682572568376</v>
      </c>
      <c r="J110" s="47">
        <f t="shared" si="35"/>
        <v>68221.362399999998</v>
      </c>
      <c r="K110" s="17"/>
      <c r="L110" s="53">
        <f t="shared" si="36"/>
        <v>89288</v>
      </c>
      <c r="M110" s="86">
        <f t="shared" si="30"/>
        <v>1.8292585789803781</v>
      </c>
      <c r="N110" s="47">
        <f t="shared" si="37"/>
        <v>163330.84</v>
      </c>
      <c r="O110" s="17"/>
      <c r="P110" s="47">
        <f t="shared" si="31"/>
        <v>231552.20240000001</v>
      </c>
      <c r="Q110" s="17"/>
    </row>
    <row r="111" spans="2:17" ht="15.75" x14ac:dyDescent="0.25">
      <c r="B111" s="48" t="s">
        <v>138</v>
      </c>
      <c r="C111" s="17"/>
      <c r="D111" s="53">
        <f t="shared" si="32"/>
        <v>90814</v>
      </c>
      <c r="E111" s="86">
        <f t="shared" si="28"/>
        <v>3.5966468826392406</v>
      </c>
      <c r="F111" s="47">
        <f t="shared" si="33"/>
        <v>326625.89</v>
      </c>
      <c r="G111" s="17"/>
      <c r="H111" s="53">
        <f t="shared" si="34"/>
        <v>92019</v>
      </c>
      <c r="I111" s="86">
        <f t="shared" si="29"/>
        <v>0.75185640248209606</v>
      </c>
      <c r="J111" s="47">
        <f t="shared" si="35"/>
        <v>69185.074299999993</v>
      </c>
      <c r="K111" s="17"/>
      <c r="L111" s="53">
        <f t="shared" si="36"/>
        <v>90265</v>
      </c>
      <c r="M111" s="86">
        <f t="shared" si="30"/>
        <v>1.8293441533263171</v>
      </c>
      <c r="N111" s="47">
        <f t="shared" si="37"/>
        <v>165125.75</v>
      </c>
      <c r="O111" s="17"/>
      <c r="P111" s="47">
        <f t="shared" si="31"/>
        <v>234310.82429999998</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1111597</v>
      </c>
      <c r="E113" s="51">
        <f>IF(D113&lt;&gt;0,F113/D113,0)</f>
        <v>3.5994063747923035</v>
      </c>
      <c r="F113" s="52">
        <f>SUM(F100:F111)</f>
        <v>4001089.3280000002</v>
      </c>
      <c r="G113" s="17"/>
      <c r="H113" s="50">
        <f>SUM(H100:H111)</f>
        <v>1127173</v>
      </c>
      <c r="I113" s="51">
        <f>IF(H113&lt;&gt;0,J113/H113,0)</f>
        <v>0.75167076597824822</v>
      </c>
      <c r="J113" s="52">
        <f>SUM(J100:J111)</f>
        <v>847262.99229999993</v>
      </c>
      <c r="K113" s="17"/>
      <c r="L113" s="50">
        <f>SUM(L100:L111)</f>
        <v>1109711</v>
      </c>
      <c r="M113" s="51">
        <f>IF(L113&lt;&gt;0,N113/L113,0)</f>
        <v>1.8311054049207407</v>
      </c>
      <c r="N113" s="52">
        <f>SUM(N100:N111)</f>
        <v>2031997.81</v>
      </c>
      <c r="O113" s="17"/>
      <c r="P113" s="52">
        <f>SUM(P100:P111)</f>
        <v>2879260.8023000001</v>
      </c>
      <c r="Q113" s="17"/>
    </row>
    <row r="115" spans="2:17" x14ac:dyDescent="0.2">
      <c r="N115" s="169" t="s">
        <v>255</v>
      </c>
      <c r="P115" s="172">
        <f>'5. UTRs and Sub-Transmission'!G95</f>
        <v>0</v>
      </c>
    </row>
    <row r="117" spans="2:17" ht="13.5" thickBot="1" x14ac:dyDescent="0.25">
      <c r="N117" s="170" t="s">
        <v>258</v>
      </c>
      <c r="P117" s="52">
        <f>P113+P115</f>
        <v>2879260.8023000001</v>
      </c>
    </row>
  </sheetData>
  <sheetProtection password="F8BD"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4803149606299213" right="0.51181102362204722" top="0.98425196850393704" bottom="0.35433070866141736" header="0.51181102362204722" footer="0.15748031496062992"/>
  <pageSetup scale="35"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117"/>
  <sheetViews>
    <sheetView showGridLines="0" topLeftCell="B1" zoomScaleNormal="100" workbookViewId="0">
      <pane ySplit="16" topLeftCell="A105" activePane="bottomLeft" state="frozenSplit"/>
      <selection activeCell="I48" sqref="I48"/>
      <selection pane="bottomLeft" activeCell="M82" sqref="M82"/>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5" t="s">
        <v>251</v>
      </c>
      <c r="C13" s="205"/>
      <c r="D13" s="205"/>
      <c r="E13" s="205"/>
      <c r="F13" s="205"/>
      <c r="G13" s="205"/>
      <c r="H13" s="205"/>
      <c r="I13" s="205"/>
      <c r="J13" s="205"/>
      <c r="K13" s="205"/>
      <c r="L13" s="205"/>
      <c r="M13" s="205"/>
    </row>
    <row r="19" spans="2:17" ht="15.75" x14ac:dyDescent="0.25">
      <c r="B19" s="17"/>
      <c r="C19" s="17"/>
      <c r="D19" s="18"/>
      <c r="E19" s="21"/>
      <c r="F19" s="17"/>
      <c r="G19" s="21"/>
      <c r="H19" s="17"/>
    </row>
    <row r="20" spans="2:17" ht="15.75" x14ac:dyDescent="0.2">
      <c r="B20" s="141" t="s">
        <v>226</v>
      </c>
      <c r="C20" s="140"/>
      <c r="D20" s="207" t="s">
        <v>227</v>
      </c>
      <c r="E20" s="207"/>
      <c r="F20" s="207"/>
      <c r="G20" s="140"/>
      <c r="H20" s="207" t="s">
        <v>230</v>
      </c>
      <c r="I20" s="207"/>
      <c r="J20" s="207"/>
      <c r="K20" s="140"/>
      <c r="L20" s="207" t="s">
        <v>229</v>
      </c>
      <c r="M20" s="207"/>
      <c r="N20" s="207"/>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84267</v>
      </c>
      <c r="E24" s="88">
        <f>'5. UTRs and Sub-Transmission'!I22</f>
        <v>3.82</v>
      </c>
      <c r="F24" s="89">
        <f t="shared" ref="F24:F35" si="0">D24*E24</f>
        <v>321899.94</v>
      </c>
      <c r="G24" s="17"/>
      <c r="H24" s="87">
        <f>'6. Historical Wholesale'!H24</f>
        <v>84516</v>
      </c>
      <c r="I24" s="88">
        <f>'5. UTRs and Sub-Transmission'!I24</f>
        <v>0.82</v>
      </c>
      <c r="J24" s="89">
        <f t="shared" ref="J24:J35" si="1">H24*I24</f>
        <v>69303.12</v>
      </c>
      <c r="K24" s="17"/>
      <c r="L24" s="87">
        <f>'6. Historical Wholesale'!L24</f>
        <v>84516</v>
      </c>
      <c r="M24" s="88">
        <f>'5. UTRs and Sub-Transmission'!I26</f>
        <v>1.98</v>
      </c>
      <c r="N24" s="89">
        <f t="shared" ref="N24:N35" si="2">L24*M24</f>
        <v>167341.68</v>
      </c>
      <c r="O24" s="17"/>
      <c r="P24" s="47">
        <f t="shared" ref="P24:P35" si="3">J24+N24</f>
        <v>236644.8</v>
      </c>
      <c r="Q24" s="17"/>
    </row>
    <row r="25" spans="2:17" ht="15.75" x14ac:dyDescent="0.25">
      <c r="B25" s="48" t="s">
        <v>128</v>
      </c>
      <c r="C25" s="17"/>
      <c r="D25" s="87">
        <f>'6. Historical Wholesale'!D25</f>
        <v>77807</v>
      </c>
      <c r="E25" s="88">
        <f t="shared" ref="E25:E35" si="4">E24</f>
        <v>3.82</v>
      </c>
      <c r="F25" s="89">
        <f t="shared" si="0"/>
        <v>297222.74</v>
      </c>
      <c r="G25" s="17"/>
      <c r="H25" s="87">
        <f>'6. Historical Wholesale'!H25</f>
        <v>81413</v>
      </c>
      <c r="I25" s="88">
        <f t="shared" ref="I25:I35" si="5">I24</f>
        <v>0.82</v>
      </c>
      <c r="J25" s="89">
        <f t="shared" si="1"/>
        <v>66758.659999999989</v>
      </c>
      <c r="K25" s="17"/>
      <c r="L25" s="87">
        <f>'6. Historical Wholesale'!L25</f>
        <v>81413</v>
      </c>
      <c r="M25" s="88">
        <f t="shared" ref="M25:M35" si="6">M24</f>
        <v>1.98</v>
      </c>
      <c r="N25" s="89">
        <f t="shared" si="2"/>
        <v>161197.74</v>
      </c>
      <c r="O25" s="17"/>
      <c r="P25" s="47">
        <f t="shared" si="3"/>
        <v>227956.39999999997</v>
      </c>
      <c r="Q25" s="17"/>
    </row>
    <row r="26" spans="2:17" ht="15.75" x14ac:dyDescent="0.25">
      <c r="B26" s="48" t="s">
        <v>129</v>
      </c>
      <c r="C26" s="17"/>
      <c r="D26" s="87">
        <f>'6. Historical Wholesale'!D26</f>
        <v>79899</v>
      </c>
      <c r="E26" s="88">
        <f t="shared" si="4"/>
        <v>3.82</v>
      </c>
      <c r="F26" s="89">
        <f t="shared" si="0"/>
        <v>305214.18</v>
      </c>
      <c r="G26" s="17"/>
      <c r="H26" s="87">
        <f>'6. Historical Wholesale'!H26</f>
        <v>80286</v>
      </c>
      <c r="I26" s="88">
        <f t="shared" si="5"/>
        <v>0.82</v>
      </c>
      <c r="J26" s="89">
        <f t="shared" si="1"/>
        <v>65834.51999999999</v>
      </c>
      <c r="K26" s="17"/>
      <c r="L26" s="87">
        <f>'6. Historical Wholesale'!L26</f>
        <v>80286</v>
      </c>
      <c r="M26" s="88">
        <f t="shared" si="6"/>
        <v>1.98</v>
      </c>
      <c r="N26" s="89">
        <f t="shared" si="2"/>
        <v>158966.28</v>
      </c>
      <c r="O26" s="17"/>
      <c r="P26" s="47">
        <f t="shared" si="3"/>
        <v>224800.8</v>
      </c>
      <c r="Q26" s="17"/>
    </row>
    <row r="27" spans="2:17" ht="15.75" x14ac:dyDescent="0.25">
      <c r="B27" s="48" t="s">
        <v>130</v>
      </c>
      <c r="C27" s="17"/>
      <c r="D27" s="87">
        <f>'6. Historical Wholesale'!D27</f>
        <v>73750</v>
      </c>
      <c r="E27" s="88">
        <f t="shared" si="4"/>
        <v>3.82</v>
      </c>
      <c r="F27" s="89">
        <f t="shared" si="0"/>
        <v>281725</v>
      </c>
      <c r="G27" s="17"/>
      <c r="H27" s="87">
        <f>'6. Historical Wholesale'!H27</f>
        <v>75261</v>
      </c>
      <c r="I27" s="88">
        <f t="shared" si="5"/>
        <v>0.82</v>
      </c>
      <c r="J27" s="89">
        <f t="shared" si="1"/>
        <v>61714.02</v>
      </c>
      <c r="K27" s="17"/>
      <c r="L27" s="87">
        <f>'6. Historical Wholesale'!L27</f>
        <v>75261</v>
      </c>
      <c r="M27" s="88">
        <f t="shared" si="6"/>
        <v>1.98</v>
      </c>
      <c r="N27" s="89">
        <f t="shared" si="2"/>
        <v>149016.78</v>
      </c>
      <c r="O27" s="17"/>
      <c r="P27" s="47">
        <f t="shared" si="3"/>
        <v>210730.8</v>
      </c>
      <c r="Q27" s="17"/>
    </row>
    <row r="28" spans="2:17" ht="15.75" x14ac:dyDescent="0.25">
      <c r="B28" s="48" t="s">
        <v>131</v>
      </c>
      <c r="C28" s="17"/>
      <c r="D28" s="87">
        <f>'6. Historical Wholesale'!D28</f>
        <v>84639</v>
      </c>
      <c r="E28" s="88">
        <f t="shared" si="4"/>
        <v>3.82</v>
      </c>
      <c r="F28" s="89">
        <f t="shared" si="0"/>
        <v>323320.98</v>
      </c>
      <c r="G28" s="17"/>
      <c r="H28" s="87">
        <f>'6. Historical Wholesale'!H28</f>
        <v>86630</v>
      </c>
      <c r="I28" s="88">
        <f t="shared" si="5"/>
        <v>0.82</v>
      </c>
      <c r="J28" s="89">
        <f t="shared" si="1"/>
        <v>71036.599999999991</v>
      </c>
      <c r="K28" s="17"/>
      <c r="L28" s="87">
        <f>'6. Historical Wholesale'!L28</f>
        <v>86630</v>
      </c>
      <c r="M28" s="88">
        <f t="shared" si="6"/>
        <v>1.98</v>
      </c>
      <c r="N28" s="89">
        <f t="shared" si="2"/>
        <v>171527.4</v>
      </c>
      <c r="O28" s="17"/>
      <c r="P28" s="47">
        <f t="shared" si="3"/>
        <v>242564</v>
      </c>
      <c r="Q28" s="17"/>
    </row>
    <row r="29" spans="2:17" ht="15.75" x14ac:dyDescent="0.25">
      <c r="B29" s="48" t="s">
        <v>132</v>
      </c>
      <c r="C29" s="17"/>
      <c r="D29" s="87">
        <f>'6. Historical Wholesale'!D29</f>
        <v>93666</v>
      </c>
      <c r="E29" s="88">
        <f t="shared" si="4"/>
        <v>3.82</v>
      </c>
      <c r="F29" s="89">
        <f t="shared" si="0"/>
        <v>357804.12</v>
      </c>
      <c r="G29" s="17"/>
      <c r="H29" s="87">
        <f>'6. Historical Wholesale'!H29</f>
        <v>95363</v>
      </c>
      <c r="I29" s="88">
        <f t="shared" si="5"/>
        <v>0.82</v>
      </c>
      <c r="J29" s="89">
        <f t="shared" si="1"/>
        <v>78197.659999999989</v>
      </c>
      <c r="K29" s="17"/>
      <c r="L29" s="87">
        <f>'6. Historical Wholesale'!L29</f>
        <v>95363</v>
      </c>
      <c r="M29" s="88">
        <f t="shared" si="6"/>
        <v>1.98</v>
      </c>
      <c r="N29" s="89">
        <f t="shared" si="2"/>
        <v>188818.74</v>
      </c>
      <c r="O29" s="17"/>
      <c r="P29" s="47">
        <f t="shared" si="3"/>
        <v>267016.39999999997</v>
      </c>
      <c r="Q29" s="17"/>
    </row>
    <row r="30" spans="2:17" ht="15.75" x14ac:dyDescent="0.25">
      <c r="B30" s="48" t="s">
        <v>133</v>
      </c>
      <c r="C30" s="17"/>
      <c r="D30" s="87">
        <f>'6. Historical Wholesale'!D30</f>
        <v>95552</v>
      </c>
      <c r="E30" s="88">
        <f t="shared" si="4"/>
        <v>3.82</v>
      </c>
      <c r="F30" s="89">
        <f t="shared" si="0"/>
        <v>365008.63999999996</v>
      </c>
      <c r="G30" s="17"/>
      <c r="H30" s="87">
        <f>'6. Historical Wholesale'!H30</f>
        <v>95569</v>
      </c>
      <c r="I30" s="88">
        <f t="shared" si="5"/>
        <v>0.82</v>
      </c>
      <c r="J30" s="89">
        <f t="shared" si="1"/>
        <v>78366.58</v>
      </c>
      <c r="K30" s="17"/>
      <c r="L30" s="87">
        <f>'6. Historical Wholesale'!L30</f>
        <v>95569</v>
      </c>
      <c r="M30" s="88">
        <f t="shared" si="6"/>
        <v>1.98</v>
      </c>
      <c r="N30" s="89">
        <f t="shared" si="2"/>
        <v>189226.62</v>
      </c>
      <c r="O30" s="17"/>
      <c r="P30" s="47">
        <f t="shared" si="3"/>
        <v>267593.2</v>
      </c>
      <c r="Q30" s="17"/>
    </row>
    <row r="31" spans="2:17" ht="15.75" x14ac:dyDescent="0.25">
      <c r="B31" s="48" t="s">
        <v>134</v>
      </c>
      <c r="C31" s="17"/>
      <c r="D31" s="87">
        <f>'6. Historical Wholesale'!D31</f>
        <v>87350</v>
      </c>
      <c r="E31" s="88">
        <f t="shared" si="4"/>
        <v>3.82</v>
      </c>
      <c r="F31" s="89">
        <f t="shared" si="0"/>
        <v>333677</v>
      </c>
      <c r="G31" s="17"/>
      <c r="H31" s="87">
        <f>'6. Historical Wholesale'!H31</f>
        <v>89212</v>
      </c>
      <c r="I31" s="88">
        <f t="shared" si="5"/>
        <v>0.82</v>
      </c>
      <c r="J31" s="89">
        <f t="shared" si="1"/>
        <v>73153.84</v>
      </c>
      <c r="K31" s="17"/>
      <c r="L31" s="87">
        <f>'6. Historical Wholesale'!L31</f>
        <v>89212</v>
      </c>
      <c r="M31" s="88">
        <f t="shared" si="6"/>
        <v>1.98</v>
      </c>
      <c r="N31" s="89">
        <f t="shared" si="2"/>
        <v>176639.76</v>
      </c>
      <c r="O31" s="17"/>
      <c r="P31" s="47">
        <f t="shared" si="3"/>
        <v>249793.6</v>
      </c>
      <c r="Q31" s="17"/>
    </row>
    <row r="32" spans="2:17" ht="15.75" x14ac:dyDescent="0.25">
      <c r="B32" s="48" t="s">
        <v>135</v>
      </c>
      <c r="C32" s="17"/>
      <c r="D32" s="87">
        <f>'6. Historical Wholesale'!D32</f>
        <v>85175</v>
      </c>
      <c r="E32" s="88">
        <f t="shared" si="4"/>
        <v>3.82</v>
      </c>
      <c r="F32" s="89">
        <f t="shared" si="0"/>
        <v>325368.5</v>
      </c>
      <c r="G32" s="17"/>
      <c r="H32" s="87">
        <f>'6. Historical Wholesale'!H32</f>
        <v>85584</v>
      </c>
      <c r="I32" s="88">
        <f t="shared" si="5"/>
        <v>0.82</v>
      </c>
      <c r="J32" s="89">
        <f t="shared" si="1"/>
        <v>70178.87999999999</v>
      </c>
      <c r="K32" s="17"/>
      <c r="L32" s="87">
        <f>'6. Historical Wholesale'!L32</f>
        <v>85584</v>
      </c>
      <c r="M32" s="88">
        <f t="shared" si="6"/>
        <v>1.98</v>
      </c>
      <c r="N32" s="89">
        <f t="shared" si="2"/>
        <v>169456.32</v>
      </c>
      <c r="O32" s="17"/>
      <c r="P32" s="47">
        <f t="shared" si="3"/>
        <v>239635.20000000001</v>
      </c>
      <c r="Q32" s="17"/>
    </row>
    <row r="33" spans="2:17" ht="15.75" x14ac:dyDescent="0.25">
      <c r="B33" s="48" t="s">
        <v>136</v>
      </c>
      <c r="C33" s="17"/>
      <c r="D33" s="87">
        <f>'6. Historical Wholesale'!D33</f>
        <v>76905</v>
      </c>
      <c r="E33" s="88">
        <f t="shared" si="4"/>
        <v>3.82</v>
      </c>
      <c r="F33" s="89">
        <f t="shared" si="0"/>
        <v>293777.09999999998</v>
      </c>
      <c r="G33" s="17"/>
      <c r="H33" s="87">
        <f>'6. Historical Wholesale'!H33</f>
        <v>77910</v>
      </c>
      <c r="I33" s="88">
        <f t="shared" si="5"/>
        <v>0.82</v>
      </c>
      <c r="J33" s="89">
        <f t="shared" si="1"/>
        <v>63886.2</v>
      </c>
      <c r="K33" s="17"/>
      <c r="L33" s="87">
        <f>'6. Historical Wholesale'!L33</f>
        <v>77910</v>
      </c>
      <c r="M33" s="88">
        <f t="shared" si="6"/>
        <v>1.98</v>
      </c>
      <c r="N33" s="89">
        <f t="shared" si="2"/>
        <v>154261.79999999999</v>
      </c>
      <c r="O33" s="17"/>
      <c r="P33" s="47">
        <f t="shared" si="3"/>
        <v>218148</v>
      </c>
      <c r="Q33" s="17"/>
    </row>
    <row r="34" spans="2:17" ht="15.75" x14ac:dyDescent="0.25">
      <c r="B34" s="48" t="s">
        <v>137</v>
      </c>
      <c r="C34" s="17"/>
      <c r="D34" s="87">
        <f>'6. Historical Wholesale'!D34</f>
        <v>79701</v>
      </c>
      <c r="E34" s="88">
        <f t="shared" si="4"/>
        <v>3.82</v>
      </c>
      <c r="F34" s="89">
        <f t="shared" si="0"/>
        <v>304457.82</v>
      </c>
      <c r="G34" s="17"/>
      <c r="H34" s="87">
        <f>'6. Historical Wholesale'!H34</f>
        <v>80870</v>
      </c>
      <c r="I34" s="88">
        <f t="shared" si="5"/>
        <v>0.82</v>
      </c>
      <c r="J34" s="89">
        <f t="shared" si="1"/>
        <v>66313.399999999994</v>
      </c>
      <c r="K34" s="17"/>
      <c r="L34" s="87">
        <f>'6. Historical Wholesale'!L34</f>
        <v>80870</v>
      </c>
      <c r="M34" s="88">
        <f t="shared" si="6"/>
        <v>1.98</v>
      </c>
      <c r="N34" s="89">
        <f t="shared" si="2"/>
        <v>160122.6</v>
      </c>
      <c r="O34" s="17"/>
      <c r="P34" s="47">
        <f t="shared" si="3"/>
        <v>226436</v>
      </c>
      <c r="Q34" s="17"/>
    </row>
    <row r="35" spans="2:17" ht="15.75" x14ac:dyDescent="0.25">
      <c r="B35" s="48" t="s">
        <v>138</v>
      </c>
      <c r="C35" s="17"/>
      <c r="D35" s="87">
        <f>'6. Historical Wholesale'!D35</f>
        <v>80834</v>
      </c>
      <c r="E35" s="88">
        <f t="shared" si="4"/>
        <v>3.82</v>
      </c>
      <c r="F35" s="89">
        <f t="shared" si="0"/>
        <v>308785.88</v>
      </c>
      <c r="G35" s="17"/>
      <c r="H35" s="87">
        <f>'6. Historical Wholesale'!H35</f>
        <v>81790</v>
      </c>
      <c r="I35" s="88">
        <f t="shared" si="5"/>
        <v>0.82</v>
      </c>
      <c r="J35" s="89">
        <f t="shared" si="1"/>
        <v>67067.8</v>
      </c>
      <c r="K35" s="17"/>
      <c r="L35" s="87">
        <f>'6. Historical Wholesale'!L35</f>
        <v>81790</v>
      </c>
      <c r="M35" s="88">
        <f t="shared" si="6"/>
        <v>1.98</v>
      </c>
      <c r="N35" s="89">
        <f t="shared" si="2"/>
        <v>161944.20000000001</v>
      </c>
      <c r="O35" s="17"/>
      <c r="P35" s="47">
        <f t="shared" si="3"/>
        <v>229012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999545</v>
      </c>
      <c r="E37" s="51">
        <f>IF(D37&lt;&gt;0,F37/D37,0)</f>
        <v>3.82</v>
      </c>
      <c r="F37" s="52">
        <f>SUM(F24:F35)</f>
        <v>3818261.9</v>
      </c>
      <c r="G37" s="17"/>
      <c r="H37" s="50">
        <f>SUM(H24:H35)</f>
        <v>1014404</v>
      </c>
      <c r="I37" s="51">
        <f>IF(H37&lt;&gt;0,J37/H37,0)</f>
        <v>0.82</v>
      </c>
      <c r="J37" s="52">
        <f>SUM(J24:J35)</f>
        <v>831811.27999999991</v>
      </c>
      <c r="K37" s="17"/>
      <c r="L37" s="50">
        <f>SUM(L24:L35)</f>
        <v>1014404</v>
      </c>
      <c r="M37" s="51">
        <f>IF(L37&lt;&gt;0,N37/L37,0)</f>
        <v>1.9800000000000002</v>
      </c>
      <c r="N37" s="52">
        <f>SUM(N24:N35)</f>
        <v>2008519.9200000002</v>
      </c>
      <c r="O37" s="17"/>
      <c r="P37" s="52">
        <f>SUM(P24:P35)</f>
        <v>2840331.2</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7" t="s">
        <v>227</v>
      </c>
      <c r="E39" s="207"/>
      <c r="F39" s="207"/>
      <c r="G39" s="140"/>
      <c r="H39" s="207" t="s">
        <v>230</v>
      </c>
      <c r="I39" s="207"/>
      <c r="J39" s="207"/>
      <c r="K39" s="140"/>
      <c r="L39" s="207" t="s">
        <v>229</v>
      </c>
      <c r="M39" s="207"/>
      <c r="N39" s="207"/>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9909</v>
      </c>
      <c r="E43" s="88">
        <f>'5. UTRs and Sub-Transmission'!I35+'5. UTRs and Sub-Transmission'!I79</f>
        <v>3.3765000000000001</v>
      </c>
      <c r="F43" s="89">
        <f t="shared" ref="F43:F54" si="7">D43*E43</f>
        <v>33457.738499999999</v>
      </c>
      <c r="G43" s="17"/>
      <c r="H43" s="87">
        <f>'6. Historical Wholesale'!H43</f>
        <v>9909</v>
      </c>
      <c r="I43" s="88">
        <f>'5. UTRs and Sub-Transmission'!I37+'5. UTRs and Sub-Transmission'!I81</f>
        <v>0.7167</v>
      </c>
      <c r="J43" s="89">
        <f t="shared" ref="J43:J54" si="8">H43*I43</f>
        <v>7101.7803000000004</v>
      </c>
      <c r="K43" s="17"/>
      <c r="L43" s="87">
        <f>'6. Historical Wholesale'!L43</f>
        <v>8379</v>
      </c>
      <c r="M43" s="88">
        <f>'5. UTRs and Sub-Transmission'!I39</f>
        <v>1.62</v>
      </c>
      <c r="N43" s="89">
        <f t="shared" ref="N43:N54" si="9">L43*M43</f>
        <v>13573.980000000001</v>
      </c>
      <c r="O43" s="17"/>
      <c r="P43" s="47">
        <f t="shared" ref="P43:P54" si="10">J43+N43</f>
        <v>20675.760300000002</v>
      </c>
      <c r="Q43" s="17"/>
    </row>
    <row r="44" spans="2:17" ht="15.75" x14ac:dyDescent="0.25">
      <c r="B44" s="48" t="s">
        <v>128</v>
      </c>
      <c r="C44" s="17"/>
      <c r="D44" s="87">
        <f>'6. Historical Wholesale'!D44</f>
        <v>9695</v>
      </c>
      <c r="E44" s="88">
        <f t="shared" ref="E44:E54" si="11">E43</f>
        <v>3.3765000000000001</v>
      </c>
      <c r="F44" s="89">
        <f t="shared" si="7"/>
        <v>32735.1675</v>
      </c>
      <c r="G44" s="17"/>
      <c r="H44" s="87">
        <f>'6. Historical Wholesale'!H44</f>
        <v>9740</v>
      </c>
      <c r="I44" s="88">
        <f t="shared" ref="I44:I54" si="12">I43</f>
        <v>0.7167</v>
      </c>
      <c r="J44" s="89">
        <f t="shared" si="8"/>
        <v>6980.6580000000004</v>
      </c>
      <c r="K44" s="17"/>
      <c r="L44" s="87">
        <f>'6. Historical Wholesale'!L44</f>
        <v>8330</v>
      </c>
      <c r="M44" s="88">
        <f t="shared" ref="M44:M54" si="13">M43</f>
        <v>1.62</v>
      </c>
      <c r="N44" s="89">
        <f t="shared" si="9"/>
        <v>13494.6</v>
      </c>
      <c r="O44" s="17"/>
      <c r="P44" s="47">
        <f t="shared" si="10"/>
        <v>20475.258000000002</v>
      </c>
      <c r="Q44" s="17"/>
    </row>
    <row r="45" spans="2:17" ht="15.75" x14ac:dyDescent="0.25">
      <c r="B45" s="48" t="s">
        <v>129</v>
      </c>
      <c r="C45" s="17"/>
      <c r="D45" s="87">
        <f>'6. Historical Wholesale'!D45</f>
        <v>9559</v>
      </c>
      <c r="E45" s="88">
        <f t="shared" si="11"/>
        <v>3.3765000000000001</v>
      </c>
      <c r="F45" s="89">
        <f t="shared" si="7"/>
        <v>32275.963500000002</v>
      </c>
      <c r="G45" s="17"/>
      <c r="H45" s="87">
        <f>'6. Historical Wholesale'!H45</f>
        <v>9563</v>
      </c>
      <c r="I45" s="88">
        <f t="shared" si="12"/>
        <v>0.7167</v>
      </c>
      <c r="J45" s="89">
        <f t="shared" si="8"/>
        <v>6853.8020999999999</v>
      </c>
      <c r="K45" s="17"/>
      <c r="L45" s="87">
        <f>'6. Historical Wholesale'!L45</f>
        <v>8230</v>
      </c>
      <c r="M45" s="88">
        <f t="shared" si="13"/>
        <v>1.62</v>
      </c>
      <c r="N45" s="89">
        <f t="shared" si="9"/>
        <v>13332.6</v>
      </c>
      <c r="O45" s="17"/>
      <c r="P45" s="47">
        <f t="shared" si="10"/>
        <v>20186.402099999999</v>
      </c>
      <c r="Q45" s="17"/>
    </row>
    <row r="46" spans="2:17" ht="15.75" x14ac:dyDescent="0.25">
      <c r="B46" s="48" t="s">
        <v>130</v>
      </c>
      <c r="C46" s="17"/>
      <c r="D46" s="87">
        <f>'6. Historical Wholesale'!D46</f>
        <v>8695</v>
      </c>
      <c r="E46" s="88">
        <f t="shared" si="11"/>
        <v>3.3765000000000001</v>
      </c>
      <c r="F46" s="89">
        <f t="shared" si="7"/>
        <v>29358.6675</v>
      </c>
      <c r="G46" s="17"/>
      <c r="H46" s="87">
        <f>'6. Historical Wholesale'!H46</f>
        <v>8699</v>
      </c>
      <c r="I46" s="88">
        <f t="shared" si="12"/>
        <v>0.7167</v>
      </c>
      <c r="J46" s="89">
        <f t="shared" si="8"/>
        <v>6234.5733</v>
      </c>
      <c r="K46" s="17"/>
      <c r="L46" s="87">
        <f>'6. Historical Wholesale'!L46</f>
        <v>7567</v>
      </c>
      <c r="M46" s="88">
        <f t="shared" si="13"/>
        <v>1.62</v>
      </c>
      <c r="N46" s="89">
        <f t="shared" si="9"/>
        <v>12258.54</v>
      </c>
      <c r="O46" s="17"/>
      <c r="P46" s="47">
        <f t="shared" si="10"/>
        <v>18493.113300000001</v>
      </c>
      <c r="Q46" s="17"/>
    </row>
    <row r="47" spans="2:17" ht="15.75" x14ac:dyDescent="0.25">
      <c r="B47" s="48" t="s">
        <v>131</v>
      </c>
      <c r="C47" s="17"/>
      <c r="D47" s="87">
        <f>'6. Historical Wholesale'!D47</f>
        <v>8320</v>
      </c>
      <c r="E47" s="88">
        <f t="shared" si="11"/>
        <v>3.3765000000000001</v>
      </c>
      <c r="F47" s="89">
        <f t="shared" si="7"/>
        <v>28092.48</v>
      </c>
      <c r="G47" s="17"/>
      <c r="H47" s="87">
        <f>'6. Historical Wholesale'!H47</f>
        <v>8320</v>
      </c>
      <c r="I47" s="88">
        <f t="shared" si="12"/>
        <v>0.7167</v>
      </c>
      <c r="J47" s="89">
        <f t="shared" si="8"/>
        <v>5962.9440000000004</v>
      </c>
      <c r="K47" s="17"/>
      <c r="L47" s="87">
        <f>'6. Historical Wholesale'!L47</f>
        <v>6995</v>
      </c>
      <c r="M47" s="88">
        <f t="shared" si="13"/>
        <v>1.62</v>
      </c>
      <c r="N47" s="89">
        <f t="shared" si="9"/>
        <v>11331.900000000001</v>
      </c>
      <c r="O47" s="17"/>
      <c r="P47" s="47">
        <f t="shared" si="10"/>
        <v>17294.844000000001</v>
      </c>
      <c r="Q47" s="17"/>
    </row>
    <row r="48" spans="2:17" ht="15.75" x14ac:dyDescent="0.25">
      <c r="B48" s="48" t="s">
        <v>132</v>
      </c>
      <c r="C48" s="17"/>
      <c r="D48" s="87">
        <f>'6. Historical Wholesale'!D48</f>
        <v>9343</v>
      </c>
      <c r="E48" s="88">
        <f t="shared" si="11"/>
        <v>3.3765000000000001</v>
      </c>
      <c r="F48" s="89">
        <f t="shared" si="7"/>
        <v>31546.639500000001</v>
      </c>
      <c r="G48" s="17"/>
      <c r="H48" s="87">
        <f>'6. Historical Wholesale'!H48</f>
        <v>9343</v>
      </c>
      <c r="I48" s="88">
        <f t="shared" si="12"/>
        <v>0.7167</v>
      </c>
      <c r="J48" s="89">
        <f t="shared" si="8"/>
        <v>6696.1280999999999</v>
      </c>
      <c r="K48" s="17"/>
      <c r="L48" s="87">
        <f>'6. Historical Wholesale'!L48</f>
        <v>7777</v>
      </c>
      <c r="M48" s="88">
        <f t="shared" si="13"/>
        <v>1.62</v>
      </c>
      <c r="N48" s="89">
        <f t="shared" si="9"/>
        <v>12598.740000000002</v>
      </c>
      <c r="O48" s="17"/>
      <c r="P48" s="47">
        <f t="shared" si="10"/>
        <v>19294.8681</v>
      </c>
      <c r="Q48" s="17"/>
    </row>
    <row r="49" spans="2:17" ht="15.75" x14ac:dyDescent="0.25">
      <c r="B49" s="48" t="s">
        <v>133</v>
      </c>
      <c r="C49" s="17"/>
      <c r="D49" s="87">
        <f>'6. Historical Wholesale'!D49</f>
        <v>9977</v>
      </c>
      <c r="E49" s="88">
        <f t="shared" si="11"/>
        <v>3.3765000000000001</v>
      </c>
      <c r="F49" s="89">
        <f t="shared" si="7"/>
        <v>33687.340499999998</v>
      </c>
      <c r="G49" s="17"/>
      <c r="H49" s="87">
        <f>'6. Historical Wholesale'!H49</f>
        <v>9977</v>
      </c>
      <c r="I49" s="88">
        <f t="shared" si="12"/>
        <v>0.7167</v>
      </c>
      <c r="J49" s="89">
        <f t="shared" si="8"/>
        <v>7150.5159000000003</v>
      </c>
      <c r="K49" s="17"/>
      <c r="L49" s="87">
        <f>'6. Historical Wholesale'!L49</f>
        <v>8298</v>
      </c>
      <c r="M49" s="88">
        <f t="shared" si="13"/>
        <v>1.62</v>
      </c>
      <c r="N49" s="89">
        <f t="shared" si="9"/>
        <v>13442.76</v>
      </c>
      <c r="O49" s="17"/>
      <c r="P49" s="47">
        <f t="shared" si="10"/>
        <v>20593.275900000001</v>
      </c>
      <c r="Q49" s="17"/>
    </row>
    <row r="50" spans="2:17" ht="15.75" x14ac:dyDescent="0.25">
      <c r="B50" s="48" t="s">
        <v>134</v>
      </c>
      <c r="C50" s="17"/>
      <c r="D50" s="87">
        <f>'6. Historical Wholesale'!D50</f>
        <v>8747</v>
      </c>
      <c r="E50" s="88">
        <f t="shared" si="11"/>
        <v>3.3765000000000001</v>
      </c>
      <c r="F50" s="89">
        <f t="shared" si="7"/>
        <v>29534.245500000001</v>
      </c>
      <c r="G50" s="17"/>
      <c r="H50" s="87">
        <f>'6. Historical Wholesale'!H50</f>
        <v>8768</v>
      </c>
      <c r="I50" s="88">
        <f t="shared" si="12"/>
        <v>0.7167</v>
      </c>
      <c r="J50" s="89">
        <f t="shared" si="8"/>
        <v>6284.0255999999999</v>
      </c>
      <c r="K50" s="17"/>
      <c r="L50" s="87">
        <f>'6. Historical Wholesale'!L50</f>
        <v>7274</v>
      </c>
      <c r="M50" s="88">
        <f t="shared" si="13"/>
        <v>1.62</v>
      </c>
      <c r="N50" s="89">
        <f t="shared" si="9"/>
        <v>11783.880000000001</v>
      </c>
      <c r="O50" s="17"/>
      <c r="P50" s="47">
        <f t="shared" si="10"/>
        <v>18067.905600000002</v>
      </c>
      <c r="Q50" s="17"/>
    </row>
    <row r="51" spans="2:17" ht="15.75" x14ac:dyDescent="0.25">
      <c r="B51" s="48" t="s">
        <v>135</v>
      </c>
      <c r="C51" s="17"/>
      <c r="D51" s="87">
        <f>'6. Historical Wholesale'!D51</f>
        <v>8413</v>
      </c>
      <c r="E51" s="88">
        <f t="shared" si="11"/>
        <v>3.3765000000000001</v>
      </c>
      <c r="F51" s="89">
        <f t="shared" si="7"/>
        <v>28406.494500000001</v>
      </c>
      <c r="G51" s="17"/>
      <c r="H51" s="87">
        <f>'6. Historical Wholesale'!H51</f>
        <v>8672</v>
      </c>
      <c r="I51" s="88">
        <f t="shared" si="12"/>
        <v>0.7167</v>
      </c>
      <c r="J51" s="89">
        <f t="shared" si="8"/>
        <v>6215.2223999999997</v>
      </c>
      <c r="K51" s="17"/>
      <c r="L51" s="87">
        <f>'6. Historical Wholesale'!L51</f>
        <v>7184</v>
      </c>
      <c r="M51" s="88">
        <f t="shared" si="13"/>
        <v>1.62</v>
      </c>
      <c r="N51" s="89">
        <f t="shared" si="9"/>
        <v>11638.08</v>
      </c>
      <c r="O51" s="17"/>
      <c r="P51" s="47">
        <f t="shared" si="10"/>
        <v>17853.3024</v>
      </c>
      <c r="Q51" s="17"/>
    </row>
    <row r="52" spans="2:17" ht="15.75" x14ac:dyDescent="0.25">
      <c r="B52" s="48" t="s">
        <v>136</v>
      </c>
      <c r="C52" s="17"/>
      <c r="D52" s="87">
        <f>'6. Historical Wholesale'!D52</f>
        <v>9566</v>
      </c>
      <c r="E52" s="88">
        <f t="shared" si="11"/>
        <v>3.3765000000000001</v>
      </c>
      <c r="F52" s="89">
        <f t="shared" si="7"/>
        <v>32299.599000000002</v>
      </c>
      <c r="G52" s="17"/>
      <c r="H52" s="87">
        <f>'6. Historical Wholesale'!H52</f>
        <v>9677</v>
      </c>
      <c r="I52" s="88">
        <f t="shared" si="12"/>
        <v>0.7167</v>
      </c>
      <c r="J52" s="89">
        <f t="shared" si="8"/>
        <v>6935.5059000000001</v>
      </c>
      <c r="K52" s="17"/>
      <c r="L52" s="87">
        <f>'6. Historical Wholesale'!L52</f>
        <v>8380</v>
      </c>
      <c r="M52" s="88">
        <f t="shared" si="13"/>
        <v>1.62</v>
      </c>
      <c r="N52" s="89">
        <f t="shared" si="9"/>
        <v>13575.6</v>
      </c>
      <c r="O52" s="17"/>
      <c r="P52" s="47">
        <f t="shared" si="10"/>
        <v>20511.105900000002</v>
      </c>
      <c r="Q52" s="17"/>
    </row>
    <row r="53" spans="2:17" ht="15.75" x14ac:dyDescent="0.25">
      <c r="B53" s="48" t="s">
        <v>137</v>
      </c>
      <c r="C53" s="17"/>
      <c r="D53" s="87">
        <f>'6. Historical Wholesale'!D53</f>
        <v>9848</v>
      </c>
      <c r="E53" s="88">
        <f t="shared" si="11"/>
        <v>3.3765000000000001</v>
      </c>
      <c r="F53" s="89">
        <f t="shared" si="7"/>
        <v>33251.771999999997</v>
      </c>
      <c r="G53" s="17"/>
      <c r="H53" s="87">
        <f>'6. Historical Wholesale'!H53</f>
        <v>9872</v>
      </c>
      <c r="I53" s="88">
        <f t="shared" si="12"/>
        <v>0.7167</v>
      </c>
      <c r="J53" s="89">
        <f t="shared" si="8"/>
        <v>7075.2623999999996</v>
      </c>
      <c r="K53" s="17"/>
      <c r="L53" s="87">
        <f>'6. Historical Wholesale'!L53</f>
        <v>8418</v>
      </c>
      <c r="M53" s="88">
        <f t="shared" si="13"/>
        <v>1.62</v>
      </c>
      <c r="N53" s="89">
        <f t="shared" si="9"/>
        <v>13637.160000000002</v>
      </c>
      <c r="O53" s="17"/>
      <c r="P53" s="47">
        <f t="shared" si="10"/>
        <v>20712.422400000003</v>
      </c>
      <c r="Q53" s="17"/>
    </row>
    <row r="54" spans="2:17" ht="15.75" x14ac:dyDescent="0.25">
      <c r="B54" s="48" t="s">
        <v>138</v>
      </c>
      <c r="C54" s="17"/>
      <c r="D54" s="87">
        <f>'6. Historical Wholesale'!D54</f>
        <v>9980</v>
      </c>
      <c r="E54" s="88">
        <f t="shared" si="11"/>
        <v>3.3765000000000001</v>
      </c>
      <c r="F54" s="89">
        <f t="shared" si="7"/>
        <v>33697.47</v>
      </c>
      <c r="G54" s="17"/>
      <c r="H54" s="87">
        <f>'6. Historical Wholesale'!H54</f>
        <v>10229</v>
      </c>
      <c r="I54" s="88">
        <f t="shared" si="12"/>
        <v>0.7167</v>
      </c>
      <c r="J54" s="89">
        <f t="shared" si="8"/>
        <v>7331.1243000000004</v>
      </c>
      <c r="K54" s="17"/>
      <c r="L54" s="87">
        <f>'6. Historical Wholesale'!L54</f>
        <v>8475</v>
      </c>
      <c r="M54" s="88">
        <f t="shared" si="13"/>
        <v>1.62</v>
      </c>
      <c r="N54" s="89">
        <f t="shared" si="9"/>
        <v>13729.5</v>
      </c>
      <c r="O54" s="17"/>
      <c r="P54" s="47">
        <f t="shared" si="10"/>
        <v>21060.624299999999</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112052</v>
      </c>
      <c r="E56" s="51">
        <f>IF(D56&lt;&gt;0,F56/D56,0)</f>
        <v>3.3764999999999996</v>
      </c>
      <c r="F56" s="52">
        <f>SUM(F43:F54)</f>
        <v>378343.57799999998</v>
      </c>
      <c r="G56" s="17"/>
      <c r="H56" s="50">
        <f>SUM(H43:H54)</f>
        <v>112769</v>
      </c>
      <c r="I56" s="51">
        <f>IF(H56&lt;&gt;0,J56/H56,0)</f>
        <v>0.7167</v>
      </c>
      <c r="J56" s="52">
        <f>SUM(J43:J54)</f>
        <v>80821.542300000001</v>
      </c>
      <c r="K56" s="17"/>
      <c r="L56" s="50">
        <f>SUM(L43:L54)</f>
        <v>95307</v>
      </c>
      <c r="M56" s="51">
        <f>IF(L56&lt;&gt;0,N56/L56,0)</f>
        <v>1.6199999999999999</v>
      </c>
      <c r="N56" s="52">
        <f>SUM(N43:N54)</f>
        <v>154397.34</v>
      </c>
      <c r="O56" s="17"/>
      <c r="P56" s="52">
        <f>SUM(P43:P54)</f>
        <v>235218.88230000003</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7" t="s">
        <v>227</v>
      </c>
      <c r="E58" s="207"/>
      <c r="F58" s="207"/>
      <c r="G58" s="140"/>
      <c r="H58" s="207" t="s">
        <v>230</v>
      </c>
      <c r="I58" s="207"/>
      <c r="J58" s="207"/>
      <c r="K58" s="140"/>
      <c r="L58" s="207" t="s">
        <v>229</v>
      </c>
      <c r="M58" s="207"/>
      <c r="N58" s="207"/>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7" t="s">
        <v>227</v>
      </c>
      <c r="E77" s="207"/>
      <c r="F77" s="207"/>
      <c r="G77" s="140"/>
      <c r="H77" s="207" t="s">
        <v>230</v>
      </c>
      <c r="I77" s="207"/>
      <c r="J77" s="207"/>
      <c r="K77" s="140"/>
      <c r="L77" s="207" t="s">
        <v>229</v>
      </c>
      <c r="M77" s="207"/>
      <c r="N77" s="207"/>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7" t="s">
        <v>227</v>
      </c>
      <c r="E96" s="207"/>
      <c r="F96" s="207"/>
      <c r="G96" s="140"/>
      <c r="H96" s="207" t="s">
        <v>230</v>
      </c>
      <c r="I96" s="207"/>
      <c r="J96" s="207"/>
      <c r="K96" s="140"/>
      <c r="L96" s="207" t="s">
        <v>229</v>
      </c>
      <c r="M96" s="207"/>
      <c r="N96" s="207"/>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94176</v>
      </c>
      <c r="E100" s="54">
        <f t="shared" ref="E100:E111" si="29">IF(D100&lt;&gt;0,F100/D100,0)</f>
        <v>3.7733358658256879</v>
      </c>
      <c r="F100" s="47">
        <f t="shared" ref="F100:F111" si="30">F24+F43</f>
        <v>355357.67849999998</v>
      </c>
      <c r="G100" s="17"/>
      <c r="H100" s="53">
        <f t="shared" ref="H100:H111" si="31">H24+H43</f>
        <v>94425</v>
      </c>
      <c r="I100" s="54">
        <f t="shared" ref="I100:I111" si="32">IF(H100&lt;&gt;0,J100/H100,0)</f>
        <v>0.80915965369340737</v>
      </c>
      <c r="J100" s="47">
        <f t="shared" ref="J100:J111" si="33">J24+J43</f>
        <v>76404.900299999994</v>
      </c>
      <c r="K100" s="17"/>
      <c r="L100" s="53">
        <f t="shared" ref="L100:L111" si="34">L24+L43</f>
        <v>92895</v>
      </c>
      <c r="M100" s="54">
        <f t="shared" ref="M100:M111" si="35">IF(L100&lt;&gt;0,N100/L100,0)</f>
        <v>1.9475284999192637</v>
      </c>
      <c r="N100" s="47">
        <f t="shared" ref="N100:N111" si="36">N24+N43</f>
        <v>180915.66</v>
      </c>
      <c r="O100" s="17"/>
      <c r="P100" s="47">
        <f t="shared" ref="P100:P111" si="37">J100+N100</f>
        <v>257320.56030000001</v>
      </c>
      <c r="Q100" s="17"/>
    </row>
    <row r="101" spans="2:17" ht="15.75" x14ac:dyDescent="0.25">
      <c r="B101" s="48" t="s">
        <v>128</v>
      </c>
      <c r="C101" s="17"/>
      <c r="D101" s="53">
        <f t="shared" si="28"/>
        <v>87502</v>
      </c>
      <c r="E101" s="54">
        <f t="shared" si="29"/>
        <v>3.7708613231697559</v>
      </c>
      <c r="F101" s="47">
        <f t="shared" si="30"/>
        <v>329957.90749999997</v>
      </c>
      <c r="G101" s="17"/>
      <c r="H101" s="53">
        <f t="shared" si="31"/>
        <v>91153</v>
      </c>
      <c r="I101" s="54">
        <f t="shared" si="32"/>
        <v>0.80896205281230438</v>
      </c>
      <c r="J101" s="47">
        <f t="shared" si="33"/>
        <v>73739.317999999985</v>
      </c>
      <c r="K101" s="17"/>
      <c r="L101" s="53">
        <f t="shared" si="34"/>
        <v>89743</v>
      </c>
      <c r="M101" s="54">
        <f t="shared" si="35"/>
        <v>1.9465845804129569</v>
      </c>
      <c r="N101" s="47">
        <f t="shared" si="36"/>
        <v>174692.34</v>
      </c>
      <c r="O101" s="17"/>
      <c r="P101" s="47">
        <f t="shared" si="37"/>
        <v>248431.658</v>
      </c>
      <c r="Q101" s="17"/>
    </row>
    <row r="102" spans="2:17" ht="15.75" x14ac:dyDescent="0.25">
      <c r="B102" s="48" t="s">
        <v>129</v>
      </c>
      <c r="C102" s="17"/>
      <c r="D102" s="53">
        <f t="shared" si="28"/>
        <v>89458</v>
      </c>
      <c r="E102" s="54">
        <f t="shared" si="29"/>
        <v>3.7726099789845513</v>
      </c>
      <c r="F102" s="47">
        <f t="shared" si="30"/>
        <v>337490.14350000001</v>
      </c>
      <c r="G102" s="17"/>
      <c r="H102" s="53">
        <f t="shared" si="31"/>
        <v>89849</v>
      </c>
      <c r="I102" s="54">
        <f t="shared" si="32"/>
        <v>0.80900535453928246</v>
      </c>
      <c r="J102" s="47">
        <f t="shared" si="33"/>
        <v>72688.32209999999</v>
      </c>
      <c r="K102" s="17"/>
      <c r="L102" s="53">
        <f t="shared" si="34"/>
        <v>88516</v>
      </c>
      <c r="M102" s="54">
        <f t="shared" si="35"/>
        <v>1.9465280853179088</v>
      </c>
      <c r="N102" s="47">
        <f t="shared" si="36"/>
        <v>172298.88</v>
      </c>
      <c r="O102" s="17"/>
      <c r="P102" s="47">
        <f t="shared" si="37"/>
        <v>244987.20209999999</v>
      </c>
      <c r="Q102" s="17"/>
    </row>
    <row r="103" spans="2:17" ht="15.75" x14ac:dyDescent="0.25">
      <c r="B103" s="48" t="s">
        <v>130</v>
      </c>
      <c r="C103" s="17"/>
      <c r="D103" s="53">
        <f t="shared" si="28"/>
        <v>82445</v>
      </c>
      <c r="E103" s="54">
        <f t="shared" si="29"/>
        <v>3.7732266056158648</v>
      </c>
      <c r="F103" s="47">
        <f t="shared" si="30"/>
        <v>311083.66749999998</v>
      </c>
      <c r="G103" s="17"/>
      <c r="H103" s="53">
        <f t="shared" si="31"/>
        <v>83960</v>
      </c>
      <c r="I103" s="54">
        <f t="shared" si="32"/>
        <v>0.8092972046212481</v>
      </c>
      <c r="J103" s="47">
        <f t="shared" si="33"/>
        <v>67948.593299999993</v>
      </c>
      <c r="K103" s="17"/>
      <c r="L103" s="53">
        <f t="shared" si="34"/>
        <v>82828</v>
      </c>
      <c r="M103" s="54">
        <f t="shared" si="35"/>
        <v>1.9471111218428552</v>
      </c>
      <c r="N103" s="47">
        <f t="shared" si="36"/>
        <v>161275.32</v>
      </c>
      <c r="O103" s="17"/>
      <c r="P103" s="47">
        <f t="shared" si="37"/>
        <v>229223.91330000001</v>
      </c>
      <c r="Q103" s="17"/>
    </row>
    <row r="104" spans="2:17" ht="15.75" x14ac:dyDescent="0.25">
      <c r="B104" s="48" t="s">
        <v>131</v>
      </c>
      <c r="C104" s="17"/>
      <c r="D104" s="53">
        <f t="shared" si="28"/>
        <v>92959</v>
      </c>
      <c r="E104" s="54">
        <f t="shared" si="29"/>
        <v>3.7803059413289728</v>
      </c>
      <c r="F104" s="47">
        <f t="shared" si="30"/>
        <v>351413.45999999996</v>
      </c>
      <c r="G104" s="17"/>
      <c r="H104" s="53">
        <f t="shared" si="31"/>
        <v>94950</v>
      </c>
      <c r="I104" s="54">
        <f t="shared" si="32"/>
        <v>0.81094833070036854</v>
      </c>
      <c r="J104" s="47">
        <f t="shared" si="33"/>
        <v>76999.543999999994</v>
      </c>
      <c r="K104" s="17"/>
      <c r="L104" s="53">
        <f t="shared" si="34"/>
        <v>93625</v>
      </c>
      <c r="M104" s="54">
        <f t="shared" si="35"/>
        <v>1.9531033377837115</v>
      </c>
      <c r="N104" s="47">
        <f t="shared" si="36"/>
        <v>182859.3</v>
      </c>
      <c r="O104" s="17"/>
      <c r="P104" s="47">
        <f t="shared" si="37"/>
        <v>259858.84399999998</v>
      </c>
      <c r="Q104" s="17"/>
    </row>
    <row r="105" spans="2:17" ht="15.75" x14ac:dyDescent="0.25">
      <c r="B105" s="48" t="s">
        <v>132</v>
      </c>
      <c r="C105" s="17"/>
      <c r="D105" s="53">
        <f t="shared" si="28"/>
        <v>103009</v>
      </c>
      <c r="E105" s="54">
        <f t="shared" si="29"/>
        <v>3.7797741896339154</v>
      </c>
      <c r="F105" s="47">
        <f t="shared" si="30"/>
        <v>389350.75949999999</v>
      </c>
      <c r="G105" s="17"/>
      <c r="H105" s="53">
        <f t="shared" si="31"/>
        <v>104706</v>
      </c>
      <c r="I105" s="54">
        <f t="shared" si="32"/>
        <v>0.81078245850285557</v>
      </c>
      <c r="J105" s="47">
        <f t="shared" si="33"/>
        <v>84893.788099999991</v>
      </c>
      <c r="K105" s="17"/>
      <c r="L105" s="53">
        <f t="shared" si="34"/>
        <v>103140</v>
      </c>
      <c r="M105" s="54">
        <f t="shared" si="35"/>
        <v>1.9528551483420591</v>
      </c>
      <c r="N105" s="47">
        <f t="shared" si="36"/>
        <v>201417.47999999998</v>
      </c>
      <c r="O105" s="17"/>
      <c r="P105" s="47">
        <f t="shared" si="37"/>
        <v>286311.26809999999</v>
      </c>
      <c r="Q105" s="17"/>
    </row>
    <row r="106" spans="2:17" ht="15.75" x14ac:dyDescent="0.25">
      <c r="B106" s="48" t="s">
        <v>133</v>
      </c>
      <c r="C106" s="17"/>
      <c r="D106" s="53">
        <f t="shared" si="28"/>
        <v>105529</v>
      </c>
      <c r="E106" s="54">
        <f t="shared" si="29"/>
        <v>3.7780702982118655</v>
      </c>
      <c r="F106" s="47">
        <f t="shared" si="30"/>
        <v>398695.98049999995</v>
      </c>
      <c r="G106" s="17"/>
      <c r="H106" s="53">
        <f t="shared" si="31"/>
        <v>105546</v>
      </c>
      <c r="I106" s="54">
        <f t="shared" si="32"/>
        <v>0.81023530877532068</v>
      </c>
      <c r="J106" s="47">
        <f t="shared" si="33"/>
        <v>85517.0959</v>
      </c>
      <c r="K106" s="17"/>
      <c r="L106" s="53">
        <f t="shared" si="34"/>
        <v>103867</v>
      </c>
      <c r="M106" s="54">
        <f t="shared" si="35"/>
        <v>1.9512393734294819</v>
      </c>
      <c r="N106" s="47">
        <f t="shared" si="36"/>
        <v>202669.38</v>
      </c>
      <c r="O106" s="17"/>
      <c r="P106" s="47">
        <f t="shared" si="37"/>
        <v>288186.47590000002</v>
      </c>
      <c r="Q106" s="17"/>
    </row>
    <row r="107" spans="2:17" ht="15.75" x14ac:dyDescent="0.25">
      <c r="B107" s="48" t="s">
        <v>134</v>
      </c>
      <c r="C107" s="17"/>
      <c r="D107" s="53">
        <f t="shared" si="28"/>
        <v>96097</v>
      </c>
      <c r="E107" s="54">
        <f t="shared" si="29"/>
        <v>3.7796314713258479</v>
      </c>
      <c r="F107" s="47">
        <f t="shared" si="30"/>
        <v>363211.24550000002</v>
      </c>
      <c r="G107" s="17"/>
      <c r="H107" s="53">
        <f t="shared" si="31"/>
        <v>97980</v>
      </c>
      <c r="I107" s="54">
        <f t="shared" si="32"/>
        <v>0.81075592569912214</v>
      </c>
      <c r="J107" s="47">
        <f t="shared" si="33"/>
        <v>79437.86559999999</v>
      </c>
      <c r="K107" s="17"/>
      <c r="L107" s="53">
        <f t="shared" si="34"/>
        <v>96486</v>
      </c>
      <c r="M107" s="54">
        <f t="shared" si="35"/>
        <v>1.952859896772589</v>
      </c>
      <c r="N107" s="47">
        <f t="shared" si="36"/>
        <v>188423.64</v>
      </c>
      <c r="O107" s="17"/>
      <c r="P107" s="47">
        <f t="shared" si="37"/>
        <v>267861.50560000003</v>
      </c>
      <c r="Q107" s="17"/>
    </row>
    <row r="108" spans="2:17" ht="15.75" x14ac:dyDescent="0.25">
      <c r="B108" s="48" t="s">
        <v>135</v>
      </c>
      <c r="C108" s="17"/>
      <c r="D108" s="53">
        <f t="shared" si="28"/>
        <v>93588</v>
      </c>
      <c r="E108" s="54">
        <f t="shared" si="29"/>
        <v>3.7801320094456559</v>
      </c>
      <c r="F108" s="47">
        <f t="shared" si="30"/>
        <v>353774.99450000003</v>
      </c>
      <c r="G108" s="17"/>
      <c r="H108" s="53">
        <f t="shared" si="31"/>
        <v>94256</v>
      </c>
      <c r="I108" s="54">
        <f t="shared" si="32"/>
        <v>0.81049590901374968</v>
      </c>
      <c r="J108" s="47">
        <f t="shared" si="33"/>
        <v>76394.102399999989</v>
      </c>
      <c r="K108" s="17"/>
      <c r="L108" s="53">
        <f t="shared" si="34"/>
        <v>92768</v>
      </c>
      <c r="M108" s="54">
        <f t="shared" si="35"/>
        <v>1.9521214211797171</v>
      </c>
      <c r="N108" s="47">
        <f t="shared" si="36"/>
        <v>181094.39999999999</v>
      </c>
      <c r="O108" s="17"/>
      <c r="P108" s="47">
        <f t="shared" si="37"/>
        <v>257488.5024</v>
      </c>
      <c r="Q108" s="17"/>
    </row>
    <row r="109" spans="2:17" ht="15.75" x14ac:dyDescent="0.25">
      <c r="B109" s="48" t="s">
        <v>136</v>
      </c>
      <c r="C109" s="17"/>
      <c r="D109" s="53">
        <f t="shared" si="28"/>
        <v>86471</v>
      </c>
      <c r="E109" s="54">
        <f t="shared" si="29"/>
        <v>3.7709370656058097</v>
      </c>
      <c r="F109" s="47">
        <f t="shared" si="30"/>
        <v>326076.69899999996</v>
      </c>
      <c r="G109" s="17"/>
      <c r="H109" s="53">
        <f t="shared" si="31"/>
        <v>87587</v>
      </c>
      <c r="I109" s="54">
        <f t="shared" si="32"/>
        <v>0.80858695811022185</v>
      </c>
      <c r="J109" s="47">
        <f t="shared" si="33"/>
        <v>70821.705900000001</v>
      </c>
      <c r="K109" s="17"/>
      <c r="L109" s="53">
        <f t="shared" si="34"/>
        <v>86290</v>
      </c>
      <c r="M109" s="54">
        <f t="shared" si="35"/>
        <v>1.9450388225750377</v>
      </c>
      <c r="N109" s="47">
        <f t="shared" si="36"/>
        <v>167837.4</v>
      </c>
      <c r="O109" s="17"/>
      <c r="P109" s="47">
        <f t="shared" si="37"/>
        <v>238659.1059</v>
      </c>
      <c r="Q109" s="17"/>
    </row>
    <row r="110" spans="2:17" ht="15.75" x14ac:dyDescent="0.25">
      <c r="B110" s="48" t="s">
        <v>137</v>
      </c>
      <c r="C110" s="17"/>
      <c r="D110" s="53">
        <f t="shared" si="28"/>
        <v>89549</v>
      </c>
      <c r="E110" s="54">
        <f t="shared" si="29"/>
        <v>3.7712268367039274</v>
      </c>
      <c r="F110" s="47">
        <f t="shared" si="30"/>
        <v>337709.592</v>
      </c>
      <c r="G110" s="17"/>
      <c r="H110" s="53">
        <f t="shared" si="31"/>
        <v>90742</v>
      </c>
      <c r="I110" s="54">
        <f t="shared" si="32"/>
        <v>0.80876179057106967</v>
      </c>
      <c r="J110" s="47">
        <f t="shared" si="33"/>
        <v>73388.662400000001</v>
      </c>
      <c r="K110" s="17"/>
      <c r="L110" s="53">
        <f t="shared" si="34"/>
        <v>89288</v>
      </c>
      <c r="M110" s="54">
        <f t="shared" si="35"/>
        <v>1.9460594928769825</v>
      </c>
      <c r="N110" s="47">
        <f t="shared" si="36"/>
        <v>173759.76</v>
      </c>
      <c r="O110" s="17"/>
      <c r="P110" s="47">
        <f t="shared" si="37"/>
        <v>247148.42240000001</v>
      </c>
      <c r="Q110" s="17"/>
    </row>
    <row r="111" spans="2:17" ht="15.75" x14ac:dyDescent="0.25">
      <c r="B111" s="48" t="s">
        <v>138</v>
      </c>
      <c r="C111" s="17"/>
      <c r="D111" s="53">
        <f t="shared" si="28"/>
        <v>90814</v>
      </c>
      <c r="E111" s="54">
        <f t="shared" si="29"/>
        <v>3.7712615896227453</v>
      </c>
      <c r="F111" s="47">
        <f t="shared" si="30"/>
        <v>342483.35</v>
      </c>
      <c r="G111" s="17"/>
      <c r="H111" s="53">
        <f t="shared" si="31"/>
        <v>92019</v>
      </c>
      <c r="I111" s="54">
        <f t="shared" si="32"/>
        <v>0.8085169834490703</v>
      </c>
      <c r="J111" s="47">
        <f t="shared" si="33"/>
        <v>74398.924299999999</v>
      </c>
      <c r="K111" s="17"/>
      <c r="L111" s="53">
        <f t="shared" si="34"/>
        <v>90265</v>
      </c>
      <c r="M111" s="54">
        <f t="shared" si="35"/>
        <v>1.9461995236248824</v>
      </c>
      <c r="N111" s="47">
        <f t="shared" si="36"/>
        <v>175673.7</v>
      </c>
      <c r="O111" s="17"/>
      <c r="P111" s="47">
        <f t="shared" si="37"/>
        <v>250072.62430000002</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1111597</v>
      </c>
      <c r="E113" s="51">
        <f>IF(D113&lt;&gt;0,F113/D113,0)</f>
        <v>3.7752939941363644</v>
      </c>
      <c r="F113" s="52">
        <f>SUM(F100:F111)</f>
        <v>4196605.4780000001</v>
      </c>
      <c r="G113" s="17"/>
      <c r="H113" s="50">
        <f>SUM(H100:H111)</f>
        <v>1127173</v>
      </c>
      <c r="I113" s="51">
        <f>IF(H113&lt;&gt;0,J113/H113,0)</f>
        <v>0.80966526194293154</v>
      </c>
      <c r="J113" s="52">
        <f>SUM(J100:J111)</f>
        <v>912632.8223</v>
      </c>
      <c r="K113" s="17"/>
      <c r="L113" s="50">
        <f>SUM(L100:L111)</f>
        <v>1109711</v>
      </c>
      <c r="M113" s="51">
        <f>IF(L113&lt;&gt;0,N113/L113,0)</f>
        <v>1.9490815716884844</v>
      </c>
      <c r="N113" s="52">
        <f>SUM(N100:N111)</f>
        <v>2162917.2599999998</v>
      </c>
      <c r="O113" s="17"/>
      <c r="P113" s="52">
        <f>SUM(P100:P111)</f>
        <v>3075550.0822999999</v>
      </c>
      <c r="Q113" s="17"/>
    </row>
    <row r="115" spans="2:17" x14ac:dyDescent="0.2">
      <c r="N115" s="169" t="s">
        <v>255</v>
      </c>
      <c r="P115" s="172">
        <f>'5. UTRs and Sub-Transmission'!I95</f>
        <v>0</v>
      </c>
    </row>
    <row r="117" spans="2:17" ht="13.5" thickBot="1" x14ac:dyDescent="0.25">
      <c r="N117" s="170" t="s">
        <v>258</v>
      </c>
      <c r="P117" s="52">
        <f>P113+P115</f>
        <v>3075550.0822999999</v>
      </c>
    </row>
  </sheetData>
  <sheetProtection password="F8BD"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4803149606299213" right="0.47244094488188981" top="0.98425196850393704" bottom="0.35433070866141736" header="0.51181102362204722" footer="0.15748031496062992"/>
  <pageSetup scale="35"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pane="bottomLeft" activeCell="L49" sqref="L4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6.8999999999999999E-3</v>
      </c>
      <c r="G25" s="64"/>
      <c r="H25" s="64">
        <f>VLOOKUP('9. Adj Network to Current WS'!$B25, '4. RRR Data'!$B$27:$M$49,11,0)</f>
        <v>139272079.01530001</v>
      </c>
      <c r="I25" s="71"/>
      <c r="J25" s="64">
        <f>VLOOKUP('9. Adj Network to Current WS'!$B25, '4. RRR Data'!$B$27:$M$49,12,0)</f>
        <v>0</v>
      </c>
      <c r="K25" s="58"/>
      <c r="L25" s="60">
        <f>IF(F25="", "", IF(D25="kWh", F25*H25, F25*J25))</f>
        <v>960977.34520556999</v>
      </c>
      <c r="M25" s="55"/>
      <c r="N25" s="61">
        <f>IF(ISERROR(L25/$L$49), "", L25/$L$49)</f>
        <v>0.23840722989109259</v>
      </c>
      <c r="O25" s="13"/>
      <c r="P25" s="62">
        <f>IF(ISERROR('7. Current Wholesale'!$F$113*N25), "", '7. Current Wholesale'!$F$113*N25)</f>
        <v>953888.6232352932</v>
      </c>
      <c r="R25" s="165">
        <f>IF(D25="","",IF(D25="kWh",IF(H25&lt;&gt;0,P25/H25,),IF(J25&lt;&gt;0,P25/J25,0)))</f>
        <v>6.8491016288376215E-3</v>
      </c>
    </row>
    <row r="26" spans="2:18" ht="25.5" customHeight="1" thickBot="1" x14ac:dyDescent="0.25">
      <c r="B26" s="15" t="str">
        <f>IF('3. Rate Classes'!Q25=1,'3. Rate Classes'!C25, 0)</f>
        <v>Residential - Hensall</v>
      </c>
      <c r="C26" s="8"/>
      <c r="D26" s="16" t="str">
        <f>IF(ISERROR(VLOOKUP($B26, '3. Rate Classes'!$C$24:$H$45,6,0)), "", VLOOKUP($B26, '3. Rate Classes'!$C$24:$H$45,6,0))</f>
        <v>kWh</v>
      </c>
      <c r="F26" s="69">
        <f>IF(ISERROR(VLOOKUP($B26,'3. Rate Classes'!$C$24:$N$45, 8,0)), "", VLOOKUP($B26,'3. Rate Classes'!$C$24:$N$45, 8,0))</f>
        <v>6.8999999999999999E-3</v>
      </c>
      <c r="G26" s="64"/>
      <c r="H26" s="64">
        <f>VLOOKUP('9. Adj Network to Current WS'!$B26, '4. RRR Data'!$B$27:$M$49,11,0)</f>
        <v>3823841.3421999998</v>
      </c>
      <c r="I26" s="71"/>
      <c r="J26" s="64">
        <f>VLOOKUP('9. Adj Network to Current WS'!$B26, '4. RRR Data'!$B$27:$M$49,12,0)</f>
        <v>0</v>
      </c>
      <c r="K26" s="59"/>
      <c r="L26" s="60">
        <f t="shared" ref="L26:L46" si="0">IF(F26="", "", IF(D26="kWh", F26*H26, F26*J26))</f>
        <v>26384.505261179998</v>
      </c>
      <c r="M26" s="55"/>
      <c r="N26" s="61">
        <f t="shared" ref="N26:N46" si="1">IF(ISERROR(L26/$L$49), "", L26/$L$49)</f>
        <v>6.5456868913171774E-3</v>
      </c>
      <c r="P26" s="62">
        <f>IF(ISERROR('7. Current Wholesale'!$F$113*N26), "", '7. Current Wholesale'!$F$113*N26)</f>
        <v>26189.877965278654</v>
      </c>
      <c r="R26" s="165">
        <f t="shared" ref="R26:R46" si="2">IF(D26="","",IF(D26="kWh",IF(H26&lt;&gt;0,P26/H26,),IF(J26&lt;&gt;0,P26/J26,0)))</f>
        <v>6.8491016288376215E-3</v>
      </c>
    </row>
    <row r="27" spans="2:18" ht="25.5" customHeight="1" thickBot="1" x14ac:dyDescent="0.25">
      <c r="B27" s="15" t="str">
        <f>IF('3. Rate Classes'!Q26=1,'3. Rate Classes'!C26, 0)</f>
        <v>General Service Less Than 50 kW</v>
      </c>
      <c r="C27" s="8"/>
      <c r="D27" s="16" t="str">
        <f>IF(ISERROR(VLOOKUP($B27, '3. Rate Classes'!$C$24:$H$45,6,0)), "", VLOOKUP($B27, '3. Rate Classes'!$C$24:$H$45,6,0))</f>
        <v>kWh</v>
      </c>
      <c r="F27" s="69">
        <f>IF(ISERROR(VLOOKUP($B27,'3. Rate Classes'!$C$24:$N$45, 8,0)), "", VLOOKUP($B27,'3. Rate Classes'!$C$24:$N$45, 8,0))</f>
        <v>6.0000000000000001E-3</v>
      </c>
      <c r="G27" s="64"/>
      <c r="H27" s="64">
        <f>VLOOKUP('9. Adj Network to Current WS'!$B27, '4. RRR Data'!$B$27:$M$49,11,0)</f>
        <v>64166885.0559</v>
      </c>
      <c r="I27" s="71"/>
      <c r="J27" s="64">
        <f>VLOOKUP('9. Adj Network to Current WS'!$B27, '4. RRR Data'!$B$27:$M$49,12,0)</f>
        <v>0</v>
      </c>
      <c r="K27" s="59"/>
      <c r="L27" s="60">
        <f t="shared" si="0"/>
        <v>385001.31033539999</v>
      </c>
      <c r="M27" s="55"/>
      <c r="N27" s="61">
        <f t="shared" si="1"/>
        <v>9.5514318167270323E-2</v>
      </c>
      <c r="P27" s="62">
        <f>IF(ISERROR('7. Current Wholesale'!$F$113*N27), "", '7. Current Wholesale'!$F$113*N27)</f>
        <v>382161.31909026182</v>
      </c>
      <c r="R27" s="165">
        <f t="shared" si="2"/>
        <v>5.9557405468153224E-3</v>
      </c>
    </row>
    <row r="28" spans="2:18" ht="25.5" customHeight="1" thickBot="1" x14ac:dyDescent="0.25">
      <c r="B28" s="15" t="str">
        <f>IF('3. Rate Classes'!Q27=1,'3. Rate Classes'!C27, 0)</f>
        <v>General Service 50 to 4,999 kW</v>
      </c>
      <c r="C28" s="8"/>
      <c r="D28" s="16" t="str">
        <f>IF(ISERROR(VLOOKUP($B28, '3. Rate Classes'!$C$24:$H$45,6,0)), "", VLOOKUP($B28, '3. Rate Classes'!$C$24:$H$45,6,0))</f>
        <v>kW</v>
      </c>
      <c r="F28" s="69">
        <f>IF(ISERROR(VLOOKUP($B28,'3. Rate Classes'!$C$24:$N$45, 8,0)), "", VLOOKUP($B28,'3. Rate Classes'!$C$24:$N$45, 8,0))</f>
        <v>2.5104000000000002</v>
      </c>
      <c r="G28" s="64"/>
      <c r="H28" s="64">
        <f>VLOOKUP('9. Adj Network to Current WS'!$B28, '4. RRR Data'!$B$27:$M$49,11,0)</f>
        <v>45990808</v>
      </c>
      <c r="I28" s="71"/>
      <c r="J28" s="64">
        <f>VLOOKUP('9. Adj Network to Current WS'!$B28, '4. RRR Data'!$B$27:$M$49,12,0)</f>
        <v>136482</v>
      </c>
      <c r="K28" s="59"/>
      <c r="L28" s="60">
        <f t="shared" si="0"/>
        <v>342624.41280000005</v>
      </c>
      <c r="M28" s="55"/>
      <c r="N28" s="61">
        <f t="shared" si="1"/>
        <v>8.5001105963883605E-2</v>
      </c>
      <c r="P28" s="62">
        <f>IF(ISERROR('7. Current Wholesale'!$F$113*N28), "", '7. Current Wholesale'!$F$113*N28)</f>
        <v>340097.01794029184</v>
      </c>
      <c r="R28" s="165">
        <f t="shared" si="2"/>
        <v>2.4918818447875313</v>
      </c>
    </row>
    <row r="29" spans="2:18" ht="25.5" customHeight="1" thickBot="1" x14ac:dyDescent="0.25">
      <c r="B29" s="15" t="str">
        <f>IF('3. Rate Classes'!Q28=1,'3. Rate Classes'!C28, 0)</f>
        <v>General Service 50 to 999 kW - Interval Metered</v>
      </c>
      <c r="C29" s="8"/>
      <c r="D29" s="16" t="str">
        <f>IF(ISERROR(VLOOKUP($B29, '3. Rate Classes'!$C$24:$H$45,6,0)), "", VLOOKUP($B29, '3. Rate Classes'!$C$24:$H$45,6,0))</f>
        <v>kW</v>
      </c>
      <c r="F29" s="69">
        <f>IF(ISERROR(VLOOKUP($B29,'3. Rate Classes'!$C$24:$N$45, 8,0)), "", VLOOKUP($B29,'3. Rate Classes'!$C$24:$N$45, 8,0))</f>
        <v>2.6663999999999999</v>
      </c>
      <c r="G29" s="64"/>
      <c r="H29" s="64">
        <f>VLOOKUP('9. Adj Network to Current WS'!$B29, '4. RRR Data'!$B$27:$M$49,11,0)</f>
        <v>325271056</v>
      </c>
      <c r="I29" s="71"/>
      <c r="J29" s="64">
        <f>VLOOKUP('9. Adj Network to Current WS'!$B29, '4. RRR Data'!$B$27:$M$49,12,0)</f>
        <v>823296</v>
      </c>
      <c r="K29" s="59"/>
      <c r="L29" s="60">
        <f t="shared" si="0"/>
        <v>2195236.4543999997</v>
      </c>
      <c r="M29" s="55"/>
      <c r="N29" s="61">
        <f t="shared" si="1"/>
        <v>0.54461246631937166</v>
      </c>
      <c r="P29" s="62">
        <f>IF(ISERROR('7. Current Wholesale'!$F$113*N29), "", '7. Current Wholesale'!$F$113*N29)</f>
        <v>2179043.1268861974</v>
      </c>
      <c r="R29" s="165">
        <f t="shared" si="2"/>
        <v>2.6467310990047288</v>
      </c>
    </row>
    <row r="30" spans="2:18" ht="25.5" customHeight="1" thickBot="1" x14ac:dyDescent="0.25">
      <c r="B30" s="15" t="str">
        <f>IF('3. Rate Classes'!Q29=1,'3. Rate Classes'!C29, 0)</f>
        <v>Large Use</v>
      </c>
      <c r="C30" s="8"/>
      <c r="D30" s="16" t="str">
        <f>IF(ISERROR(VLOOKUP($B30, '3. Rate Classes'!$C$24:$H$45,6,0)), "", VLOOKUP($B30, '3. Rate Classes'!$C$24:$H$45,6,0))</f>
        <v>kW</v>
      </c>
      <c r="F30" s="69">
        <f>IF(ISERROR(VLOOKUP($B30,'3. Rate Classes'!$C$24:$N$45, 8,0)), "", VLOOKUP($B30,'3. Rate Classes'!$C$24:$N$45, 8,0))</f>
        <v>2.9523999999999999</v>
      </c>
      <c r="G30" s="64"/>
      <c r="H30" s="64">
        <f>VLOOKUP('9. Adj Network to Current WS'!$B30, '4. RRR Data'!$B$27:$M$49,11,0)</f>
        <v>17987095</v>
      </c>
      <c r="I30" s="71"/>
      <c r="J30" s="64">
        <f>VLOOKUP('9. Adj Network to Current WS'!$B30, '4. RRR Data'!$B$27:$M$49,12,0)</f>
        <v>31765</v>
      </c>
      <c r="K30" s="59"/>
      <c r="L30" s="60">
        <f t="shared" si="0"/>
        <v>93782.986000000004</v>
      </c>
      <c r="M30" s="55"/>
      <c r="N30" s="61">
        <f t="shared" si="1"/>
        <v>2.3266460978216122E-2</v>
      </c>
      <c r="P30" s="62">
        <f>IF(ISERROR('7. Current Wholesale'!$F$113*N30), "", '7. Current Wholesale'!$F$113*N30)</f>
        <v>93091.188720268969</v>
      </c>
      <c r="R30" s="165">
        <f t="shared" si="2"/>
        <v>2.9306213984029266</v>
      </c>
    </row>
    <row r="31" spans="2:18" ht="25.5" customHeight="1" thickBot="1" x14ac:dyDescent="0.25">
      <c r="B31" s="15" t="str">
        <f>IF('3. Rate Classes'!Q30=1,'3. Rate Classes'!C30, 0)</f>
        <v>Unmetered Scattered Load</v>
      </c>
      <c r="C31" s="8"/>
      <c r="D31" s="16" t="str">
        <f>IF(ISERROR(VLOOKUP($B31, '3. Rate Classes'!$C$24:$H$45,6,0)), "", VLOOKUP($B31, '3. Rate Classes'!$C$24:$H$45,6,0))</f>
        <v>kWh</v>
      </c>
      <c r="F31" s="69">
        <f>IF(ISERROR(VLOOKUP($B31,'3. Rate Classes'!$C$24:$N$45, 8,0)), "", VLOOKUP($B31,'3. Rate Classes'!$C$24:$N$45, 8,0))</f>
        <v>6.0000000000000001E-3</v>
      </c>
      <c r="G31" s="64"/>
      <c r="H31" s="64">
        <f>VLOOKUP('9. Adj Network to Current WS'!$B31, '4. RRR Data'!$B$27:$M$49,11,0)</f>
        <v>687868.56599999999</v>
      </c>
      <c r="I31" s="71"/>
      <c r="J31" s="64">
        <f>VLOOKUP('9. Adj Network to Current WS'!$B31, '4. RRR Data'!$B$27:$M$49,12,0)</f>
        <v>0</v>
      </c>
      <c r="K31" s="59"/>
      <c r="L31" s="60">
        <f t="shared" si="0"/>
        <v>4127.2113959999997</v>
      </c>
      <c r="M31" s="55"/>
      <c r="N31" s="61">
        <f t="shared" si="1"/>
        <v>1.0239128331218082E-3</v>
      </c>
      <c r="P31" s="62">
        <f>IF(ISERROR('7. Current Wholesale'!$F$113*N31), "", '7. Current Wholesale'!$F$113*N31)</f>
        <v>4096.7667094059116</v>
      </c>
      <c r="R31" s="165">
        <f t="shared" si="2"/>
        <v>5.9557405468153224E-3</v>
      </c>
    </row>
    <row r="32" spans="2:18" ht="25.5" customHeight="1" thickBot="1" x14ac:dyDescent="0.25">
      <c r="B32" s="15" t="str">
        <f>IF('3. Rate Classes'!Q31=1,'3. Rate Classes'!C31, 0)</f>
        <v>Sentinel Lighting</v>
      </c>
      <c r="C32" s="8"/>
      <c r="D32" s="16" t="str">
        <f>IF(ISERROR(VLOOKUP($B32, '3. Rate Classes'!$C$24:$H$45,6,0)), "", VLOOKUP($B32, '3. Rate Classes'!$C$24:$H$45,6,0))</f>
        <v>kW</v>
      </c>
      <c r="F32" s="69">
        <f>IF(ISERROR(VLOOKUP($B32,'3. Rate Classes'!$C$24:$N$45, 8,0)), "", VLOOKUP($B32,'3. Rate Classes'!$C$24:$N$45, 8,0))</f>
        <v>1.9029</v>
      </c>
      <c r="G32" s="64"/>
      <c r="H32" s="64">
        <f>VLOOKUP('9. Adj Network to Current WS'!$B32, '4. RRR Data'!$B$27:$M$49,11,0)</f>
        <v>192847</v>
      </c>
      <c r="I32" s="71"/>
      <c r="J32" s="64">
        <f>VLOOKUP('9. Adj Network to Current WS'!$B32, '4. RRR Data'!$B$27:$M$49,12,0)</f>
        <v>536</v>
      </c>
      <c r="K32" s="59"/>
      <c r="L32" s="60">
        <f t="shared" si="0"/>
        <v>1019.9544</v>
      </c>
      <c r="M32" s="55"/>
      <c r="N32" s="61">
        <f t="shared" si="1"/>
        <v>2.5303874678462294E-4</v>
      </c>
      <c r="P32" s="62">
        <f>IF(ISERROR('7. Current Wholesale'!$F$113*N32), "", '7. Current Wholesale'!$F$113*N32)</f>
        <v>1012.4306293304492</v>
      </c>
      <c r="R32" s="165">
        <f t="shared" si="2"/>
        <v>1.8888631144224799</v>
      </c>
    </row>
    <row r="33" spans="2:18" ht="25.5" customHeight="1" thickBot="1" x14ac:dyDescent="0.25">
      <c r="B33" s="15" t="str">
        <f>IF('3. Rate Classes'!Q32=1,'3. Rate Classes'!C32, 0)</f>
        <v>Street Lighting</v>
      </c>
      <c r="C33" s="8"/>
      <c r="D33" s="16" t="str">
        <f>IF(ISERROR(VLOOKUP($B33, '3. Rate Classes'!$C$24:$H$45,6,0)), "", VLOOKUP($B33, '3. Rate Classes'!$C$24:$H$45,6,0))</f>
        <v>kW</v>
      </c>
      <c r="F33" s="69">
        <f>IF(ISERROR(VLOOKUP($B33,'3. Rate Classes'!$C$24:$N$45, 8,0)), "", VLOOKUP($B33,'3. Rate Classes'!$C$24:$N$45, 8,0))</f>
        <v>1.8933</v>
      </c>
      <c r="G33" s="64"/>
      <c r="H33" s="64">
        <f>VLOOKUP('9. Adj Network to Current WS'!$B33, '4. RRR Data'!$B$27:$M$49,11,0)</f>
        <v>4359071</v>
      </c>
      <c r="I33" s="71"/>
      <c r="J33" s="64">
        <f>VLOOKUP('9. Adj Network to Current WS'!$B33, '4. RRR Data'!$B$27:$M$49,12,0)</f>
        <v>11445</v>
      </c>
      <c r="K33" s="59"/>
      <c r="L33" s="60">
        <f t="shared" si="0"/>
        <v>21668.818500000001</v>
      </c>
      <c r="M33" s="55"/>
      <c r="N33" s="61">
        <f t="shared" si="1"/>
        <v>5.375780208942138E-3</v>
      </c>
      <c r="P33" s="62">
        <f>IF(ISERROR('7. Current Wholesale'!$F$113*N33), "", '7. Current Wholesale'!$F$113*N33)</f>
        <v>21508.976823672001</v>
      </c>
      <c r="R33" s="165">
        <f t="shared" si="2"/>
        <v>1.8793339295475755</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4030822.9982981496</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 Info'!Print_Area</vt:lpstr>
      <vt:lpstr>'13. Final 2014 RTS Rates'!Print_Area</vt:lpstr>
      <vt:lpstr>'3. Rate Classes'!Print_Area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Stephen Vetsis</cp:lastModifiedBy>
  <cp:lastPrinted>2013-08-01T20:06:17Z</cp:lastPrinted>
  <dcterms:created xsi:type="dcterms:W3CDTF">2011-05-30T20:18:50Z</dcterms:created>
  <dcterms:modified xsi:type="dcterms:W3CDTF">2014-01-27T22:05:04Z</dcterms:modified>
</cp:coreProperties>
</file>