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240" yWindow="75" windowWidth="15480" windowHeight="9840" tabRatio="998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0">#REF!</definedName>
    <definedName name="\0" localSheetId="1">#REF!</definedName>
    <definedName name="\0" localSheetId="2">#REF!</definedName>
    <definedName name="\0">#REF!</definedName>
    <definedName name="\A" localSheetId="10">#REF!</definedName>
    <definedName name="\A" localSheetId="1">#REF!</definedName>
    <definedName name="\A" localSheetId="2">#REF!</definedName>
    <definedName name="\A">#REF!</definedName>
    <definedName name="\B" localSheetId="10">#REF!</definedName>
    <definedName name="\B" localSheetId="1">#REF!</definedName>
    <definedName name="\B" localSheetId="2">#REF!</definedName>
    <definedName name="\B">#REF!</definedName>
    <definedName name="\L" localSheetId="10">[1]Lakeview!#REF!</definedName>
    <definedName name="\L" localSheetId="1">[1]Lakeview!#REF!</definedName>
    <definedName name="\L" localSheetId="2">[1]Lakeview!#REF!</definedName>
    <definedName name="\L">[1]Lakeview!#REF!</definedName>
    <definedName name="\M" localSheetId="10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0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0">#REF!</definedName>
    <definedName name="\P" localSheetId="1">#REF!</definedName>
    <definedName name="\P" localSheetId="2">#REF!</definedName>
    <definedName name="\P">#REF!</definedName>
    <definedName name="\Q" localSheetId="10">#REF!</definedName>
    <definedName name="\Q" localSheetId="1">#REF!</definedName>
    <definedName name="\Q" localSheetId="2">#REF!</definedName>
    <definedName name="\Q">#REF!</definedName>
    <definedName name="\r" localSheetId="10">#REF!</definedName>
    <definedName name="\r" localSheetId="1">#REF!</definedName>
    <definedName name="\r" localSheetId="2">#REF!</definedName>
    <definedName name="\r">#REF!</definedName>
    <definedName name="\T" localSheetId="10">#REF!</definedName>
    <definedName name="\T" localSheetId="1">#REF!</definedName>
    <definedName name="\T" localSheetId="2">#REF!</definedName>
    <definedName name="\T">#REF!</definedName>
    <definedName name="\Z" localSheetId="10">#REF!</definedName>
    <definedName name="\Z" localSheetId="1">#REF!</definedName>
    <definedName name="\Z" localSheetId="2">#REF!</definedName>
    <definedName name="\Z">#REF!</definedName>
    <definedName name="______DAT1" localSheetId="10">#REF!</definedName>
    <definedName name="______DAT1" localSheetId="1">#REF!</definedName>
    <definedName name="______DAT1" localSheetId="2">#REF!</definedName>
    <definedName name="______DAT1">#REF!</definedName>
    <definedName name="______DAT10" localSheetId="10">'[2]Nuc Darl MFA'!#REF!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0">#REF!</definedName>
    <definedName name="______DAT2" localSheetId="1">#REF!</definedName>
    <definedName name="______DAT2" localSheetId="2">#REF!</definedName>
    <definedName name="______DAT2">#REF!</definedName>
    <definedName name="______DAT3" localSheetId="10">'[2]Nuc 9807'!#REF!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0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0">#REF!</definedName>
    <definedName name="______DAT5" localSheetId="1">#REF!</definedName>
    <definedName name="______DAT5" localSheetId="2">#REF!</definedName>
    <definedName name="______DAT5">#REF!</definedName>
    <definedName name="______DAT6" localSheetId="10">#REF!</definedName>
    <definedName name="______DAT6" localSheetId="1">#REF!</definedName>
    <definedName name="______DAT6" localSheetId="2">#REF!</definedName>
    <definedName name="______DAT6">#REF!</definedName>
    <definedName name="______DAT7" localSheetId="10">'[2]Nuc 9807'!#REF!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0">#REF!</definedName>
    <definedName name="______DAT8" localSheetId="1">#REF!</definedName>
    <definedName name="______DAT8" localSheetId="2">#REF!</definedName>
    <definedName name="______DAT8">#REF!</definedName>
    <definedName name="______DAT9" localSheetId="10">'[2]Nuc 9807'!#REF!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0">#REF!</definedName>
    <definedName name="______LAM12" localSheetId="1">#REF!</definedName>
    <definedName name="______LAM12" localSheetId="2">#REF!</definedName>
    <definedName name="______LAM12">#REF!</definedName>
    <definedName name="______LAM34" localSheetId="10">#REF!</definedName>
    <definedName name="______LAM34" localSheetId="1">#REF!</definedName>
    <definedName name="______LAM34" localSheetId="2">#REF!</definedName>
    <definedName name="______LAM34">#REF!</definedName>
    <definedName name="______NAN1" localSheetId="10">#REF!</definedName>
    <definedName name="______NAN1" localSheetId="1">#REF!</definedName>
    <definedName name="______NAN1" localSheetId="2">#REF!</definedName>
    <definedName name="______NAN1">#REF!</definedName>
    <definedName name="______NAN2" localSheetId="10">#REF!</definedName>
    <definedName name="______NAN2" localSheetId="1">#REF!</definedName>
    <definedName name="______NAN2" localSheetId="2">#REF!</definedName>
    <definedName name="______NAN2">#REF!</definedName>
    <definedName name="_____DAT1" localSheetId="10">#REF!</definedName>
    <definedName name="_____DAT1" localSheetId="1">#REF!</definedName>
    <definedName name="_____DAT1" localSheetId="2">#REF!</definedName>
    <definedName name="_____DAT1">#REF!</definedName>
    <definedName name="_____DAT10" localSheetId="10">'[2]Nuc Darl MFA'!#REF!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0">#REF!</definedName>
    <definedName name="_____DAT2" localSheetId="1">#REF!</definedName>
    <definedName name="_____DAT2" localSheetId="2">#REF!</definedName>
    <definedName name="_____DAT2">#REF!</definedName>
    <definedName name="_____DAT3" localSheetId="10">'[2]Nuc 9807'!#REF!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0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0">#REF!</definedName>
    <definedName name="_____DAT5" localSheetId="1">#REF!</definedName>
    <definedName name="_____DAT5" localSheetId="2">#REF!</definedName>
    <definedName name="_____DAT5">#REF!</definedName>
    <definedName name="_____DAT6" localSheetId="10">#REF!</definedName>
    <definedName name="_____DAT6" localSheetId="1">#REF!</definedName>
    <definedName name="_____DAT6" localSheetId="2">#REF!</definedName>
    <definedName name="_____DAT6">#REF!</definedName>
    <definedName name="_____DAT7" localSheetId="10">'[2]Nuc 9807'!#REF!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0">#REF!</definedName>
    <definedName name="_____DAT8" localSheetId="1">#REF!</definedName>
    <definedName name="_____DAT8" localSheetId="2">#REF!</definedName>
    <definedName name="_____DAT8">#REF!</definedName>
    <definedName name="_____DAT9" localSheetId="10">'[2]Nuc 9807'!#REF!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0">#REF!</definedName>
    <definedName name="____LAM12" localSheetId="1">#REF!</definedName>
    <definedName name="____LAM12" localSheetId="2">#REF!</definedName>
    <definedName name="____LAM12">#REF!</definedName>
    <definedName name="____LAM34" localSheetId="10">#REF!</definedName>
    <definedName name="____LAM34" localSheetId="1">#REF!</definedName>
    <definedName name="____LAM34" localSheetId="2">#REF!</definedName>
    <definedName name="____LAM34">#REF!</definedName>
    <definedName name="____NAN1" localSheetId="10">#REF!</definedName>
    <definedName name="____NAN1" localSheetId="1">#REF!</definedName>
    <definedName name="____NAN1" localSheetId="2">#REF!</definedName>
    <definedName name="____NAN1">#REF!</definedName>
    <definedName name="____NAN2" localSheetId="10">#REF!</definedName>
    <definedName name="____NAN2" localSheetId="1">#REF!</definedName>
    <definedName name="____NAN2" localSheetId="2">#REF!</definedName>
    <definedName name="____NAN2">#REF!</definedName>
    <definedName name="___DAT14" localSheetId="10">#REF!</definedName>
    <definedName name="___DAT14" localSheetId="1">#REF!</definedName>
    <definedName name="___DAT14" localSheetId="2">#REF!</definedName>
    <definedName name="___DAT14">#REF!</definedName>
    <definedName name="___DAT15" localSheetId="10">#REF!</definedName>
    <definedName name="___DAT15" localSheetId="1">#REF!</definedName>
    <definedName name="___DAT15" localSheetId="2">#REF!</definedName>
    <definedName name="___DAT15">#REF!</definedName>
    <definedName name="___DAT16" localSheetId="10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0">#REF!</definedName>
    <definedName name="__DAT1" localSheetId="1">#REF!</definedName>
    <definedName name="__DAT1" localSheetId="2">#REF!</definedName>
    <definedName name="__DAT1">#REF!</definedName>
    <definedName name="__DAT10" localSheetId="10">'[2]Nuc Darl MFA'!#REF!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0">#REF!</definedName>
    <definedName name="__DAT11" localSheetId="1">#REF!</definedName>
    <definedName name="__DAT11" localSheetId="2">#REF!</definedName>
    <definedName name="__DAT11">#REF!</definedName>
    <definedName name="__DAT12" localSheetId="10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0">#REF!</definedName>
    <definedName name="__DAT2" localSheetId="1">#REF!</definedName>
    <definedName name="__DAT2" localSheetId="2">#REF!</definedName>
    <definedName name="__DAT2">#REF!</definedName>
    <definedName name="__DAT3" localSheetId="10">'[2]Nuc 9807'!#REF!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0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0">#REF!</definedName>
    <definedName name="__DAT5" localSheetId="1">#REF!</definedName>
    <definedName name="__DAT5" localSheetId="2">#REF!</definedName>
    <definedName name="__DAT5">#REF!</definedName>
    <definedName name="__DAT6" localSheetId="10">#REF!</definedName>
    <definedName name="__DAT6" localSheetId="1">#REF!</definedName>
    <definedName name="__DAT6" localSheetId="2">#REF!</definedName>
    <definedName name="__DAT6">#REF!</definedName>
    <definedName name="__DAT7" localSheetId="10">'[2]Nuc 9807'!#REF!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0">#REF!</definedName>
    <definedName name="__DAT8" localSheetId="1">#REF!</definedName>
    <definedName name="__DAT8" localSheetId="2">#REF!</definedName>
    <definedName name="__DAT8">#REF!</definedName>
    <definedName name="__DAT9" localSheetId="10">'[2]Nuc 9807'!#REF!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0">#REF!</definedName>
    <definedName name="__LAM12" localSheetId="1">#REF!</definedName>
    <definedName name="__LAM12" localSheetId="2">#REF!</definedName>
    <definedName name="__LAM12">#REF!</definedName>
    <definedName name="__LAM34" localSheetId="10">#REF!</definedName>
    <definedName name="__LAM34" localSheetId="1">#REF!</definedName>
    <definedName name="__LAM34" localSheetId="2">#REF!</definedName>
    <definedName name="__LAM34">#REF!</definedName>
    <definedName name="__NAN1" localSheetId="10">#REF!</definedName>
    <definedName name="__NAN1" localSheetId="1">#REF!</definedName>
    <definedName name="__NAN1" localSheetId="2">#REF!</definedName>
    <definedName name="__NAN1">#REF!</definedName>
    <definedName name="__NAN2" localSheetId="10">#REF!</definedName>
    <definedName name="__NAN2" localSheetId="1">#REF!</definedName>
    <definedName name="__NAN2" localSheetId="2">#REF!</definedName>
    <definedName name="__NAN2">#REF!</definedName>
    <definedName name="_10TBAY_HEAD" localSheetId="10">#REF!</definedName>
    <definedName name="_10TBAY_HEAD" localSheetId="1">#REF!</definedName>
    <definedName name="_10TBAY_HEAD" localSheetId="2">#REF!</definedName>
    <definedName name="_10TBAY_HEAD">#REF!</definedName>
    <definedName name="_1FOS_OVR1" localSheetId="10">#REF!</definedName>
    <definedName name="_1FOS_OVR1" localSheetId="1">#REF!</definedName>
    <definedName name="_1FOS_OVR1" localSheetId="2">#REF!</definedName>
    <definedName name="_1FOS_OVR1">#REF!</definedName>
    <definedName name="_2FOS_OVR2" localSheetId="10">#REF!</definedName>
    <definedName name="_2FOS_OVR2" localSheetId="1">#REF!</definedName>
    <definedName name="_2FOS_OVR2" localSheetId="2">#REF!</definedName>
    <definedName name="_2FOS_OVR2">#REF!</definedName>
    <definedName name="_3FOS_OVR3" localSheetId="10">#REF!</definedName>
    <definedName name="_3FOS_OVR3" localSheetId="1">#REF!</definedName>
    <definedName name="_3FOS_OVR3" localSheetId="2">#REF!</definedName>
    <definedName name="_3FOS_OVR3">#REF!</definedName>
    <definedName name="_4INV_VALUE" localSheetId="10">#REF!</definedName>
    <definedName name="_4INV_VALUE" localSheetId="1">#REF!</definedName>
    <definedName name="_4INV_VALUE" localSheetId="2">#REF!</definedName>
    <definedName name="_4INV_VALUE">#REF!</definedName>
    <definedName name="_5NAN_FOOT" localSheetId="10">#REF!</definedName>
    <definedName name="_5NAN_FOOT" localSheetId="1">#REF!</definedName>
    <definedName name="_5NAN_FOOT" localSheetId="2">#REF!</definedName>
    <definedName name="_5NAN_FOOT">#REF!</definedName>
    <definedName name="_6NAN_HEAD" localSheetId="10">#REF!</definedName>
    <definedName name="_6NAN_HEAD" localSheetId="1">#REF!</definedName>
    <definedName name="_6NAN_HEAD" localSheetId="2">#REF!</definedName>
    <definedName name="_6NAN_HEAD">#REF!</definedName>
    <definedName name="_7SUM_COMM" localSheetId="10">#REF!</definedName>
    <definedName name="_7SUM_COMM" localSheetId="1">#REF!</definedName>
    <definedName name="_7SUM_COMM" localSheetId="2">#REF!</definedName>
    <definedName name="_7SUM_COMM">#REF!</definedName>
    <definedName name="_8TBAY_1" localSheetId="10">#REF!</definedName>
    <definedName name="_8TBAY_1" localSheetId="1">#REF!</definedName>
    <definedName name="_8TBAY_1" localSheetId="2">#REF!</definedName>
    <definedName name="_8TBAY_1">#REF!</definedName>
    <definedName name="_93DRATED" localSheetId="10">#REF!</definedName>
    <definedName name="_93DRATED" localSheetId="1">#REF!</definedName>
    <definedName name="_93DRATED" localSheetId="2">#REF!</definedName>
    <definedName name="_93DRATED">#REF!</definedName>
    <definedName name="_93DRATEM" localSheetId="10">#REF!</definedName>
    <definedName name="_93DRATEM" localSheetId="1">#REF!</definedName>
    <definedName name="_93DRATEM" localSheetId="2">#REF!</definedName>
    <definedName name="_93DRATEM">#REF!</definedName>
    <definedName name="_93PENERGY" localSheetId="10">#REF!</definedName>
    <definedName name="_93PENERGY" localSheetId="1">#REF!</definedName>
    <definedName name="_93PENERGY" localSheetId="2">#REF!</definedName>
    <definedName name="_93PENERGY">#REF!</definedName>
    <definedName name="_93RATED" localSheetId="10">#REF!</definedName>
    <definedName name="_93RATED" localSheetId="1">#REF!</definedName>
    <definedName name="_93RATED" localSheetId="2">#REF!</definedName>
    <definedName name="_93RATED">#REF!</definedName>
    <definedName name="_93RATEM" localSheetId="10">#REF!</definedName>
    <definedName name="_93RATEM" localSheetId="1">#REF!</definedName>
    <definedName name="_93RATEM" localSheetId="2">#REF!</definedName>
    <definedName name="_93RATEM">#REF!</definedName>
    <definedName name="_93RATER" localSheetId="10">#REF!</definedName>
    <definedName name="_93RATER" localSheetId="1">#REF!</definedName>
    <definedName name="_93RATER" localSheetId="2">#REF!</definedName>
    <definedName name="_93RATER">#REF!</definedName>
    <definedName name="_94ED" localSheetId="10">#REF!</definedName>
    <definedName name="_94ED" localSheetId="1">#REF!</definedName>
    <definedName name="_94ED" localSheetId="2">#REF!</definedName>
    <definedName name="_94ED">#REF!</definedName>
    <definedName name="_94EM" localSheetId="10">#REF!</definedName>
    <definedName name="_94EM" localSheetId="1">#REF!</definedName>
    <definedName name="_94EM" localSheetId="2">#REF!</definedName>
    <definedName name="_94EM">#REF!</definedName>
    <definedName name="_94NR" localSheetId="10">#REF!</definedName>
    <definedName name="_94NR" localSheetId="1">#REF!</definedName>
    <definedName name="_94NR" localSheetId="2">#REF!</definedName>
    <definedName name="_94NR">#REF!</definedName>
    <definedName name="_94SENERGY" localSheetId="10">#REF!</definedName>
    <definedName name="_94SENERGY" localSheetId="1">#REF!</definedName>
    <definedName name="_94SENERGY" localSheetId="2">#REF!</definedName>
    <definedName name="_94SENERGY">#REF!</definedName>
    <definedName name="_9TBAY_2" localSheetId="10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0">#REF!</definedName>
    <definedName name="_DAT1" localSheetId="1">#REF!</definedName>
    <definedName name="_DAT1" localSheetId="2">#REF!</definedName>
    <definedName name="_DAT1">#REF!</definedName>
    <definedName name="_DAT10" localSheetId="10">'[2]Nuc Darl MFA'!#REF!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0">#REF!</definedName>
    <definedName name="_DAT11" localSheetId="1">#REF!</definedName>
    <definedName name="_DAT11" localSheetId="2">#REF!</definedName>
    <definedName name="_DAT11">#REF!</definedName>
    <definedName name="_DAT12" localSheetId="10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0">#REF!</definedName>
    <definedName name="_DAT14" localSheetId="1">#REF!</definedName>
    <definedName name="_DAT14" localSheetId="2">#REF!</definedName>
    <definedName name="_DAT14">#REF!</definedName>
    <definedName name="_DAT15" localSheetId="10">#REF!</definedName>
    <definedName name="_DAT15" localSheetId="1">#REF!</definedName>
    <definedName name="_DAT15" localSheetId="2">#REF!</definedName>
    <definedName name="_DAT15">#REF!</definedName>
    <definedName name="_DAT16" localSheetId="10">#REF!</definedName>
    <definedName name="_DAT16" localSheetId="1">#REF!</definedName>
    <definedName name="_DAT16" localSheetId="2">#REF!</definedName>
    <definedName name="_DAT16">#REF!</definedName>
    <definedName name="_DAT2" localSheetId="10">#REF!</definedName>
    <definedName name="_DAT2" localSheetId="1">#REF!</definedName>
    <definedName name="_DAT2" localSheetId="2">#REF!</definedName>
    <definedName name="_DAT2">#REF!</definedName>
    <definedName name="_DAT3" localSheetId="10">'[2]Nuc 9807'!#REF!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0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0">#REF!</definedName>
    <definedName name="_DAT5" localSheetId="1">#REF!</definedName>
    <definedName name="_DAT5" localSheetId="2">#REF!</definedName>
    <definedName name="_DAT5">#REF!</definedName>
    <definedName name="_DAT6" localSheetId="10">#REF!</definedName>
    <definedName name="_DAT6" localSheetId="1">#REF!</definedName>
    <definedName name="_DAT6" localSheetId="2">#REF!</definedName>
    <definedName name="_DAT6">#REF!</definedName>
    <definedName name="_DAT7" localSheetId="10">'[2]Nuc 9807'!#REF!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0">#REF!</definedName>
    <definedName name="_DAT8" localSheetId="1">#REF!</definedName>
    <definedName name="_DAT8" localSheetId="2">#REF!</definedName>
    <definedName name="_DAT8">#REF!</definedName>
    <definedName name="_DAT9" localSheetId="10">'[2]Nuc 9807'!#REF!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0" hidden="1">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0" hidden="1">'[4]94SEC5L'!#REF!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0">#REF!</definedName>
    <definedName name="_LAM12" localSheetId="1">#REF!</definedName>
    <definedName name="_LAM12" localSheetId="2">#REF!</definedName>
    <definedName name="_LAM12">#REF!</definedName>
    <definedName name="_LAM34" localSheetId="10">#REF!</definedName>
    <definedName name="_LAM34" localSheetId="1">#REF!</definedName>
    <definedName name="_LAM34" localSheetId="2">#REF!</definedName>
    <definedName name="_LAM34">#REF!</definedName>
    <definedName name="_NAN1" localSheetId="10">#REF!</definedName>
    <definedName name="_NAN1" localSheetId="1">#REF!</definedName>
    <definedName name="_NAN1" localSheetId="2">#REF!</definedName>
    <definedName name="_NAN1">#REF!</definedName>
    <definedName name="_NAN2" localSheetId="10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0" hidden="1">'[4]94SEC5L'!#REF!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0">#REF!</definedName>
    <definedName name="a" localSheetId="1">#REF!</definedName>
    <definedName name="a" localSheetId="2">#REF!</definedName>
    <definedName name="a">#REF!</definedName>
    <definedName name="aaaaa" localSheetId="10">#REF!</definedName>
    <definedName name="aaaaa" localSheetId="1">#REF!</definedName>
    <definedName name="aaaaa" localSheetId="2">#REF!</definedName>
    <definedName name="aaaaa">#REF!</definedName>
    <definedName name="aaaaaaaaaaaaa" localSheetId="10">[5]III.F!#REF!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0">[6]Current!#REF!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0">#REF!</definedName>
    <definedName name="acd" localSheetId="1">#REF!</definedName>
    <definedName name="acd" localSheetId="2">#REF!</definedName>
    <definedName name="acd">#REF!</definedName>
    <definedName name="ACHANGE" localSheetId="10">#REF!</definedName>
    <definedName name="ACHANGE" localSheetId="1">#REF!</definedName>
    <definedName name="ACHANGE" localSheetId="2">#REF!</definedName>
    <definedName name="ACHANGE">#REF!</definedName>
    <definedName name="ActualData" localSheetId="10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0">#REF!</definedName>
    <definedName name="asd" localSheetId="1">#REF!</definedName>
    <definedName name="asd" localSheetId="2">#REF!</definedName>
    <definedName name="asd">#REF!</definedName>
    <definedName name="asdfdsf" localSheetId="10">#REF!</definedName>
    <definedName name="asdfdsf" localSheetId="1">#REF!</definedName>
    <definedName name="asdfdsf" localSheetId="2">#REF!</definedName>
    <definedName name="asdfdsf">#REF!</definedName>
    <definedName name="at" localSheetId="10">#REF!</definedName>
    <definedName name="at" localSheetId="1">#REF!</definedName>
    <definedName name="at" localSheetId="2">#REF!</definedName>
    <definedName name="at">#REF!</definedName>
    <definedName name="ATIKOKAN" localSheetId="10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0">#REF!</definedName>
    <definedName name="AUGSUM" localSheetId="1">#REF!</definedName>
    <definedName name="AUGSUM" localSheetId="2">#REF!</definedName>
    <definedName name="AUGSUM">#REF!</definedName>
    <definedName name="AVGRAT" localSheetId="10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0">#REF!</definedName>
    <definedName name="bb" localSheetId="1">#REF!</definedName>
    <definedName name="bb" localSheetId="2">#REF!</definedName>
    <definedName name="bb">#REF!</definedName>
    <definedName name="BBANALYSIS" localSheetId="10">#REF!</definedName>
    <definedName name="BBANALYSIS" localSheetId="1">#REF!</definedName>
    <definedName name="BBANALYSIS" localSheetId="2">#REF!</definedName>
    <definedName name="BBANALYSIS">#REF!</definedName>
    <definedName name="bbbbbb" localSheetId="10">#REF!</definedName>
    <definedName name="bbbbbb" localSheetId="1">#REF!</definedName>
    <definedName name="bbbbbb" localSheetId="2">#REF!</definedName>
    <definedName name="bbbbbb">#REF!</definedName>
    <definedName name="bbbbbbbbbbb" localSheetId="10">#REF!</definedName>
    <definedName name="bbbbbbbbbbb" localSheetId="1">#REF!</definedName>
    <definedName name="bbbbbbbbbbb" localSheetId="2">#REF!</definedName>
    <definedName name="bbbbbbbbbbb">#REF!</definedName>
    <definedName name="Best" localSheetId="10">#REF!</definedName>
    <definedName name="Best" localSheetId="1">#REF!</definedName>
    <definedName name="Best" localSheetId="2">#REF!</definedName>
    <definedName name="Best">#REF!</definedName>
    <definedName name="bh" localSheetId="10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0">#REF!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0">'[14]99 Budget -John Arciuch'!#REF!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0">#REF!</definedName>
    <definedName name="cadcadfd" localSheetId="1">#REF!</definedName>
    <definedName name="cadcadfd" localSheetId="2">#REF!</definedName>
    <definedName name="cadcadfd">#REF!</definedName>
    <definedName name="cas" localSheetId="10">#REF!</definedName>
    <definedName name="cas" localSheetId="1">#REF!</definedName>
    <definedName name="cas" localSheetId="2">#REF!</definedName>
    <definedName name="cas">#REF!</definedName>
    <definedName name="casd" localSheetId="10">#REF!</definedName>
    <definedName name="casd" localSheetId="1">#REF!</definedName>
    <definedName name="casd" localSheetId="2">#REF!</definedName>
    <definedName name="casd">#REF!</definedName>
    <definedName name="CASH1" localSheetId="10">#REF!</definedName>
    <definedName name="CASH1" localSheetId="1">#REF!</definedName>
    <definedName name="CASH1" localSheetId="2">#REF!</definedName>
    <definedName name="CASH1">#REF!</definedName>
    <definedName name="CASH2" localSheetId="10">#REF!</definedName>
    <definedName name="CASH2" localSheetId="1">#REF!</definedName>
    <definedName name="CASH2" localSheetId="2">#REF!</definedName>
    <definedName name="CASH2">#REF!</definedName>
    <definedName name="cc" localSheetId="10">#REF!</definedName>
    <definedName name="cc" localSheetId="1">#REF!</definedName>
    <definedName name="cc" localSheetId="2">#REF!</definedName>
    <definedName name="cc">#REF!</definedName>
    <definedName name="cd" localSheetId="10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0">#REF!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0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0">#REF!,#REF!,#REF!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0">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0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0">#REF!</definedName>
    <definedName name="cop" localSheetId="1">#REF!</definedName>
    <definedName name="cop" localSheetId="2">#REF!</definedName>
    <definedName name="cop">#REF!</definedName>
    <definedName name="CopyEnergy" localSheetId="10">[17]!CopyEnergy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0">#REF!</definedName>
    <definedName name="d" localSheetId="1">#REF!</definedName>
    <definedName name="d" localSheetId="2">#REF!</definedName>
    <definedName name="d">#REF!</definedName>
    <definedName name="dad" localSheetId="10">#REF!</definedName>
    <definedName name="dad" localSheetId="1">#REF!</definedName>
    <definedName name="dad" localSheetId="2">#REF!</definedName>
    <definedName name="dad">#REF!</definedName>
    <definedName name="dafadf" localSheetId="10">#REF!</definedName>
    <definedName name="dafadf" localSheetId="1">#REF!</definedName>
    <definedName name="dafadf" localSheetId="2">#REF!</definedName>
    <definedName name="dafadf">#REF!</definedName>
    <definedName name="dasdfdfsdfa" localSheetId="10">#REF!</definedName>
    <definedName name="dasdfdfsdfa" localSheetId="1">#REF!</definedName>
    <definedName name="dasdfdfsdfa" localSheetId="2">#REF!</definedName>
    <definedName name="dasdfdfsdfa">#REF!</definedName>
    <definedName name="_xlnm.Database" localSheetId="10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0">#REF!</definedName>
    <definedName name="dd" localSheetId="1">#REF!</definedName>
    <definedName name="dd" localSheetId="2">#REF!</definedName>
    <definedName name="dd">#REF!</definedName>
    <definedName name="ddddd" localSheetId="10">#REF!</definedName>
    <definedName name="ddddd" localSheetId="1">#REF!</definedName>
    <definedName name="ddddd" localSheetId="2">#REF!</definedName>
    <definedName name="ddddd">#REF!</definedName>
    <definedName name="ddddddd" localSheetId="10">#REF!</definedName>
    <definedName name="ddddddd" localSheetId="1">#REF!</definedName>
    <definedName name="ddddddd" localSheetId="2">#REF!</definedName>
    <definedName name="ddddddd">#REF!</definedName>
    <definedName name="dddddddddddddddd" localSheetId="10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0">#REF!</definedName>
    <definedName name="DECSUM" localSheetId="1">#REF!</definedName>
    <definedName name="DECSUM" localSheetId="2">#REF!</definedName>
    <definedName name="DECSUM">#REF!</definedName>
    <definedName name="dfadfs" localSheetId="10" hidden="1">'[4]94SEC5L'!#REF!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0">#REF!</definedName>
    <definedName name="dfasdf" localSheetId="1">#REF!</definedName>
    <definedName name="dfasdf" localSheetId="2">#REF!</definedName>
    <definedName name="dfasdf">#REF!</definedName>
    <definedName name="dfasdfsd" localSheetId="10" hidden="1">'[4]94SEC5L'!#REF!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0">#REF!</definedName>
    <definedName name="dfd" localSheetId="1">#REF!</definedName>
    <definedName name="dfd" localSheetId="2">#REF!</definedName>
    <definedName name="dfd">#REF!</definedName>
    <definedName name="dg" localSheetId="10">#REF!</definedName>
    <definedName name="dg" localSheetId="1">#REF!</definedName>
    <definedName name="dg" localSheetId="2">#REF!</definedName>
    <definedName name="dg">#REF!</definedName>
    <definedName name="discount_rate" localSheetId="10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0">#REF!</definedName>
    <definedName name="dr" localSheetId="1">#REF!</definedName>
    <definedName name="dr" localSheetId="2">#REF!</definedName>
    <definedName name="dr">#REF!</definedName>
    <definedName name="ds" localSheetId="10">#REF!</definedName>
    <definedName name="ds" localSheetId="1">#REF!</definedName>
    <definedName name="ds" localSheetId="2">#REF!</definedName>
    <definedName name="ds">#REF!</definedName>
    <definedName name="ee" localSheetId="10">#REF!</definedName>
    <definedName name="ee" localSheetId="1">#REF!</definedName>
    <definedName name="ee" localSheetId="2">#REF!</definedName>
    <definedName name="ee">#REF!</definedName>
    <definedName name="eeeeeeeeeee" localSheetId="10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0">#REF!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0">#REF!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0">#REF!</definedName>
    <definedName name="fdf" localSheetId="1">#REF!</definedName>
    <definedName name="fdf" localSheetId="2">#REF!</definedName>
    <definedName name="fdf">#REF!</definedName>
    <definedName name="FEBSUM" localSheetId="10">#REF!</definedName>
    <definedName name="FEBSUM" localSheetId="1">#REF!</definedName>
    <definedName name="FEBSUM" localSheetId="2">#REF!</definedName>
    <definedName name="FEBSUM">#REF!</definedName>
    <definedName name="fffff" localSheetId="10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0">[17]!File4Web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0">#REF!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0">#REF!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0">#REF!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0">#REF!</definedName>
    <definedName name="HEAD1" localSheetId="1">#REF!</definedName>
    <definedName name="HEAD1" localSheetId="2">#REF!</definedName>
    <definedName name="HEAD1">#REF!</definedName>
    <definedName name="HEAD2" localSheetId="10">[1]Lakeview!#REF!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0">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0">#REF!</definedName>
    <definedName name="Input" localSheetId="1">#REF!</definedName>
    <definedName name="Input" localSheetId="2">#REF!</definedName>
    <definedName name="Input">#REF!</definedName>
    <definedName name="Input_FAMS" localSheetId="10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0">#REF!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0">#REF!</definedName>
    <definedName name="JULSUM" localSheetId="1">#REF!</definedName>
    <definedName name="JULSUM" localSheetId="2">#REF!</definedName>
    <definedName name="JULSUM">#REF!</definedName>
    <definedName name="JUNSUM" localSheetId="10">#REF!</definedName>
    <definedName name="JUNSUM" localSheetId="1">#REF!</definedName>
    <definedName name="JUNSUM" localSheetId="2">#REF!</definedName>
    <definedName name="JUNSUM">#REF!</definedName>
    <definedName name="l" localSheetId="10">#REF!</definedName>
    <definedName name="l" localSheetId="1">#REF!</definedName>
    <definedName name="l" localSheetId="2">#REF!</definedName>
    <definedName name="l">#REF!</definedName>
    <definedName name="LAKE" localSheetId="10">#REF!</definedName>
    <definedName name="LAKE" localSheetId="1">#REF!</definedName>
    <definedName name="LAKE" localSheetId="2">#REF!</definedName>
    <definedName name="LAKE">#REF!</definedName>
    <definedName name="LAKE2" localSheetId="10">#REF!</definedName>
    <definedName name="LAKE2" localSheetId="1">#REF!</definedName>
    <definedName name="LAKE2" localSheetId="2">#REF!</definedName>
    <definedName name="LAKE2">#REF!</definedName>
    <definedName name="LAKEVIEW" localSheetId="10">#REF!</definedName>
    <definedName name="LAKEVIEW" localSheetId="1">#REF!</definedName>
    <definedName name="LAKEVIEW" localSheetId="2">#REF!</definedName>
    <definedName name="LAKEVIEW">#REF!</definedName>
    <definedName name="LAMBTON" localSheetId="10">#REF!</definedName>
    <definedName name="LAMBTON" localSheetId="1">#REF!</definedName>
    <definedName name="LAMBTON" localSheetId="2">#REF!</definedName>
    <definedName name="LAMBTON">#REF!</definedName>
    <definedName name="LastUpDate">[27]settings!$B$4</definedName>
    <definedName name="lastyr" localSheetId="10">[6]Current!#REF!</definedName>
    <definedName name="lastyr" localSheetId="1">[6]Current!#REF!</definedName>
    <definedName name="lastyr" localSheetId="2">[6]Current!#REF!</definedName>
    <definedName name="lastyr">[6]Current!#REF!</definedName>
    <definedName name="LEN" localSheetId="10">#REF!</definedName>
    <definedName name="LEN" localSheetId="1">#REF!</definedName>
    <definedName name="LEN" localSheetId="2">#REF!</definedName>
    <definedName name="LEN">#REF!</definedName>
    <definedName name="LENNOX" localSheetId="10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0">#REF!</definedName>
    <definedName name="lll" localSheetId="1">#REF!</definedName>
    <definedName name="lll" localSheetId="2">#REF!</definedName>
    <definedName name="lll">#REF!</definedName>
    <definedName name="llll" localSheetId="10">#REF!</definedName>
    <definedName name="llll" localSheetId="1">#REF!</definedName>
    <definedName name="llll" localSheetId="2">#REF!</definedName>
    <definedName name="llll">#REF!</definedName>
    <definedName name="llllllllllllllllllllllllll" localSheetId="10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0">#REF!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0">#REF!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0">#REF!</definedName>
    <definedName name="mmmmmm" localSheetId="1">#REF!</definedName>
    <definedName name="mmmmmm" localSheetId="2">#REF!</definedName>
    <definedName name="mmmmmm">#REF!</definedName>
    <definedName name="mmmmmmmmmmmmmm" localSheetId="10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0">[17]!MonthlyScroll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0">#REF!</definedName>
    <definedName name="MONTHS" localSheetId="1">#REF!</definedName>
    <definedName name="MONTHS" localSheetId="2">#REF!</definedName>
    <definedName name="MONTHS">#REF!</definedName>
    <definedName name="MONTHS2" localSheetId="10">#REF!</definedName>
    <definedName name="MONTHS2" localSheetId="1">#REF!</definedName>
    <definedName name="MONTHS2" localSheetId="2">#REF!</definedName>
    <definedName name="MONTHS2">#REF!</definedName>
    <definedName name="MPMARebate" localSheetId="10">#REF!</definedName>
    <definedName name="MPMARebate" localSheetId="1">#REF!</definedName>
    <definedName name="MPMARebate" localSheetId="2">#REF!</definedName>
    <definedName name="MPMARebate">#REF!</definedName>
    <definedName name="NANLINE1" localSheetId="10">'[10]Total FBU'!#REF!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0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0">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0">#REF!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0">#REF!</definedName>
    <definedName name="nnnnn" localSheetId="1">#REF!</definedName>
    <definedName name="nnnnn" localSheetId="2">#REF!</definedName>
    <definedName name="nnnnn">#REF!</definedName>
    <definedName name="nnnnnnnnnnnnn" localSheetId="10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0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0">#REF!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0">#REF!</definedName>
    <definedName name="OCTSUM" localSheetId="1">#REF!</definedName>
    <definedName name="OCTSUM" localSheetId="2">#REF!</definedName>
    <definedName name="OCTSUM">#REF!</definedName>
    <definedName name="old_discount_rate" localSheetId="10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0">#REF!</definedName>
    <definedName name="OMA" localSheetId="1">#REF!</definedName>
    <definedName name="OMA" localSheetId="2">#REF!</definedName>
    <definedName name="OMA">#REF!</definedName>
    <definedName name="OMA_PROG" localSheetId="10">#REF!</definedName>
    <definedName name="OMA_PROG" localSheetId="1">#REF!</definedName>
    <definedName name="OMA_PROG" localSheetId="2">#REF!</definedName>
    <definedName name="OMA_PROG">#REF!</definedName>
    <definedName name="OMA_RES" localSheetId="10">#REF!</definedName>
    <definedName name="OMA_RES" localSheetId="1">#REF!</definedName>
    <definedName name="OMA_RES" localSheetId="2">#REF!</definedName>
    <definedName name="OMA_RES">#REF!</definedName>
    <definedName name="ONFA_discount_rate" localSheetId="10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[31]settings!$B$12</definedName>
    <definedName name="Page1" localSheetId="10">#REF!</definedName>
    <definedName name="Page1" localSheetId="1">#REF!</definedName>
    <definedName name="Page1" localSheetId="2">#REF!</definedName>
    <definedName name="Page1">#REF!</definedName>
    <definedName name="Page2" localSheetId="10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0">#REF!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>#REF!</definedName>
    <definedName name="Print_Area_MI" localSheetId="10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0">#REF!</definedName>
    <definedName name="q" localSheetId="1">#REF!</definedName>
    <definedName name="q" localSheetId="2">#REF!</definedName>
    <definedName name="q">#REF!</definedName>
    <definedName name="qqqqqqqqqqq" localSheetId="10">#REF!</definedName>
    <definedName name="qqqqqqqqqqq" localSheetId="1">#REF!</definedName>
    <definedName name="qqqqqqqqqqq" localSheetId="2">#REF!</definedName>
    <definedName name="qqqqqqqqqqq">#REF!</definedName>
    <definedName name="Range2" localSheetId="10">[33]OntLoad!#REF!</definedName>
    <definedName name="Range2" localSheetId="1">[33]OntLoad!#REF!</definedName>
    <definedName name="Range2" localSheetId="2">[33]OntLoad!#REF!</definedName>
    <definedName name="Range2">[33]OntLoad!#REF!</definedName>
    <definedName name="RATES" localSheetId="10">#REF!</definedName>
    <definedName name="RATES" localSheetId="1">#REF!</definedName>
    <definedName name="RATES" localSheetId="2">#REF!</definedName>
    <definedName name="RATES">#REF!</definedName>
    <definedName name="re" localSheetId="10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0">#REF!</definedName>
    <definedName name="Report_Deprn" localSheetId="1">#REF!</definedName>
    <definedName name="Report_Deprn" localSheetId="2">#REF!</definedName>
    <definedName name="Report_Deprn">#REF!</definedName>
    <definedName name="Report_Detail" localSheetId="10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0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0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0">#REF!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0">#REF!</definedName>
    <definedName name="RORuf" localSheetId="1">#REF!</definedName>
    <definedName name="RORuf" localSheetId="2">#REF!</definedName>
    <definedName name="RORuf">#REF!</definedName>
    <definedName name="rrrrrrrrrrrrrrrr" localSheetId="10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0">#REF!</definedName>
    <definedName name="rt" localSheetId="1">#REF!</definedName>
    <definedName name="rt" localSheetId="2">#REF!</definedName>
    <definedName name="rt">#REF!</definedName>
    <definedName name="RTPA" localSheetId="10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0">#REF!</definedName>
    <definedName name="SCHA" localSheetId="1">#REF!</definedName>
    <definedName name="SCHA" localSheetId="2">#REF!</definedName>
    <definedName name="SCHA">#REF!</definedName>
    <definedName name="SCHAA" localSheetId="10">#REF!</definedName>
    <definedName name="SCHAA" localSheetId="1">#REF!</definedName>
    <definedName name="SCHAA" localSheetId="2">#REF!</definedName>
    <definedName name="SCHAA">#REF!</definedName>
    <definedName name="SCHG" localSheetId="10">[5]III.F!#REF!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0">#REF!</definedName>
    <definedName name="SDate" localSheetId="1">#REF!</definedName>
    <definedName name="SDate" localSheetId="2">#REF!</definedName>
    <definedName name="SDate">#REF!</definedName>
    <definedName name="sdfasdf" localSheetId="10" hidden="1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0">#REF!</definedName>
    <definedName name="SEPSUM" localSheetId="1">#REF!</definedName>
    <definedName name="SEPSUM" localSheetId="2">#REF!</definedName>
    <definedName name="SEPSUM">#REF!</definedName>
    <definedName name="SPACE" localSheetId="10">'[10]Total FBU'!#REF!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0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0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0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0">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[34]Rev_Pool_qtr_analysis!$D$32</definedName>
    <definedName name="st" localSheetId="10">#REF!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0">#REF!</definedName>
    <definedName name="TBAY" localSheetId="1">#REF!</definedName>
    <definedName name="TBAY" localSheetId="2">#REF!</definedName>
    <definedName name="TBAY">#REF!</definedName>
    <definedName name="TBAYFOOT" localSheetId="10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0">#REF!</definedName>
    <definedName name="TEST0" localSheetId="1">#REF!</definedName>
    <definedName name="TEST0" localSheetId="2">#REF!</definedName>
    <definedName name="TEST0">#REF!</definedName>
    <definedName name="TEST1" localSheetId="10">#REF!</definedName>
    <definedName name="TEST1" localSheetId="1">#REF!</definedName>
    <definedName name="TEST1" localSheetId="2">#REF!</definedName>
    <definedName name="TEST1">#REF!</definedName>
    <definedName name="TEST2" localSheetId="10">#REF!</definedName>
    <definedName name="TEST2" localSheetId="1">#REF!</definedName>
    <definedName name="TEST2" localSheetId="2">#REF!</definedName>
    <definedName name="TEST2">#REF!</definedName>
    <definedName name="TEST3" localSheetId="10">#REF!</definedName>
    <definedName name="TEST3" localSheetId="1">#REF!</definedName>
    <definedName name="TEST3" localSheetId="2">#REF!</definedName>
    <definedName name="TEST3">#REF!</definedName>
    <definedName name="TEST4" localSheetId="10">#REF!</definedName>
    <definedName name="TEST4" localSheetId="1">#REF!</definedName>
    <definedName name="TEST4" localSheetId="2">#REF!</definedName>
    <definedName name="TEST4">#REF!</definedName>
    <definedName name="TESTHKEY" localSheetId="10">#REF!</definedName>
    <definedName name="TESTHKEY" localSheetId="1">#REF!</definedName>
    <definedName name="TESTHKEY" localSheetId="2">#REF!</definedName>
    <definedName name="TESTHKEY">#REF!</definedName>
    <definedName name="TESTKEYS" localSheetId="10">#REF!</definedName>
    <definedName name="TESTKEYS" localSheetId="1">#REF!</definedName>
    <definedName name="TESTKEYS" localSheetId="2">#REF!</definedName>
    <definedName name="TESTKEYS">#REF!</definedName>
    <definedName name="TESTVKEY" localSheetId="10">#REF!</definedName>
    <definedName name="TESTVKEY" localSheetId="1">#REF!</definedName>
    <definedName name="TESTVKEY" localSheetId="2">#REF!</definedName>
    <definedName name="TESTVKEY">#REF!</definedName>
    <definedName name="THBAY" localSheetId="10">#REF!</definedName>
    <definedName name="THBAY" localSheetId="1">#REF!</definedName>
    <definedName name="THBAY" localSheetId="2">#REF!</definedName>
    <definedName name="THBAY">#REF!</definedName>
    <definedName name="third">[34]Rev_Pool_qtr_analysis!$D$32</definedName>
    <definedName name="Tot_MWh" localSheetId="10">'[14]99 Budget -John Arciuch'!#REF!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0">#REF!</definedName>
    <definedName name="Trans_Capital" localSheetId="1">#REF!</definedName>
    <definedName name="Trans_Capital" localSheetId="2">#REF!</definedName>
    <definedName name="Trans_Capital">#REF!</definedName>
    <definedName name="transp_res" localSheetId="10">#REF!</definedName>
    <definedName name="transp_res" localSheetId="1">#REF!</definedName>
    <definedName name="transp_res" localSheetId="2">#REF!</definedName>
    <definedName name="transp_res">#REF!</definedName>
    <definedName name="trend" localSheetId="10">#REF!</definedName>
    <definedName name="trend" localSheetId="1">#REF!</definedName>
    <definedName name="trend" localSheetId="2">#REF!</definedName>
    <definedName name="trend">#REF!</definedName>
    <definedName name="TSF" localSheetId="10">#REF!</definedName>
    <definedName name="TSF" localSheetId="1">#REF!</definedName>
    <definedName name="TSF" localSheetId="2">#REF!</definedName>
    <definedName name="TSF">#REF!</definedName>
    <definedName name="ttl_loss_mwh" localSheetId="10">'[14]99 Budget -John Arciuch'!#REF!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0">#REF!</definedName>
    <definedName name="tttt" localSheetId="1">#REF!</definedName>
    <definedName name="tttt" localSheetId="2">#REF!</definedName>
    <definedName name="tttt">#REF!</definedName>
    <definedName name="tttttt" localSheetId="10">#REF!</definedName>
    <definedName name="tttttt" localSheetId="1">#REF!</definedName>
    <definedName name="tttttt" localSheetId="2">#REF!</definedName>
    <definedName name="tttttt">#REF!</definedName>
    <definedName name="tttttttttt" localSheetId="10">#REF!</definedName>
    <definedName name="tttttttttt" localSheetId="1">#REF!</definedName>
    <definedName name="tttttttttt" localSheetId="2">#REF!</definedName>
    <definedName name="tttttttttt">#REF!</definedName>
    <definedName name="ttttttttttttt" localSheetId="10">#REF!</definedName>
    <definedName name="ttttttttttttt" localSheetId="1">#REF!</definedName>
    <definedName name="ttttttttttttt" localSheetId="2">#REF!</definedName>
    <definedName name="ttttttttttttt">#REF!</definedName>
    <definedName name="u" localSheetId="10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0">#REF!</definedName>
    <definedName name="VOLUMES" localSheetId="1">#REF!</definedName>
    <definedName name="VOLUMES" localSheetId="2">#REF!</definedName>
    <definedName name="VOLUMES">#REF!</definedName>
    <definedName name="vvvvvvvvvvv" localSheetId="10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0">#REF!</definedName>
    <definedName name="YREND" localSheetId="1">#REF!</definedName>
    <definedName name="YREND" localSheetId="2">#REF!</definedName>
    <definedName name="YREND">#REF!</definedName>
    <definedName name="YRENDSUM" localSheetId="10">#REF!</definedName>
    <definedName name="YRENDSUM" localSheetId="1">#REF!</definedName>
    <definedName name="YRENDSUM" localSheetId="2">#REF!</definedName>
    <definedName name="YRENDSUM">#REF!</definedName>
    <definedName name="YTDRebateRecovery">'[36]ONPA Rebate'!$B$18:$M$21</definedName>
  </definedNames>
  <calcPr calcId="125725"/>
</workbook>
</file>

<file path=xl/calcChain.xml><?xml version="1.0" encoding="utf-8"?>
<calcChain xmlns="http://schemas.openxmlformats.org/spreadsheetml/2006/main">
  <c r="E22" i="89"/>
  <c r="E83" i="94" l="1"/>
  <c r="E82"/>
  <c r="E84" s="1"/>
  <c r="E64"/>
  <c r="E62"/>
  <c r="E44"/>
  <c r="E43"/>
  <c r="E32"/>
  <c r="E40" s="1"/>
  <c r="E31"/>
  <c r="E39" s="1"/>
  <c r="D27" i="91"/>
  <c r="D24"/>
  <c r="D23"/>
  <c r="D13"/>
  <c r="D10"/>
  <c r="D9"/>
  <c r="D8"/>
  <c r="H34" i="92"/>
  <c r="D34"/>
  <c r="H22"/>
  <c r="D22"/>
  <c r="H10"/>
  <c r="D10"/>
  <c r="H23" i="70"/>
  <c r="H22"/>
  <c r="H24" s="1"/>
  <c r="D22"/>
  <c r="D24" s="1"/>
  <c r="H9"/>
  <c r="H8"/>
  <c r="D8"/>
  <c r="H79" i="69"/>
  <c r="H78"/>
  <c r="H74"/>
  <c r="H73"/>
  <c r="L73" s="1"/>
  <c r="H72"/>
  <c r="H71"/>
  <c r="D79"/>
  <c r="D78"/>
  <c r="D74"/>
  <c r="D73"/>
  <c r="D72"/>
  <c r="D71"/>
  <c r="H51"/>
  <c r="H52" s="1"/>
  <c r="H46"/>
  <c r="H45"/>
  <c r="H44"/>
  <c r="H43"/>
  <c r="D51"/>
  <c r="D52" s="1"/>
  <c r="D46"/>
  <c r="L46" s="1"/>
  <c r="D45"/>
  <c r="D44"/>
  <c r="D43"/>
  <c r="H23"/>
  <c r="H24" s="1"/>
  <c r="H18"/>
  <c r="H17"/>
  <c r="H16"/>
  <c r="H15"/>
  <c r="H99" s="1"/>
  <c r="D23"/>
  <c r="D24" s="1"/>
  <c r="D18"/>
  <c r="D17"/>
  <c r="D16"/>
  <c r="D100" s="1"/>
  <c r="D15"/>
  <c r="D99" s="1"/>
  <c r="H102" l="1"/>
  <c r="L102" s="1"/>
  <c r="L22" i="92"/>
  <c r="L8" i="70"/>
  <c r="L79" i="69"/>
  <c r="H36" i="70"/>
  <c r="D101" i="69"/>
  <c r="D103" s="1"/>
  <c r="E65" i="94"/>
  <c r="D102" i="69"/>
  <c r="H101"/>
  <c r="L74"/>
  <c r="H10" i="70"/>
  <c r="H38" s="1"/>
  <c r="L10" i="92"/>
  <c r="L34"/>
  <c r="L45" i="69"/>
  <c r="D10" i="70"/>
  <c r="D38" s="1"/>
  <c r="L38" s="1"/>
  <c r="L22"/>
  <c r="H46" i="92"/>
  <c r="H100" i="69"/>
  <c r="L100" s="1"/>
  <c r="L72"/>
  <c r="L78"/>
  <c r="D36" i="70"/>
  <c r="L36" s="1"/>
  <c r="E10" i="94" s="1"/>
  <c r="E12" s="1"/>
  <c r="E13" s="1"/>
  <c r="D46" i="92"/>
  <c r="L80" i="69"/>
  <c r="H103"/>
  <c r="L99"/>
  <c r="L44"/>
  <c r="E45" i="94"/>
  <c r="E49" s="1"/>
  <c r="L51" i="69"/>
  <c r="L52" s="1"/>
  <c r="D80"/>
  <c r="H75"/>
  <c r="D107"/>
  <c r="L17"/>
  <c r="H80"/>
  <c r="D106"/>
  <c r="H106"/>
  <c r="H47"/>
  <c r="L43"/>
  <c r="L47" s="1"/>
  <c r="D75"/>
  <c r="H107"/>
  <c r="L10" i="70"/>
  <c r="L16" i="69"/>
  <c r="L18"/>
  <c r="D47"/>
  <c r="L71"/>
  <c r="L75" s="1"/>
  <c r="L24" i="70"/>
  <c r="D11" i="91"/>
  <c r="D15" s="1"/>
  <c r="E68" i="94" s="1"/>
  <c r="E69" s="1"/>
  <c r="D25" i="91"/>
  <c r="D29" s="1"/>
  <c r="E70" i="94" s="1"/>
  <c r="E71" s="1"/>
  <c r="H19" i="69"/>
  <c r="D19"/>
  <c r="L15"/>
  <c r="L23"/>
  <c r="L24" s="1"/>
  <c r="H29" i="89"/>
  <c r="H27"/>
  <c r="H22"/>
  <c r="H10"/>
  <c r="H9"/>
  <c r="H8"/>
  <c r="H51"/>
  <c r="H50"/>
  <c r="H49"/>
  <c r="H48"/>
  <c r="H47"/>
  <c r="H46"/>
  <c r="H42"/>
  <c r="H41"/>
  <c r="H39"/>
  <c r="H38"/>
  <c r="H37"/>
  <c r="H36"/>
  <c r="H35"/>
  <c r="H34"/>
  <c r="D51"/>
  <c r="D50"/>
  <c r="D49"/>
  <c r="D48"/>
  <c r="D47"/>
  <c r="D46"/>
  <c r="D42"/>
  <c r="D41"/>
  <c r="D39"/>
  <c r="D38"/>
  <c r="D37"/>
  <c r="D36"/>
  <c r="D35"/>
  <c r="D34"/>
  <c r="D29"/>
  <c r="D27"/>
  <c r="D22"/>
  <c r="D10"/>
  <c r="D9"/>
  <c r="D8"/>
  <c r="H72" i="68"/>
  <c r="H83" s="1"/>
  <c r="H71"/>
  <c r="D72"/>
  <c r="D83" s="1"/>
  <c r="D71"/>
  <c r="H46"/>
  <c r="H48" s="1"/>
  <c r="D46"/>
  <c r="D48" s="1"/>
  <c r="D21"/>
  <c r="L21" s="1"/>
  <c r="L23" s="1"/>
  <c r="H21"/>
  <c r="D73"/>
  <c r="H23"/>
  <c r="H8" s="1"/>
  <c r="D185" i="67"/>
  <c r="D180"/>
  <c r="H169"/>
  <c r="H151"/>
  <c r="H143"/>
  <c r="D169"/>
  <c r="D151"/>
  <c r="D143"/>
  <c r="L116"/>
  <c r="L123"/>
  <c r="L128"/>
  <c r="L132"/>
  <c r="L130"/>
  <c r="L129"/>
  <c r="L124"/>
  <c r="L122"/>
  <c r="L121"/>
  <c r="L125" s="1"/>
  <c r="L117"/>
  <c r="L115"/>
  <c r="L114"/>
  <c r="L113"/>
  <c r="L118" s="1"/>
  <c r="H132"/>
  <c r="H130"/>
  <c r="H129"/>
  <c r="H128"/>
  <c r="H124"/>
  <c r="H123"/>
  <c r="H122"/>
  <c r="H121"/>
  <c r="H125" s="1"/>
  <c r="H117"/>
  <c r="H116"/>
  <c r="H115"/>
  <c r="H114"/>
  <c r="H118" s="1"/>
  <c r="H113"/>
  <c r="D132"/>
  <c r="D129"/>
  <c r="D128"/>
  <c r="D130" s="1"/>
  <c r="D124"/>
  <c r="D123"/>
  <c r="D122"/>
  <c r="D121"/>
  <c r="D125" s="1"/>
  <c r="D117"/>
  <c r="D116"/>
  <c r="D115"/>
  <c r="D114"/>
  <c r="D118" s="1"/>
  <c r="D113"/>
  <c r="L105"/>
  <c r="L103"/>
  <c r="L102"/>
  <c r="L101"/>
  <c r="L97"/>
  <c r="L96"/>
  <c r="L95"/>
  <c r="L94"/>
  <c r="L91"/>
  <c r="L90"/>
  <c r="L89"/>
  <c r="L88"/>
  <c r="L87"/>
  <c r="L86"/>
  <c r="L98"/>
  <c r="H103"/>
  <c r="H98"/>
  <c r="H91"/>
  <c r="D103"/>
  <c r="D98"/>
  <c r="D91"/>
  <c r="L78"/>
  <c r="L76"/>
  <c r="L75"/>
  <c r="L69"/>
  <c r="L67"/>
  <c r="L61"/>
  <c r="L60"/>
  <c r="L59"/>
  <c r="L70"/>
  <c r="L68"/>
  <c r="L71"/>
  <c r="L62"/>
  <c r="L64"/>
  <c r="H76"/>
  <c r="H71"/>
  <c r="H64"/>
  <c r="D76"/>
  <c r="D71"/>
  <c r="D64"/>
  <c r="L51"/>
  <c r="L49"/>
  <c r="L48"/>
  <c r="L43"/>
  <c r="L42"/>
  <c r="L41"/>
  <c r="L40"/>
  <c r="L35"/>
  <c r="L34"/>
  <c r="L33"/>
  <c r="L32"/>
  <c r="L37"/>
  <c r="M32"/>
  <c r="L44"/>
  <c r="H49"/>
  <c r="H44"/>
  <c r="H37"/>
  <c r="D49"/>
  <c r="D44"/>
  <c r="D37"/>
  <c r="H14"/>
  <c r="H8"/>
  <c r="H9" s="1"/>
  <c r="D14"/>
  <c r="D9"/>
  <c r="L19" i="69" l="1"/>
  <c r="D108"/>
  <c r="L101"/>
  <c r="L103" s="1"/>
  <c r="L71" i="68"/>
  <c r="L107" i="69"/>
  <c r="L46" i="92"/>
  <c r="D50" i="68"/>
  <c r="D60" s="1"/>
  <c r="D108"/>
  <c r="D157" i="67" s="1"/>
  <c r="D67" i="69"/>
  <c r="D95" s="1"/>
  <c r="H52" i="89"/>
  <c r="H16" s="1"/>
  <c r="H73" i="68"/>
  <c r="H75" s="1"/>
  <c r="E48" i="94"/>
  <c r="E50" s="1"/>
  <c r="E52" s="1"/>
  <c r="E17" s="1"/>
  <c r="D75" i="68"/>
  <c r="D85" s="1"/>
  <c r="H108" i="69"/>
  <c r="L106"/>
  <c r="H108" i="68"/>
  <c r="H157" i="67" s="1"/>
  <c r="H67" i="69"/>
  <c r="D23" i="68"/>
  <c r="D25" s="1"/>
  <c r="D35" s="1"/>
  <c r="E72" i="94"/>
  <c r="H50" i="68"/>
  <c r="H60" s="1"/>
  <c r="D97"/>
  <c r="H11" i="89"/>
  <c r="H25" i="68"/>
  <c r="H35" s="1"/>
  <c r="H96"/>
  <c r="D52" i="89"/>
  <c r="D16" s="1"/>
  <c r="D11"/>
  <c r="L72" i="68"/>
  <c r="L73" s="1"/>
  <c r="L108"/>
  <c r="H97"/>
  <c r="H98" s="1"/>
  <c r="H36" i="69" s="1"/>
  <c r="L83" i="68"/>
  <c r="L46"/>
  <c r="L48" s="1"/>
  <c r="D96"/>
  <c r="H10"/>
  <c r="D10"/>
  <c r="H9"/>
  <c r="D9"/>
  <c r="D27"/>
  <c r="D98" l="1"/>
  <c r="D8" i="69" s="1"/>
  <c r="L108"/>
  <c r="H85" i="68"/>
  <c r="H110" s="1"/>
  <c r="H77"/>
  <c r="D8"/>
  <c r="H95" i="69"/>
  <c r="L95" s="1"/>
  <c r="L67"/>
  <c r="D64"/>
  <c r="H64"/>
  <c r="D36"/>
  <c r="H26" i="89"/>
  <c r="H8" i="69"/>
  <c r="H92" s="1"/>
  <c r="L97" i="68"/>
  <c r="L75"/>
  <c r="L77" s="1"/>
  <c r="D77"/>
  <c r="H52"/>
  <c r="L60"/>
  <c r="L50"/>
  <c r="L52" s="1"/>
  <c r="D52"/>
  <c r="D102" s="1"/>
  <c r="L96"/>
  <c r="L98" s="1"/>
  <c r="D100"/>
  <c r="H27"/>
  <c r="H100"/>
  <c r="L25"/>
  <c r="L27" s="1"/>
  <c r="H11"/>
  <c r="D11"/>
  <c r="H12"/>
  <c r="H13"/>
  <c r="D13"/>
  <c r="D12"/>
  <c r="L85" l="1"/>
  <c r="H38" i="69"/>
  <c r="H66"/>
  <c r="H10"/>
  <c r="L64"/>
  <c r="D92"/>
  <c r="L36"/>
  <c r="L8"/>
  <c r="D79" i="68"/>
  <c r="D87" s="1"/>
  <c r="D78"/>
  <c r="H54"/>
  <c r="H62" s="1"/>
  <c r="H53"/>
  <c r="H78"/>
  <c r="H79"/>
  <c r="H87" s="1"/>
  <c r="D54"/>
  <c r="D62" s="1"/>
  <c r="D53"/>
  <c r="H28"/>
  <c r="H29"/>
  <c r="H37" s="1"/>
  <c r="H102"/>
  <c r="D29"/>
  <c r="D37" s="1"/>
  <c r="D28"/>
  <c r="D110"/>
  <c r="L35"/>
  <c r="L100"/>
  <c r="L102" s="1"/>
  <c r="H94" i="69" l="1"/>
  <c r="H80" i="68"/>
  <c r="H88" s="1"/>
  <c r="D66" i="69"/>
  <c r="L66" s="1"/>
  <c r="D38"/>
  <c r="L38" s="1"/>
  <c r="L92"/>
  <c r="L110" i="68"/>
  <c r="D10" i="69"/>
  <c r="D80" i="68"/>
  <c r="D88" s="1"/>
  <c r="L88" s="1"/>
  <c r="D30"/>
  <c r="D38" s="1"/>
  <c r="D104"/>
  <c r="L29"/>
  <c r="L53"/>
  <c r="D103"/>
  <c r="L37"/>
  <c r="L78"/>
  <c r="L54"/>
  <c r="L87"/>
  <c r="L79"/>
  <c r="H104"/>
  <c r="H30"/>
  <c r="H38" s="1"/>
  <c r="L38" s="1"/>
  <c r="L28"/>
  <c r="H103"/>
  <c r="D112"/>
  <c r="H55"/>
  <c r="H63" s="1"/>
  <c r="D55"/>
  <c r="L30" l="1"/>
  <c r="L10" i="69"/>
  <c r="D94"/>
  <c r="L94" s="1"/>
  <c r="L104" i="68"/>
  <c r="D105"/>
  <c r="D9" i="69" s="1"/>
  <c r="D63" i="68"/>
  <c r="D113" s="1"/>
  <c r="L55"/>
  <c r="L80"/>
  <c r="H113"/>
  <c r="H112"/>
  <c r="L62"/>
  <c r="H105"/>
  <c r="L103"/>
  <c r="L105" l="1"/>
  <c r="D37" i="69"/>
  <c r="D40" s="1"/>
  <c r="D65"/>
  <c r="D68" s="1"/>
  <c r="D12"/>
  <c r="H37"/>
  <c r="H65"/>
  <c r="L112" i="68"/>
  <c r="H9" i="69"/>
  <c r="L113" i="68"/>
  <c r="L63"/>
  <c r="L65" i="69" l="1"/>
  <c r="L68" s="1"/>
  <c r="H68"/>
  <c r="L37"/>
  <c r="L40" s="1"/>
  <c r="H40"/>
  <c r="H93"/>
  <c r="D93"/>
  <c r="D96" s="1"/>
  <c r="L9"/>
  <c r="L12" s="1"/>
  <c r="H12"/>
  <c r="L93" l="1"/>
  <c r="L96" s="1"/>
  <c r="H96"/>
  <c r="K8" i="67"/>
  <c r="E40"/>
  <c r="E41" l="1"/>
  <c r="I95"/>
  <c r="E95"/>
  <c r="I94"/>
  <c r="E94"/>
  <c r="I67"/>
  <c r="E67"/>
  <c r="I48"/>
  <c r="E48"/>
  <c r="I41" l="1"/>
  <c r="I40"/>
  <c r="I8" l="1"/>
  <c r="E29" i="89"/>
  <c r="E27"/>
  <c r="H9" i="94" l="1"/>
  <c r="K178" i="67" l="1"/>
  <c r="G184"/>
  <c r="G179"/>
  <c r="G178"/>
  <c r="G9" i="91" l="1"/>
  <c r="E24"/>
  <c r="E10"/>
  <c r="E9"/>
  <c r="K177" i="67"/>
  <c r="K179"/>
  <c r="G10" i="91" s="1"/>
  <c r="E14" i="67"/>
  <c r="F64" i="94" l="1"/>
  <c r="F62" l="1"/>
  <c r="E37" i="67" l="1"/>
  <c r="I14" l="1"/>
  <c r="I9" i="70" l="1"/>
  <c r="H63" i="94" l="1"/>
  <c r="H61"/>
  <c r="F31"/>
  <c r="H36"/>
  <c r="H35"/>
  <c r="F39" l="1"/>
  <c r="H31"/>
  <c r="H39" l="1"/>
  <c r="G78" i="67" l="1"/>
  <c r="G22" i="92" s="1"/>
  <c r="E22" l="1"/>
  <c r="I29" i="89" l="1"/>
  <c r="I22"/>
  <c r="K147" i="67"/>
  <c r="K29" i="89" s="1"/>
  <c r="K146" i="67"/>
  <c r="K22" i="89" s="1"/>
  <c r="G147" i="67"/>
  <c r="G29" i="89" s="1"/>
  <c r="G146" i="67"/>
  <c r="J22" i="89" l="1"/>
  <c r="G22"/>
  <c r="F22" s="1"/>
  <c r="J29"/>
  <c r="I10" l="1"/>
  <c r="I9"/>
  <c r="I8"/>
  <c r="E10"/>
  <c r="E9"/>
  <c r="E8"/>
  <c r="I143" i="67"/>
  <c r="K142"/>
  <c r="K10" i="89" s="1"/>
  <c r="K141" i="67"/>
  <c r="K9" i="89" s="1"/>
  <c r="K140" i="67"/>
  <c r="G140"/>
  <c r="G8" i="89" s="1"/>
  <c r="G142" i="67"/>
  <c r="G10" i="89" s="1"/>
  <c r="G141" i="67"/>
  <c r="E143"/>
  <c r="F10" i="89" l="1"/>
  <c r="K143" i="67"/>
  <c r="J143" s="1"/>
  <c r="J10" i="89"/>
  <c r="E11"/>
  <c r="I11"/>
  <c r="J9"/>
  <c r="F8"/>
  <c r="G143" i="67"/>
  <c r="F143" s="1"/>
  <c r="G9" i="89"/>
  <c r="F9" s="1"/>
  <c r="K8"/>
  <c r="J8" s="1"/>
  <c r="G11" l="1"/>
  <c r="F11" s="1"/>
  <c r="F9" i="91" l="1"/>
  <c r="F10"/>
  <c r="K184" i="67"/>
  <c r="G24" i="91" l="1"/>
  <c r="F24" s="1"/>
  <c r="F32" i="94" l="1"/>
  <c r="H32" s="1"/>
  <c r="K9" i="70"/>
  <c r="I23"/>
  <c r="K23" s="1"/>
  <c r="G9"/>
  <c r="G23"/>
  <c r="F40" i="94" l="1"/>
  <c r="H40" s="1"/>
  <c r="H14" l="1"/>
  <c r="K168" i="67" l="1"/>
  <c r="K51" i="89" s="1"/>
  <c r="K167" i="67"/>
  <c r="K50" i="89" s="1"/>
  <c r="K166" i="67"/>
  <c r="K49" i="89" s="1"/>
  <c r="K163" i="67"/>
  <c r="G168"/>
  <c r="G51" i="89" s="1"/>
  <c r="G167" i="67"/>
  <c r="G50" i="89" s="1"/>
  <c r="E49"/>
  <c r="G163" i="67"/>
  <c r="G46" i="89" s="1"/>
  <c r="K159" i="67"/>
  <c r="K42" i="89" s="1"/>
  <c r="K158" i="67"/>
  <c r="K41" i="89" s="1"/>
  <c r="K156" i="67"/>
  <c r="K39" i="89" s="1"/>
  <c r="K154" i="67"/>
  <c r="K37" i="89" s="1"/>
  <c r="G159" i="67"/>
  <c r="G42" i="89" s="1"/>
  <c r="G158" i="67"/>
  <c r="G41" i="89" s="1"/>
  <c r="G156" i="67"/>
  <c r="G39" i="89" s="1"/>
  <c r="G154" i="67"/>
  <c r="G37" i="89" s="1"/>
  <c r="E37" l="1"/>
  <c r="F37" s="1"/>
  <c r="E39"/>
  <c r="F39" s="1"/>
  <c r="E41"/>
  <c r="F41" s="1"/>
  <c r="E51"/>
  <c r="I41"/>
  <c r="I49"/>
  <c r="I51"/>
  <c r="E42"/>
  <c r="F42" s="1"/>
  <c r="E46"/>
  <c r="F46" s="1"/>
  <c r="E50"/>
  <c r="I37"/>
  <c r="I39"/>
  <c r="I42"/>
  <c r="I46"/>
  <c r="I50"/>
  <c r="K46"/>
  <c r="G166" i="67"/>
  <c r="O50" i="69"/>
  <c r="G49" i="89" l="1"/>
  <c r="K13" i="67"/>
  <c r="G13"/>
  <c r="J51" i="89" l="1"/>
  <c r="F51"/>
  <c r="J50"/>
  <c r="F50"/>
  <c r="J49"/>
  <c r="F49"/>
  <c r="J42"/>
  <c r="J41"/>
  <c r="J39"/>
  <c r="J37"/>
  <c r="J46" l="1"/>
  <c r="F123" i="67"/>
  <c r="K11" i="89" l="1"/>
  <c r="J11" s="1"/>
  <c r="J132" i="67" l="1"/>
  <c r="J8" i="70" l="1"/>
  <c r="F129" i="67" l="1"/>
  <c r="J129"/>
  <c r="J123"/>
  <c r="J124"/>
  <c r="F124"/>
  <c r="F121"/>
  <c r="J121"/>
  <c r="J117" l="1"/>
  <c r="J116"/>
  <c r="J115"/>
  <c r="J114"/>
  <c r="J113"/>
  <c r="F117"/>
  <c r="F116"/>
  <c r="F115"/>
  <c r="F114"/>
  <c r="F113"/>
  <c r="I10" i="92" l="1"/>
  <c r="E10"/>
  <c r="I22"/>
  <c r="M22" s="1"/>
  <c r="K78" i="67"/>
  <c r="I8" i="70"/>
  <c r="E13" i="91"/>
  <c r="E8" i="70"/>
  <c r="E10" s="1"/>
  <c r="M51" i="67"/>
  <c r="M78"/>
  <c r="M10" i="92" l="1"/>
  <c r="F43" i="94"/>
  <c r="F82"/>
  <c r="K22" i="92"/>
  <c r="F22"/>
  <c r="J22" l="1"/>
  <c r="O22"/>
  <c r="N22" s="1"/>
  <c r="I37" i="67"/>
  <c r="I21" i="68" s="1"/>
  <c r="M33" i="67"/>
  <c r="M34"/>
  <c r="M35"/>
  <c r="M59"/>
  <c r="E64"/>
  <c r="E46" i="68" s="1"/>
  <c r="I64" i="67"/>
  <c r="I46" i="68" s="1"/>
  <c r="E21"/>
  <c r="M60" i="67"/>
  <c r="M61"/>
  <c r="M62"/>
  <c r="K62"/>
  <c r="G62"/>
  <c r="K61"/>
  <c r="G61"/>
  <c r="K60"/>
  <c r="G60"/>
  <c r="K59"/>
  <c r="G59"/>
  <c r="M21" i="68" l="1"/>
  <c r="M23" s="1"/>
  <c r="M46"/>
  <c r="I48"/>
  <c r="O78" i="67"/>
  <c r="N78" s="1"/>
  <c r="O59"/>
  <c r="G64"/>
  <c r="O60"/>
  <c r="O62"/>
  <c r="K64"/>
  <c r="O61"/>
  <c r="M37"/>
  <c r="M64"/>
  <c r="I9" i="68" l="1"/>
  <c r="F64" i="67"/>
  <c r="G46" i="68"/>
  <c r="J64" i="67"/>
  <c r="K46" i="68"/>
  <c r="J46" s="1"/>
  <c r="J48" s="1"/>
  <c r="E48"/>
  <c r="E9" s="1"/>
  <c r="N62" i="67"/>
  <c r="N60"/>
  <c r="M48" i="68"/>
  <c r="N61" i="67"/>
  <c r="O64"/>
  <c r="N64" s="1"/>
  <c r="N59"/>
  <c r="K48" i="68" l="1"/>
  <c r="K9" s="1"/>
  <c r="J9" s="1"/>
  <c r="O46"/>
  <c r="N46" s="1"/>
  <c r="N48" s="1"/>
  <c r="F46"/>
  <c r="F48" s="1"/>
  <c r="G48"/>
  <c r="I116" i="67"/>
  <c r="G9" i="68" l="1"/>
  <c r="F9" s="1"/>
  <c r="O48"/>
  <c r="M89" i="67"/>
  <c r="G89"/>
  <c r="E116"/>
  <c r="M116" s="1"/>
  <c r="J128" l="1"/>
  <c r="F128"/>
  <c r="J22" i="70" l="1"/>
  <c r="F22"/>
  <c r="J9" i="67" l="1"/>
  <c r="F9"/>
  <c r="I50" i="68" l="1"/>
  <c r="E50" l="1"/>
  <c r="G8" i="67"/>
  <c r="G50" i="68" s="1"/>
  <c r="I52"/>
  <c r="I9" i="67"/>
  <c r="K9" s="1"/>
  <c r="K50" i="68"/>
  <c r="M50" l="1"/>
  <c r="M52" s="1"/>
  <c r="E60"/>
  <c r="O50"/>
  <c r="J50"/>
  <c r="K52"/>
  <c r="F50"/>
  <c r="G52"/>
  <c r="E52"/>
  <c r="J52" l="1"/>
  <c r="N50"/>
  <c r="O52"/>
  <c r="F52"/>
  <c r="K51" i="67"/>
  <c r="G13" i="91" l="1"/>
  <c r="K10" i="92"/>
  <c r="K8" i="70"/>
  <c r="N52" i="68"/>
  <c r="F65" i="94" l="1"/>
  <c r="F13" i="91"/>
  <c r="E34" i="92"/>
  <c r="E46" s="1"/>
  <c r="J10"/>
  <c r="E27" i="91"/>
  <c r="I34" i="92"/>
  <c r="M105" i="67"/>
  <c r="E132"/>
  <c r="E22" i="70"/>
  <c r="E36" s="1"/>
  <c r="I132" i="67"/>
  <c r="I22" i="70"/>
  <c r="G105" i="67"/>
  <c r="H64" i="94" s="1"/>
  <c r="G64" s="1"/>
  <c r="K105" i="67"/>
  <c r="I24" i="70" l="1"/>
  <c r="I36"/>
  <c r="M36" s="1"/>
  <c r="F10" i="94" s="1"/>
  <c r="F44"/>
  <c r="F45" s="1"/>
  <c r="F48" s="1"/>
  <c r="F83"/>
  <c r="K34" i="92"/>
  <c r="K46" s="1"/>
  <c r="G34"/>
  <c r="M34"/>
  <c r="I46"/>
  <c r="M46" s="1"/>
  <c r="K132" i="67"/>
  <c r="G27" i="91"/>
  <c r="O105" i="67"/>
  <c r="M132"/>
  <c r="K22" i="70"/>
  <c r="K36" s="1"/>
  <c r="G22"/>
  <c r="M22"/>
  <c r="E24"/>
  <c r="E38" s="1"/>
  <c r="I117" i="67"/>
  <c r="J36" i="70" l="1"/>
  <c r="H44" i="94"/>
  <c r="G44" s="1"/>
  <c r="H83"/>
  <c r="G83" s="1"/>
  <c r="F84"/>
  <c r="F49"/>
  <c r="F50" s="1"/>
  <c r="J34" i="92"/>
  <c r="O34"/>
  <c r="N34" s="1"/>
  <c r="J46"/>
  <c r="O22" i="70"/>
  <c r="N105" i="67"/>
  <c r="F34" i="92"/>
  <c r="F27" i="91"/>
  <c r="M88" i="67"/>
  <c r="E117"/>
  <c r="M117" s="1"/>
  <c r="M90"/>
  <c r="G88"/>
  <c r="E115"/>
  <c r="K88"/>
  <c r="I115"/>
  <c r="M24" i="70"/>
  <c r="K24"/>
  <c r="K90" i="67"/>
  <c r="K117" s="1"/>
  <c r="G90"/>
  <c r="K35"/>
  <c r="G35"/>
  <c r="F52" i="94" l="1"/>
  <c r="F17" s="1"/>
  <c r="O35" i="67"/>
  <c r="O88"/>
  <c r="G117"/>
  <c r="O117" s="1"/>
  <c r="O90"/>
  <c r="M115"/>
  <c r="G116"/>
  <c r="J24" i="70"/>
  <c r="G32" i="67"/>
  <c r="G33"/>
  <c r="K32"/>
  <c r="K33"/>
  <c r="K34"/>
  <c r="K115" s="1"/>
  <c r="G34"/>
  <c r="N22" i="70"/>
  <c r="K19" i="67"/>
  <c r="G19"/>
  <c r="K12"/>
  <c r="G12" l="1"/>
  <c r="N35"/>
  <c r="G37"/>
  <c r="O32"/>
  <c r="N117"/>
  <c r="K37"/>
  <c r="G115"/>
  <c r="O115" s="1"/>
  <c r="O34"/>
  <c r="N90"/>
  <c r="N88"/>
  <c r="O33"/>
  <c r="K18"/>
  <c r="K60" i="68" s="1"/>
  <c r="I60"/>
  <c r="M60" s="1"/>
  <c r="G18" i="67"/>
  <c r="G60" i="68" s="1"/>
  <c r="J37" i="67" l="1"/>
  <c r="K21" i="68"/>
  <c r="J21" s="1"/>
  <c r="F37" i="67"/>
  <c r="G21" i="68"/>
  <c r="O60"/>
  <c r="N115" i="67"/>
  <c r="N33"/>
  <c r="N34"/>
  <c r="O37"/>
  <c r="N37" s="1"/>
  <c r="N32"/>
  <c r="F60" i="68"/>
  <c r="J60"/>
  <c r="O21" l="1"/>
  <c r="N21" s="1"/>
  <c r="F21"/>
  <c r="N60"/>
  <c r="O23" l="1"/>
  <c r="N23"/>
  <c r="K23"/>
  <c r="G23"/>
  <c r="G8" s="1"/>
  <c r="K25" l="1"/>
  <c r="K27" s="1"/>
  <c r="K8"/>
  <c r="K35" l="1"/>
  <c r="K89" i="67"/>
  <c r="K116" l="1"/>
  <c r="O116" s="1"/>
  <c r="O89"/>
  <c r="N116" l="1"/>
  <c r="N89"/>
  <c r="E9"/>
  <c r="G9" s="1"/>
  <c r="J23" i="68" l="1"/>
  <c r="F23" l="1"/>
  <c r="E23"/>
  <c r="E8" s="1"/>
  <c r="G25"/>
  <c r="F8" l="1"/>
  <c r="E25"/>
  <c r="E35" s="1"/>
  <c r="O25"/>
  <c r="O27" s="1"/>
  <c r="G27"/>
  <c r="G35"/>
  <c r="E27" l="1"/>
  <c r="O35"/>
  <c r="F25" l="1"/>
  <c r="O22" i="69"/>
  <c r="F27" i="68" l="1"/>
  <c r="F35" l="1"/>
  <c r="I23" l="1"/>
  <c r="I25" l="1"/>
  <c r="I35" s="1"/>
  <c r="I8"/>
  <c r="J8" s="1"/>
  <c r="J25" l="1"/>
  <c r="I27"/>
  <c r="J27" s="1"/>
  <c r="M25"/>
  <c r="N25" s="1"/>
  <c r="M35"/>
  <c r="N35" s="1"/>
  <c r="J35"/>
  <c r="M27" l="1"/>
  <c r="N27" s="1"/>
  <c r="G24" i="70" l="1"/>
  <c r="O24" l="1"/>
  <c r="F24"/>
  <c r="N24" l="1"/>
  <c r="E113" i="67" l="1"/>
  <c r="G86"/>
  <c r="G113" l="1"/>
  <c r="I113" l="1"/>
  <c r="M86"/>
  <c r="K86"/>
  <c r="K113" l="1"/>
  <c r="O86"/>
  <c r="M113"/>
  <c r="N86" l="1"/>
  <c r="O113"/>
  <c r="N113" l="1"/>
  <c r="E114" l="1"/>
  <c r="E91"/>
  <c r="E71" i="68" s="1"/>
  <c r="G87" i="67"/>
  <c r="G114" l="1"/>
  <c r="G91"/>
  <c r="E118"/>
  <c r="F91" l="1"/>
  <c r="G71" i="68"/>
  <c r="E96"/>
  <c r="G118" i="67"/>
  <c r="F118" s="1"/>
  <c r="I114"/>
  <c r="I91"/>
  <c r="I71" i="68" s="1"/>
  <c r="M71" s="1"/>
  <c r="M87" i="67"/>
  <c r="K87"/>
  <c r="I96" i="68" l="1"/>
  <c r="F71"/>
  <c r="K114" i="67"/>
  <c r="K91"/>
  <c r="O87"/>
  <c r="M91"/>
  <c r="I118"/>
  <c r="M114"/>
  <c r="G96" i="68"/>
  <c r="J91" i="67" l="1"/>
  <c r="K71" i="68"/>
  <c r="M118" i="67"/>
  <c r="N87"/>
  <c r="O91"/>
  <c r="N91" s="1"/>
  <c r="K118"/>
  <c r="J118" s="1"/>
  <c r="O114"/>
  <c r="F96" i="68"/>
  <c r="J71" l="1"/>
  <c r="J96" s="1"/>
  <c r="O71"/>
  <c r="N71" s="1"/>
  <c r="M96"/>
  <c r="N114" i="67"/>
  <c r="O118"/>
  <c r="N118" s="1"/>
  <c r="K96" i="68"/>
  <c r="O96" s="1"/>
  <c r="N96" l="1"/>
  <c r="M8" i="70" l="1"/>
  <c r="I10"/>
  <c r="I38" l="1"/>
  <c r="M38" s="1"/>
  <c r="K10"/>
  <c r="K38" s="1"/>
  <c r="M10"/>
  <c r="J38" l="1"/>
  <c r="J10"/>
  <c r="G68" i="67" l="1"/>
  <c r="E44" i="69"/>
  <c r="G44" l="1"/>
  <c r="I44"/>
  <c r="M44" s="1"/>
  <c r="K68" i="67"/>
  <c r="M68"/>
  <c r="K44" i="69" l="1"/>
  <c r="J44" s="1"/>
  <c r="O68" i="67"/>
  <c r="N68" s="1"/>
  <c r="F44" i="69"/>
  <c r="O44" l="1"/>
  <c r="N44" s="1"/>
  <c r="I16" l="1"/>
  <c r="K41" i="67" l="1"/>
  <c r="K16" i="69" l="1"/>
  <c r="J16" l="1"/>
  <c r="E16" l="1"/>
  <c r="M41" i="67"/>
  <c r="M16" i="69" l="1"/>
  <c r="F132" i="67" l="1"/>
  <c r="F8" i="70"/>
  <c r="G51" i="67"/>
  <c r="H62" i="94" s="1"/>
  <c r="H65" l="1"/>
  <c r="G62"/>
  <c r="G8" i="70"/>
  <c r="G10" i="92"/>
  <c r="G41" i="67"/>
  <c r="O51"/>
  <c r="G132"/>
  <c r="H43" i="94" l="1"/>
  <c r="G43" s="1"/>
  <c r="H82"/>
  <c r="G65"/>
  <c r="G36" i="70"/>
  <c r="O10" i="92"/>
  <c r="N10" s="1"/>
  <c r="G46"/>
  <c r="O41" i="67"/>
  <c r="N41" s="1"/>
  <c r="G10" i="70"/>
  <c r="G16" i="69"/>
  <c r="F16" s="1"/>
  <c r="O8" i="70"/>
  <c r="F10" i="92"/>
  <c r="N51" i="67"/>
  <c r="O132"/>
  <c r="H45" i="94" l="1"/>
  <c r="H49" s="1"/>
  <c r="G49" s="1"/>
  <c r="H84"/>
  <c r="G84" s="1"/>
  <c r="G82"/>
  <c r="O36" i="70"/>
  <c r="F36"/>
  <c r="G38"/>
  <c r="F10"/>
  <c r="O16" i="69"/>
  <c r="N16" s="1"/>
  <c r="F46" i="92"/>
  <c r="O46"/>
  <c r="N46" s="1"/>
  <c r="O10" i="70"/>
  <c r="N10" s="1"/>
  <c r="N8"/>
  <c r="N132" i="67"/>
  <c r="H48" i="94" l="1"/>
  <c r="G48" s="1"/>
  <c r="G45"/>
  <c r="N36" i="70"/>
  <c r="H10" i="94"/>
  <c r="F38" i="70"/>
  <c r="O38"/>
  <c r="N38" s="1"/>
  <c r="H50" i="94" l="1"/>
  <c r="H52" s="1"/>
  <c r="H17" s="1"/>
  <c r="G10"/>
  <c r="G50" l="1"/>
  <c r="G52"/>
  <c r="G17"/>
  <c r="G15" i="67" l="1"/>
  <c r="K22"/>
  <c r="G14" l="1"/>
  <c r="F14" s="1"/>
  <c r="G22"/>
  <c r="K15"/>
  <c r="K14" s="1"/>
  <c r="J14" s="1"/>
  <c r="G24" l="1"/>
  <c r="G72" i="68" s="1"/>
  <c r="E72"/>
  <c r="E83" l="1"/>
  <c r="E108" s="1"/>
  <c r="E157" i="67" s="1"/>
  <c r="G83" i="68"/>
  <c r="G97"/>
  <c r="G73"/>
  <c r="F72"/>
  <c r="F97" s="1"/>
  <c r="F98" s="1"/>
  <c r="E73"/>
  <c r="E10" s="1"/>
  <c r="E97"/>
  <c r="E11" l="1"/>
  <c r="E28" s="1"/>
  <c r="E12"/>
  <c r="E53" s="1"/>
  <c r="G10"/>
  <c r="G11" s="1"/>
  <c r="E13"/>
  <c r="E98"/>
  <c r="D26" i="89" s="1"/>
  <c r="E75" i="68"/>
  <c r="E77" s="1"/>
  <c r="G75"/>
  <c r="F73"/>
  <c r="G67" i="69"/>
  <c r="G108" i="68"/>
  <c r="F83"/>
  <c r="F108" s="1"/>
  <c r="I72"/>
  <c r="K24" i="67"/>
  <c r="K72" i="68" s="1"/>
  <c r="E67" i="69"/>
  <c r="E95" s="1"/>
  <c r="G98" i="68"/>
  <c r="D160" i="67" l="1"/>
  <c r="D40" i="89"/>
  <c r="D43" s="1"/>
  <c r="F11" i="68"/>
  <c r="E64" i="69"/>
  <c r="E26" i="89"/>
  <c r="G13" i="68"/>
  <c r="G12"/>
  <c r="G8" i="69"/>
  <c r="G36"/>
  <c r="E8"/>
  <c r="E36"/>
  <c r="G64"/>
  <c r="G26" i="89"/>
  <c r="G157" i="67"/>
  <c r="F157" s="1"/>
  <c r="I73" i="68"/>
  <c r="I83"/>
  <c r="I97"/>
  <c r="M72"/>
  <c r="M73" s="1"/>
  <c r="G95" i="69"/>
  <c r="F95" s="1"/>
  <c r="F67"/>
  <c r="G77" i="68"/>
  <c r="G100"/>
  <c r="F75"/>
  <c r="F100" s="1"/>
  <c r="G85"/>
  <c r="E100"/>
  <c r="E85"/>
  <c r="K73"/>
  <c r="K83"/>
  <c r="J72"/>
  <c r="J97" s="1"/>
  <c r="J98" s="1"/>
  <c r="K97"/>
  <c r="O72"/>
  <c r="F10"/>
  <c r="E102"/>
  <c r="D15" i="89" l="1"/>
  <c r="D28" s="1"/>
  <c r="D30" s="1"/>
  <c r="D14" s="1"/>
  <c r="D17" s="1"/>
  <c r="F8" i="69"/>
  <c r="E40" i="89"/>
  <c r="F26"/>
  <c r="G28" i="68"/>
  <c r="F12"/>
  <c r="G53"/>
  <c r="K10"/>
  <c r="K75"/>
  <c r="K77" s="1"/>
  <c r="J73"/>
  <c r="E92" i="69"/>
  <c r="F13" i="68"/>
  <c r="G78"/>
  <c r="N72"/>
  <c r="O73"/>
  <c r="K98"/>
  <c r="O97"/>
  <c r="K67" i="69"/>
  <c r="J83" i="68"/>
  <c r="J108" s="1"/>
  <c r="K108"/>
  <c r="O83"/>
  <c r="G102"/>
  <c r="F77"/>
  <c r="F102" s="1"/>
  <c r="I98"/>
  <c r="M97"/>
  <c r="M98" s="1"/>
  <c r="I10"/>
  <c r="I75"/>
  <c r="G40" i="89"/>
  <c r="G92" i="69"/>
  <c r="E110" i="68"/>
  <c r="E78"/>
  <c r="G110"/>
  <c r="F85"/>
  <c r="F110" s="1"/>
  <c r="I67" i="69"/>
  <c r="I108" i="68"/>
  <c r="I157" i="67" s="1"/>
  <c r="M83" i="68"/>
  <c r="F64" i="69"/>
  <c r="F36"/>
  <c r="D20" i="89" l="1"/>
  <c r="D21"/>
  <c r="D23" s="1"/>
  <c r="D26" i="69" s="1"/>
  <c r="H160" i="67"/>
  <c r="H40" i="89"/>
  <c r="H43" s="1"/>
  <c r="H15" s="1"/>
  <c r="H28" s="1"/>
  <c r="H30" s="1"/>
  <c r="H14" s="1"/>
  <c r="H17" s="1"/>
  <c r="F40"/>
  <c r="F92" i="69"/>
  <c r="I8"/>
  <c r="I36"/>
  <c r="K8"/>
  <c r="K36"/>
  <c r="K64"/>
  <c r="I64"/>
  <c r="G10"/>
  <c r="G38"/>
  <c r="E10"/>
  <c r="E38"/>
  <c r="G66"/>
  <c r="E66"/>
  <c r="K102" i="68"/>
  <c r="I40" i="89"/>
  <c r="M108" i="68"/>
  <c r="I95" i="69"/>
  <c r="M95" s="1"/>
  <c r="M67"/>
  <c r="I13" i="68"/>
  <c r="I12"/>
  <c r="I11"/>
  <c r="I28" s="1"/>
  <c r="M28" s="1"/>
  <c r="I26" i="89"/>
  <c r="N97" i="68"/>
  <c r="O98"/>
  <c r="N73"/>
  <c r="F78"/>
  <c r="K12"/>
  <c r="K11"/>
  <c r="J10"/>
  <c r="K13"/>
  <c r="G103"/>
  <c r="F28"/>
  <c r="N83"/>
  <c r="E103"/>
  <c r="I77"/>
  <c r="I102" s="1"/>
  <c r="I100"/>
  <c r="M100" s="1"/>
  <c r="M102" s="1"/>
  <c r="I85"/>
  <c r="M75"/>
  <c r="M77" s="1"/>
  <c r="K157" i="67"/>
  <c r="O108" i="68"/>
  <c r="J67" i="69"/>
  <c r="K95"/>
  <c r="O67"/>
  <c r="K26" i="89"/>
  <c r="K100" i="68"/>
  <c r="O100" s="1"/>
  <c r="J75"/>
  <c r="J100" s="1"/>
  <c r="K85"/>
  <c r="O75"/>
  <c r="F53"/>
  <c r="D82" i="69" l="1"/>
  <c r="D54"/>
  <c r="D28"/>
  <c r="H21" i="89"/>
  <c r="H20"/>
  <c r="F10" i="69"/>
  <c r="N67"/>
  <c r="O95"/>
  <c r="N95" s="1"/>
  <c r="J95"/>
  <c r="F66"/>
  <c r="N100" i="68"/>
  <c r="G94" i="69"/>
  <c r="N108" i="68"/>
  <c r="E94" i="69"/>
  <c r="F38"/>
  <c r="N75" i="68"/>
  <c r="J64" i="69"/>
  <c r="O64"/>
  <c r="K40" i="89"/>
  <c r="J40" s="1"/>
  <c r="J157" i="67"/>
  <c r="I110" i="68"/>
  <c r="I38" i="69" s="1"/>
  <c r="M38" s="1"/>
  <c r="M85" i="68"/>
  <c r="K110"/>
  <c r="J85"/>
  <c r="J110" s="1"/>
  <c r="O85"/>
  <c r="J8" i="69"/>
  <c r="K92"/>
  <c r="O8"/>
  <c r="J26" i="89"/>
  <c r="K78" i="68"/>
  <c r="J13"/>
  <c r="J11"/>
  <c r="K28"/>
  <c r="O102"/>
  <c r="N98"/>
  <c r="M64" i="69"/>
  <c r="M36"/>
  <c r="I78" i="68"/>
  <c r="M78" s="1"/>
  <c r="O77"/>
  <c r="J77"/>
  <c r="J102" s="1"/>
  <c r="J36" i="69"/>
  <c r="O36"/>
  <c r="F103" i="68"/>
  <c r="K53"/>
  <c r="J12"/>
  <c r="I92" i="69"/>
  <c r="M8"/>
  <c r="I53" i="68"/>
  <c r="M53" s="1"/>
  <c r="D13" i="70" l="1"/>
  <c r="D8" i="92"/>
  <c r="D110" i="69"/>
  <c r="D84"/>
  <c r="D56"/>
  <c r="H23" i="89"/>
  <c r="F94" i="69"/>
  <c r="O92"/>
  <c r="J92"/>
  <c r="K10"/>
  <c r="K38"/>
  <c r="O38" s="1"/>
  <c r="N85" i="68"/>
  <c r="O110"/>
  <c r="K66" i="69"/>
  <c r="M110" i="68"/>
  <c r="I66" i="69"/>
  <c r="M66" s="1"/>
  <c r="I10"/>
  <c r="M10" s="1"/>
  <c r="N36"/>
  <c r="M92"/>
  <c r="J53" i="68"/>
  <c r="O53"/>
  <c r="N102"/>
  <c r="J28"/>
  <c r="K103"/>
  <c r="O103" s="1"/>
  <c r="O28"/>
  <c r="J78"/>
  <c r="O78"/>
  <c r="N78" s="1"/>
  <c r="I103"/>
  <c r="M103" s="1"/>
  <c r="N64" i="69"/>
  <c r="N77" i="68"/>
  <c r="N8" i="69"/>
  <c r="D32" i="92" l="1"/>
  <c r="D27" i="70"/>
  <c r="D41" s="1"/>
  <c r="D14"/>
  <c r="D20" i="92"/>
  <c r="D44" s="1"/>
  <c r="D112" i="69"/>
  <c r="H26"/>
  <c r="H28" s="1"/>
  <c r="H54"/>
  <c r="H82"/>
  <c r="N92"/>
  <c r="K94"/>
  <c r="I94"/>
  <c r="M94" s="1"/>
  <c r="O66"/>
  <c r="N66" s="1"/>
  <c r="J66"/>
  <c r="J38"/>
  <c r="N38"/>
  <c r="N110" i="68"/>
  <c r="J10" i="69"/>
  <c r="O10"/>
  <c r="N10" s="1"/>
  <c r="N28" i="68"/>
  <c r="N53"/>
  <c r="N103"/>
  <c r="J103"/>
  <c r="L26" i="69" l="1"/>
  <c r="H110"/>
  <c r="H84"/>
  <c r="L82"/>
  <c r="D28" i="70"/>
  <c r="H56" i="69"/>
  <c r="L54"/>
  <c r="L28"/>
  <c r="E75" i="94" s="1"/>
  <c r="H13" i="70"/>
  <c r="H8" i="92"/>
  <c r="D42" i="70"/>
  <c r="O94" i="69"/>
  <c r="N94" s="1"/>
  <c r="J94"/>
  <c r="H32" i="92" l="1"/>
  <c r="L32" s="1"/>
  <c r="L36" s="1"/>
  <c r="H27" i="70"/>
  <c r="H41" s="1"/>
  <c r="L41" s="1"/>
  <c r="L84" i="69"/>
  <c r="E76" i="94" s="1"/>
  <c r="E77" s="1"/>
  <c r="E79" s="1"/>
  <c r="E86" s="1"/>
  <c r="E18" s="1"/>
  <c r="E21" s="1"/>
  <c r="E22" s="1"/>
  <c r="H20" i="92"/>
  <c r="L20" s="1"/>
  <c r="L24" s="1"/>
  <c r="L56" i="69"/>
  <c r="H14" i="70"/>
  <c r="L13"/>
  <c r="H112" i="69"/>
  <c r="L112" s="1"/>
  <c r="L110"/>
  <c r="L8" i="92"/>
  <c r="L12" s="1"/>
  <c r="E29" i="68"/>
  <c r="E30" s="1"/>
  <c r="G23" i="67"/>
  <c r="E54" i="68"/>
  <c r="E62" s="1"/>
  <c r="E79"/>
  <c r="I29"/>
  <c r="K23" i="67"/>
  <c r="I79" i="68"/>
  <c r="I54"/>
  <c r="H44" i="92" l="1"/>
  <c r="L44" s="1"/>
  <c r="L14" i="70"/>
  <c r="H28"/>
  <c r="L28" s="1"/>
  <c r="L27"/>
  <c r="E37" i="68"/>
  <c r="K17" i="67"/>
  <c r="K16"/>
  <c r="G17"/>
  <c r="G16"/>
  <c r="I80" i="68"/>
  <c r="I104"/>
  <c r="I105" s="1"/>
  <c r="I30"/>
  <c r="M79"/>
  <c r="M80" s="1"/>
  <c r="E87"/>
  <c r="E80"/>
  <c r="E88" s="1"/>
  <c r="G29"/>
  <c r="G79"/>
  <c r="G54"/>
  <c r="I55"/>
  <c r="K54"/>
  <c r="K55" s="1"/>
  <c r="K29"/>
  <c r="K79"/>
  <c r="M29"/>
  <c r="M30" s="1"/>
  <c r="E104"/>
  <c r="E38"/>
  <c r="M54"/>
  <c r="M55" s="1"/>
  <c r="E55"/>
  <c r="E63" s="1"/>
  <c r="H42" i="70" l="1"/>
  <c r="L42" s="1"/>
  <c r="I38" i="68"/>
  <c r="M38" s="1"/>
  <c r="I88"/>
  <c r="M88" s="1"/>
  <c r="J55"/>
  <c r="I37"/>
  <c r="M37" s="1"/>
  <c r="I87"/>
  <c r="M87" s="1"/>
  <c r="I62"/>
  <c r="M62" s="1"/>
  <c r="I63"/>
  <c r="M63" s="1"/>
  <c r="M104"/>
  <c r="M105" s="1"/>
  <c r="E105"/>
  <c r="E112"/>
  <c r="J29"/>
  <c r="K37"/>
  <c r="K104"/>
  <c r="K105" s="1"/>
  <c r="J105" s="1"/>
  <c r="K30"/>
  <c r="O54"/>
  <c r="F54"/>
  <c r="G62"/>
  <c r="G55"/>
  <c r="G104"/>
  <c r="F29"/>
  <c r="G37"/>
  <c r="O29"/>
  <c r="G30"/>
  <c r="F30" s="1"/>
  <c r="E113"/>
  <c r="K87"/>
  <c r="J79"/>
  <c r="K80"/>
  <c r="K62"/>
  <c r="J54"/>
  <c r="K63"/>
  <c r="F79"/>
  <c r="G87"/>
  <c r="O79"/>
  <c r="G80"/>
  <c r="K88" l="1"/>
  <c r="J88" s="1"/>
  <c r="J80"/>
  <c r="G38"/>
  <c r="G88"/>
  <c r="F80"/>
  <c r="G63"/>
  <c r="F63" s="1"/>
  <c r="F55"/>
  <c r="K38"/>
  <c r="J38" s="1"/>
  <c r="J30"/>
  <c r="J63"/>
  <c r="I113"/>
  <c r="M113" s="1"/>
  <c r="I112"/>
  <c r="I9" i="69" s="1"/>
  <c r="I12" s="1"/>
  <c r="E37"/>
  <c r="E40" s="1"/>
  <c r="E65"/>
  <c r="E68" s="1"/>
  <c r="E9"/>
  <c r="N79" i="68"/>
  <c r="O80"/>
  <c r="N80" s="1"/>
  <c r="J87"/>
  <c r="O87"/>
  <c r="N87" s="1"/>
  <c r="F87"/>
  <c r="J62"/>
  <c r="N29"/>
  <c r="O30"/>
  <c r="N30" s="1"/>
  <c r="F104"/>
  <c r="J37"/>
  <c r="K112"/>
  <c r="F38"/>
  <c r="F37"/>
  <c r="G112"/>
  <c r="O37"/>
  <c r="N37" s="1"/>
  <c r="O104"/>
  <c r="G105"/>
  <c r="F105" s="1"/>
  <c r="F62"/>
  <c r="O62"/>
  <c r="N62" s="1"/>
  <c r="N54"/>
  <c r="O55"/>
  <c r="N55" s="1"/>
  <c r="J104"/>
  <c r="O38" l="1"/>
  <c r="N38" s="1"/>
  <c r="O88"/>
  <c r="N88" s="1"/>
  <c r="O63"/>
  <c r="N63" s="1"/>
  <c r="G113"/>
  <c r="K113"/>
  <c r="F88"/>
  <c r="F113" s="1"/>
  <c r="J113"/>
  <c r="M112"/>
  <c r="I37" i="69"/>
  <c r="I40" s="1"/>
  <c r="I65"/>
  <c r="I68" s="1"/>
  <c r="M9"/>
  <c r="M12" s="1"/>
  <c r="E12"/>
  <c r="G37"/>
  <c r="G40" s="1"/>
  <c r="F40" s="1"/>
  <c r="K9"/>
  <c r="K12" s="1"/>
  <c r="J12" s="1"/>
  <c r="K37"/>
  <c r="K40" s="1"/>
  <c r="G9"/>
  <c r="G12" s="1"/>
  <c r="E93"/>
  <c r="E96" s="1"/>
  <c r="O112" i="68"/>
  <c r="G65" i="69"/>
  <c r="F65" s="1"/>
  <c r="K65"/>
  <c r="J112" i="68"/>
  <c r="F112"/>
  <c r="N104"/>
  <c r="O105"/>
  <c r="N105" s="1"/>
  <c r="J40" i="69" l="1"/>
  <c r="O113" i="68"/>
  <c r="N113" s="1"/>
  <c r="F12" i="69"/>
  <c r="J65"/>
  <c r="N112" i="68"/>
  <c r="F37" i="69"/>
  <c r="M37"/>
  <c r="M40" s="1"/>
  <c r="J37"/>
  <c r="I93"/>
  <c r="I96" s="1"/>
  <c r="M65"/>
  <c r="M68" s="1"/>
  <c r="J9"/>
  <c r="G68"/>
  <c r="F68" s="1"/>
  <c r="K68"/>
  <c r="J68" s="1"/>
  <c r="O37"/>
  <c r="O9"/>
  <c r="N9" s="1"/>
  <c r="G93"/>
  <c r="O65"/>
  <c r="F9"/>
  <c r="K93"/>
  <c r="O40"/>
  <c r="O12"/>
  <c r="N12" s="1"/>
  <c r="G96" l="1"/>
  <c r="F96" s="1"/>
  <c r="F93"/>
  <c r="N40"/>
  <c r="K96"/>
  <c r="J96" s="1"/>
  <c r="J93"/>
  <c r="N37"/>
  <c r="N65"/>
  <c r="M93"/>
  <c r="M96" s="1"/>
  <c r="O68"/>
  <c r="N68" s="1"/>
  <c r="O93"/>
  <c r="N93" l="1"/>
  <c r="O96"/>
  <c r="N96" s="1"/>
  <c r="F29" i="89" l="1"/>
  <c r="E76" i="67" l="1"/>
  <c r="M75"/>
  <c r="G75"/>
  <c r="E51" i="69"/>
  <c r="K75" i="67"/>
  <c r="I76"/>
  <c r="I51" i="69"/>
  <c r="I52" s="1"/>
  <c r="G76" i="67" l="1"/>
  <c r="O75"/>
  <c r="N75" s="1"/>
  <c r="G51" i="69"/>
  <c r="M76" i="67"/>
  <c r="K51" i="69"/>
  <c r="K76" i="67"/>
  <c r="J76" s="1"/>
  <c r="E52" i="69"/>
  <c r="M51"/>
  <c r="M52" s="1"/>
  <c r="J51" l="1"/>
  <c r="K52"/>
  <c r="J52" s="1"/>
  <c r="F51"/>
  <c r="O51"/>
  <c r="N51" s="1"/>
  <c r="G52"/>
  <c r="F76" i="67"/>
  <c r="O76"/>
  <c r="N76" s="1"/>
  <c r="F52" i="69" l="1"/>
  <c r="O52"/>
  <c r="N52" s="1"/>
  <c r="K48" i="67" l="1"/>
  <c r="I49"/>
  <c r="I23" i="69"/>
  <c r="E49" i="67" l="1"/>
  <c r="M49" s="1"/>
  <c r="G48"/>
  <c r="E23" i="69"/>
  <c r="E24" s="1"/>
  <c r="M48" i="67"/>
  <c r="I24" i="69"/>
  <c r="K23"/>
  <c r="K49" i="67"/>
  <c r="J49" s="1"/>
  <c r="M23" i="69" l="1"/>
  <c r="M24" s="1"/>
  <c r="J23"/>
  <c r="K24"/>
  <c r="G49" i="67"/>
  <c r="O48"/>
  <c r="N48" s="1"/>
  <c r="G23" i="69"/>
  <c r="G24" l="1"/>
  <c r="O23"/>
  <c r="N23" s="1"/>
  <c r="F23"/>
  <c r="F49" i="67"/>
  <c r="O49"/>
  <c r="N49" s="1"/>
  <c r="J24" i="69"/>
  <c r="O24" l="1"/>
  <c r="N24" s="1"/>
  <c r="F24"/>
  <c r="K152" i="67" l="1"/>
  <c r="K35" i="89" s="1"/>
  <c r="I35"/>
  <c r="G153" i="67"/>
  <c r="G36" i="89" s="1"/>
  <c r="E36"/>
  <c r="I169" i="67"/>
  <c r="K164"/>
  <c r="I47" i="89"/>
  <c r="G165" i="67"/>
  <c r="G48" i="89" s="1"/>
  <c r="E48"/>
  <c r="G155" i="67"/>
  <c r="G38" i="89" s="1"/>
  <c r="E38"/>
  <c r="G152" i="67"/>
  <c r="G35" i="89" s="1"/>
  <c r="E35"/>
  <c r="K153" i="67"/>
  <c r="K36" i="89" s="1"/>
  <c r="I36"/>
  <c r="E47"/>
  <c r="G164" i="67"/>
  <c r="E169"/>
  <c r="I48" i="89"/>
  <c r="K165" i="67"/>
  <c r="K48" i="89" s="1"/>
  <c r="K155" i="67"/>
  <c r="K38" i="89" s="1"/>
  <c r="I38"/>
  <c r="J48" l="1"/>
  <c r="E52"/>
  <c r="E16" s="1"/>
  <c r="J36"/>
  <c r="F35"/>
  <c r="F38"/>
  <c r="F48"/>
  <c r="G47"/>
  <c r="G169" i="67"/>
  <c r="F169" s="1"/>
  <c r="J38" i="89"/>
  <c r="I52"/>
  <c r="I16" s="1"/>
  <c r="F36"/>
  <c r="J35"/>
  <c r="K169" i="67"/>
  <c r="J169" s="1"/>
  <c r="K47" i="89"/>
  <c r="K52" l="1"/>
  <c r="J47"/>
  <c r="G52"/>
  <c r="G16" s="1"/>
  <c r="F47"/>
  <c r="F16" l="1"/>
  <c r="F52"/>
  <c r="J52"/>
  <c r="K16"/>
  <c r="J16" s="1"/>
  <c r="K183" i="67" l="1"/>
  <c r="M95" l="1"/>
  <c r="E72" i="69"/>
  <c r="E100" s="1"/>
  <c r="E122" i="67"/>
  <c r="F122"/>
  <c r="G95" l="1"/>
  <c r="G122" s="1"/>
  <c r="I72" i="69"/>
  <c r="I122" i="67"/>
  <c r="M122" s="1"/>
  <c r="J122"/>
  <c r="G72" i="69" l="1"/>
  <c r="F72" s="1"/>
  <c r="M72"/>
  <c r="I100"/>
  <c r="M100" s="1"/>
  <c r="K95" i="67"/>
  <c r="G100" i="69"/>
  <c r="F100" l="1"/>
  <c r="K122" i="67"/>
  <c r="O122" s="1"/>
  <c r="N122" s="1"/>
  <c r="K72" i="69"/>
  <c r="O95" i="67"/>
  <c r="N95" s="1"/>
  <c r="K100" i="69" l="1"/>
  <c r="J72"/>
  <c r="O72"/>
  <c r="N72" s="1"/>
  <c r="J100" l="1"/>
  <c r="O100"/>
  <c r="N100" s="1"/>
  <c r="I71" l="1"/>
  <c r="K94" i="67"/>
  <c r="M94" l="1"/>
  <c r="G94"/>
  <c r="E71" i="69"/>
  <c r="K71"/>
  <c r="J71" l="1"/>
  <c r="M71"/>
  <c r="G71"/>
  <c r="O94" i="67"/>
  <c r="N94" l="1"/>
  <c r="O71" i="69"/>
  <c r="N71" s="1"/>
  <c r="F71"/>
  <c r="G102" i="67" l="1"/>
  <c r="M102"/>
  <c r="E79" i="69"/>
  <c r="E129" i="67"/>
  <c r="I79" i="69"/>
  <c r="I107" s="1"/>
  <c r="K102" i="67"/>
  <c r="I129"/>
  <c r="M129" l="1"/>
  <c r="E107" i="69"/>
  <c r="M107" s="1"/>
  <c r="M79"/>
  <c r="O102" i="67"/>
  <c r="N102" s="1"/>
  <c r="G79" i="69"/>
  <c r="G129" i="67"/>
  <c r="K79" i="69"/>
  <c r="K129" i="67"/>
  <c r="O129" l="1"/>
  <c r="N129" s="1"/>
  <c r="K107" i="69"/>
  <c r="J107" s="1"/>
  <c r="J79"/>
  <c r="F79"/>
  <c r="O79"/>
  <c r="N79" s="1"/>
  <c r="G107"/>
  <c r="O107" l="1"/>
  <c r="N107" s="1"/>
  <c r="F107"/>
  <c r="E128" i="67" l="1"/>
  <c r="E103"/>
  <c r="G101"/>
  <c r="E78" i="69"/>
  <c r="G27" i="89" l="1"/>
  <c r="F27" s="1"/>
  <c r="G103" i="67"/>
  <c r="G128"/>
  <c r="G78" i="69"/>
  <c r="E80"/>
  <c r="E106"/>
  <c r="E108" s="1"/>
  <c r="E130" i="67"/>
  <c r="I78" i="69" l="1"/>
  <c r="I103" i="67"/>
  <c r="M103" s="1"/>
  <c r="I27" i="89"/>
  <c r="I128" i="67"/>
  <c r="K101"/>
  <c r="M101"/>
  <c r="F78" i="69"/>
  <c r="F106" s="1"/>
  <c r="G80"/>
  <c r="G106"/>
  <c r="F103" i="67"/>
  <c r="G130"/>
  <c r="F80" i="69" l="1"/>
  <c r="F130" i="67"/>
  <c r="G108" i="69"/>
  <c r="K78"/>
  <c r="K128" i="67"/>
  <c r="K103"/>
  <c r="K27" i="89"/>
  <c r="J27" s="1"/>
  <c r="O101" i="67"/>
  <c r="N101" s="1"/>
  <c r="I80" i="69"/>
  <c r="I106"/>
  <c r="M78"/>
  <c r="M80" s="1"/>
  <c r="I130" i="67"/>
  <c r="M130" s="1"/>
  <c r="M128"/>
  <c r="M106" i="69" l="1"/>
  <c r="M108" s="1"/>
  <c r="I108"/>
  <c r="J103" i="67"/>
  <c r="O103"/>
  <c r="N103" s="1"/>
  <c r="K106" i="69"/>
  <c r="J78"/>
  <c r="J106" s="1"/>
  <c r="K80"/>
  <c r="O78"/>
  <c r="N78" s="1"/>
  <c r="F108"/>
  <c r="K130" i="67"/>
  <c r="O128"/>
  <c r="N128" s="1"/>
  <c r="J130" l="1"/>
  <c r="O130"/>
  <c r="N130" s="1"/>
  <c r="J80" i="69"/>
  <c r="O80"/>
  <c r="N80" s="1"/>
  <c r="K108"/>
  <c r="O106"/>
  <c r="N106" s="1"/>
  <c r="J108" l="1"/>
  <c r="O108"/>
  <c r="N108" s="1"/>
  <c r="G177" i="67" l="1"/>
  <c r="E8" i="91"/>
  <c r="E11" s="1"/>
  <c r="E15" s="1"/>
  <c r="F68" i="94" s="1"/>
  <c r="F69" s="1"/>
  <c r="E180" i="67"/>
  <c r="G180" l="1"/>
  <c r="F180" s="1"/>
  <c r="G8" i="91"/>
  <c r="G11" l="1"/>
  <c r="F8"/>
  <c r="G15" l="1"/>
  <c r="F11"/>
  <c r="H68" i="94" l="1"/>
  <c r="F15" i="91"/>
  <c r="H69" i="94" l="1"/>
  <c r="G68"/>
  <c r="G69" l="1"/>
  <c r="G183" i="67" l="1"/>
  <c r="E23" i="91"/>
  <c r="E25" s="1"/>
  <c r="E29" s="1"/>
  <c r="F70" i="94" s="1"/>
  <c r="F71" s="1"/>
  <c r="F72" s="1"/>
  <c r="E185" i="67"/>
  <c r="G185" l="1"/>
  <c r="F185" s="1"/>
  <c r="G23" i="91"/>
  <c r="G25" l="1"/>
  <c r="F23"/>
  <c r="F25" l="1"/>
  <c r="G29"/>
  <c r="H70" i="94" l="1"/>
  <c r="F29" i="91"/>
  <c r="H71" i="94" l="1"/>
  <c r="G70"/>
  <c r="G71" l="1"/>
  <c r="H72"/>
  <c r="G72" l="1"/>
  <c r="I18" i="69" l="1"/>
  <c r="K43" i="67"/>
  <c r="K70"/>
  <c r="K46" i="69" s="1"/>
  <c r="I46"/>
  <c r="E18"/>
  <c r="M43" i="67"/>
  <c r="G43"/>
  <c r="M70"/>
  <c r="E46" i="69"/>
  <c r="G70" i="67"/>
  <c r="M46" i="69" l="1"/>
  <c r="J46"/>
  <c r="G46"/>
  <c r="O70" i="67"/>
  <c r="N70" s="1"/>
  <c r="G18" i="69"/>
  <c r="O43" i="67"/>
  <c r="N43" s="1"/>
  <c r="M18" i="69"/>
  <c r="K18"/>
  <c r="J18" l="1"/>
  <c r="F18"/>
  <c r="O18"/>
  <c r="N18" s="1"/>
  <c r="O46"/>
  <c r="N46" s="1"/>
  <c r="F46"/>
  <c r="I74" l="1"/>
  <c r="I102" s="1"/>
  <c r="K97" i="67"/>
  <c r="I124"/>
  <c r="E74" i="69"/>
  <c r="G97" i="67"/>
  <c r="M97"/>
  <c r="E124"/>
  <c r="M124" l="1"/>
  <c r="O97"/>
  <c r="N97" s="1"/>
  <c r="G74" i="69"/>
  <c r="G124" i="67"/>
  <c r="M74" i="69"/>
  <c r="E102"/>
  <c r="M102" s="1"/>
  <c r="K74"/>
  <c r="K124" i="67"/>
  <c r="J74" i="69" l="1"/>
  <c r="K102"/>
  <c r="J102" s="1"/>
  <c r="O124" i="67"/>
  <c r="N124" s="1"/>
  <c r="F74" i="69"/>
  <c r="O74"/>
  <c r="N74" s="1"/>
  <c r="G102"/>
  <c r="F102" l="1"/>
  <c r="O102"/>
  <c r="N102" s="1"/>
  <c r="I73" l="1"/>
  <c r="K96" i="67"/>
  <c r="I98"/>
  <c r="E73" i="69"/>
  <c r="E75" s="1"/>
  <c r="G96" i="67"/>
  <c r="M96"/>
  <c r="M98" s="1"/>
  <c r="E98"/>
  <c r="M73" i="69" l="1"/>
  <c r="M75" s="1"/>
  <c r="I75"/>
  <c r="G73"/>
  <c r="O96" i="67"/>
  <c r="G98"/>
  <c r="F98" s="1"/>
  <c r="K73" i="69"/>
  <c r="K98" i="67"/>
  <c r="J98" s="1"/>
  <c r="J73" i="69" l="1"/>
  <c r="K75"/>
  <c r="N96" i="67"/>
  <c r="O98"/>
  <c r="N98" s="1"/>
  <c r="F73" i="69"/>
  <c r="O73"/>
  <c r="N73" s="1"/>
  <c r="G75"/>
  <c r="J75" l="1"/>
  <c r="O75"/>
  <c r="N75" s="1"/>
  <c r="F75"/>
  <c r="K42" i="67" l="1"/>
  <c r="I17" i="69"/>
  <c r="K17" l="1"/>
  <c r="J17" l="1"/>
  <c r="K69" i="67"/>
  <c r="I45" i="69"/>
  <c r="I123" i="67"/>
  <c r="G42"/>
  <c r="M42"/>
  <c r="E17" i="69"/>
  <c r="E45" l="1"/>
  <c r="E101" s="1"/>
  <c r="G69" i="67"/>
  <c r="G123" s="1"/>
  <c r="M69"/>
  <c r="M17" i="69"/>
  <c r="M45"/>
  <c r="I101"/>
  <c r="I160" i="67"/>
  <c r="I34" i="89"/>
  <c r="I43" s="1"/>
  <c r="I15" s="1"/>
  <c r="I28" s="1"/>
  <c r="I30" s="1"/>
  <c r="K45" i="69"/>
  <c r="K123" i="67"/>
  <c r="E123"/>
  <c r="O42"/>
  <c r="N42" s="1"/>
  <c r="G17" i="69"/>
  <c r="I14" i="89" l="1"/>
  <c r="I17" s="1"/>
  <c r="M101" i="69"/>
  <c r="F17"/>
  <c r="O17"/>
  <c r="N17" s="1"/>
  <c r="K151" i="67"/>
  <c r="K34" i="89"/>
  <c r="G151" i="67"/>
  <c r="G34" i="89"/>
  <c r="O123" i="67"/>
  <c r="E34" i="89"/>
  <c r="E43" s="1"/>
  <c r="E15" s="1"/>
  <c r="E28" s="1"/>
  <c r="E160" i="67"/>
  <c r="M123"/>
  <c r="J45" i="69"/>
  <c r="K101"/>
  <c r="J101" s="1"/>
  <c r="G45"/>
  <c r="G101" s="1"/>
  <c r="O69" i="67"/>
  <c r="N69" s="1"/>
  <c r="I20" i="89" l="1"/>
  <c r="I21"/>
  <c r="I23" s="1"/>
  <c r="E30"/>
  <c r="E14" s="1"/>
  <c r="E17" s="1"/>
  <c r="E20" s="1"/>
  <c r="K43"/>
  <c r="J34"/>
  <c r="F101" i="69"/>
  <c r="O101"/>
  <c r="N101" s="1"/>
  <c r="O45"/>
  <c r="N45" s="1"/>
  <c r="F45"/>
  <c r="F151" i="67"/>
  <c r="G160"/>
  <c r="F160" s="1"/>
  <c r="K160"/>
  <c r="J160" s="1"/>
  <c r="J151"/>
  <c r="N123"/>
  <c r="G43" i="89"/>
  <c r="F34"/>
  <c r="I26" i="69" l="1"/>
  <c r="I54"/>
  <c r="I82"/>
  <c r="I84" s="1"/>
  <c r="I32" i="92" s="1"/>
  <c r="E21" i="89"/>
  <c r="E23" s="1"/>
  <c r="G15"/>
  <c r="F43"/>
  <c r="K15"/>
  <c r="J43"/>
  <c r="E54" i="69" l="1"/>
  <c r="M54" s="1"/>
  <c r="E82"/>
  <c r="E84" s="1"/>
  <c r="E26"/>
  <c r="I27" i="70"/>
  <c r="I28" s="1"/>
  <c r="I110" i="69"/>
  <c r="J15" i="89"/>
  <c r="K28"/>
  <c r="F15"/>
  <c r="G28"/>
  <c r="M26" i="69" l="1"/>
  <c r="J28" i="89"/>
  <c r="K30"/>
  <c r="F28"/>
  <c r="G30"/>
  <c r="M82" i="69" l="1"/>
  <c r="E110"/>
  <c r="M110" s="1"/>
  <c r="G14" i="89"/>
  <c r="F30"/>
  <c r="E27" i="70"/>
  <c r="E32" i="92"/>
  <c r="M32" s="1"/>
  <c r="M36" s="1"/>
  <c r="M84" i="69"/>
  <c r="F76" i="94" s="1"/>
  <c r="J30" i="89"/>
  <c r="K14"/>
  <c r="J14" l="1"/>
  <c r="K17"/>
  <c r="E28" i="70"/>
  <c r="M28" s="1"/>
  <c r="M27"/>
  <c r="F14" i="89"/>
  <c r="G17"/>
  <c r="K20" l="1"/>
  <c r="J17"/>
  <c r="K21"/>
  <c r="J21" s="1"/>
  <c r="G20"/>
  <c r="F17"/>
  <c r="G21"/>
  <c r="F21" s="1"/>
  <c r="F20" l="1"/>
  <c r="G23"/>
  <c r="K23"/>
  <c r="J20"/>
  <c r="K26" i="69" l="1"/>
  <c r="K54"/>
  <c r="J54" s="1"/>
  <c r="K82"/>
  <c r="G54"/>
  <c r="F54" s="1"/>
  <c r="G82"/>
  <c r="G26"/>
  <c r="F23" i="89"/>
  <c r="J23"/>
  <c r="O54" i="69" l="1"/>
  <c r="O26"/>
  <c r="N26" s="1"/>
  <c r="K110"/>
  <c r="J110" s="1"/>
  <c r="J26"/>
  <c r="J82"/>
  <c r="K84"/>
  <c r="N54"/>
  <c r="G110"/>
  <c r="F26"/>
  <c r="O82"/>
  <c r="N82" s="1"/>
  <c r="F82"/>
  <c r="G84"/>
  <c r="O110" l="1"/>
  <c r="N110" s="1"/>
  <c r="F110"/>
  <c r="G32" i="92"/>
  <c r="O84" i="69"/>
  <c r="F84"/>
  <c r="F27" i="70" s="1"/>
  <c r="G27"/>
  <c r="K32" i="92"/>
  <c r="J32" s="1"/>
  <c r="J84" i="69"/>
  <c r="J27" i="70" s="1"/>
  <c r="K27"/>
  <c r="K28" s="1"/>
  <c r="J28" s="1"/>
  <c r="N84" i="69" l="1"/>
  <c r="H76" i="94"/>
  <c r="G76" s="1"/>
  <c r="O32" i="92"/>
  <c r="O36" s="1"/>
  <c r="F32"/>
  <c r="G28" i="70"/>
  <c r="O27"/>
  <c r="N27" s="1"/>
  <c r="O28" l="1"/>
  <c r="N28" s="1"/>
  <c r="F28"/>
  <c r="N32" i="92"/>
  <c r="N36"/>
  <c r="K40" i="67" l="1"/>
  <c r="I15" i="69"/>
  <c r="I44" i="67"/>
  <c r="K15" i="69" l="1"/>
  <c r="K44" i="67"/>
  <c r="J44" s="1"/>
  <c r="M67"/>
  <c r="M71" s="1"/>
  <c r="G67"/>
  <c r="E43" i="69"/>
  <c r="E47" s="1"/>
  <c r="E56" s="1"/>
  <c r="E71" i="67"/>
  <c r="I19" i="69"/>
  <c r="I28" s="1"/>
  <c r="G43" l="1"/>
  <c r="G71" i="67"/>
  <c r="F71" s="1"/>
  <c r="J15" i="69"/>
  <c r="K19"/>
  <c r="I8" i="92"/>
  <c r="I13" i="70"/>
  <c r="I14" s="1"/>
  <c r="E20" i="92"/>
  <c r="I43" i="69"/>
  <c r="K67" i="67"/>
  <c r="I71"/>
  <c r="I121"/>
  <c r="I125" s="1"/>
  <c r="M43" i="69" l="1"/>
  <c r="M47" s="1"/>
  <c r="I47"/>
  <c r="I56" s="1"/>
  <c r="I99"/>
  <c r="K43"/>
  <c r="O43" s="1"/>
  <c r="K71" i="67"/>
  <c r="J71" s="1"/>
  <c r="K121"/>
  <c r="K125" s="1"/>
  <c r="J125" s="1"/>
  <c r="I42" i="70"/>
  <c r="I41"/>
  <c r="J19" i="69"/>
  <c r="K28"/>
  <c r="O67" i="67"/>
  <c r="F43" i="69"/>
  <c r="G47"/>
  <c r="N43" l="1"/>
  <c r="I103"/>
  <c r="I112" s="1"/>
  <c r="F47"/>
  <c r="G56"/>
  <c r="N67" i="67"/>
  <c r="O71"/>
  <c r="N71" s="1"/>
  <c r="K13" i="70"/>
  <c r="K8" i="92"/>
  <c r="J28" i="69"/>
  <c r="J43"/>
  <c r="K47"/>
  <c r="K99"/>
  <c r="I20" i="92"/>
  <c r="M56" i="69"/>
  <c r="I44" i="92" l="1"/>
  <c r="M20"/>
  <c r="M24" s="1"/>
  <c r="J47" i="69"/>
  <c r="K56"/>
  <c r="O56" s="1"/>
  <c r="N56" s="1"/>
  <c r="J8" i="92"/>
  <c r="G20"/>
  <c r="F56" i="69"/>
  <c r="O47"/>
  <c r="N47" s="1"/>
  <c r="J99"/>
  <c r="K103"/>
  <c r="K14" i="70"/>
  <c r="J13"/>
  <c r="K41"/>
  <c r="J41" s="1"/>
  <c r="K42" l="1"/>
  <c r="J42" s="1"/>
  <c r="J14"/>
  <c r="F20" i="92"/>
  <c r="J103" i="69"/>
  <c r="K112"/>
  <c r="J112" s="1"/>
  <c r="J56"/>
  <c r="K20" i="92"/>
  <c r="J20" l="1"/>
  <c r="K44"/>
  <c r="J44" s="1"/>
  <c r="O20"/>
  <c r="O24" s="1"/>
  <c r="H11" i="94"/>
  <c r="H12" s="1"/>
  <c r="F12"/>
  <c r="F13" s="1"/>
  <c r="H13" l="1"/>
  <c r="G12"/>
  <c r="N24" i="92"/>
  <c r="N20"/>
  <c r="G13" i="94" l="1"/>
  <c r="E15" i="69" l="1"/>
  <c r="M40" i="67"/>
  <c r="M44" s="1"/>
  <c r="G40"/>
  <c r="E44"/>
  <c r="E121"/>
  <c r="E125" l="1"/>
  <c r="M121"/>
  <c r="M125" s="1"/>
  <c r="O40"/>
  <c r="G121"/>
  <c r="G15" i="69"/>
  <c r="G44" i="67"/>
  <c r="F44" s="1"/>
  <c r="E19" i="69"/>
  <c r="E99"/>
  <c r="M15"/>
  <c r="M19" s="1"/>
  <c r="E28" l="1"/>
  <c r="M28" s="1"/>
  <c r="F75" i="94" s="1"/>
  <c r="F77" s="1"/>
  <c r="E103" i="69"/>
  <c r="E112" s="1"/>
  <c r="M112" s="1"/>
  <c r="M99"/>
  <c r="M103" s="1"/>
  <c r="G125" i="67"/>
  <c r="F125" s="1"/>
  <c r="O121"/>
  <c r="O15" i="69"/>
  <c r="N15" s="1"/>
  <c r="F15"/>
  <c r="G99"/>
  <c r="G19"/>
  <c r="G28" s="1"/>
  <c r="O28" s="1"/>
  <c r="O44" i="67"/>
  <c r="N44" s="1"/>
  <c r="N40"/>
  <c r="E8" i="92" l="1"/>
  <c r="E13" i="70"/>
  <c r="E14" s="1"/>
  <c r="F79" i="94"/>
  <c r="F86" s="1"/>
  <c r="F18" s="1"/>
  <c r="F21" s="1"/>
  <c r="F22" s="1"/>
  <c r="O19" i="69"/>
  <c r="N19" s="1"/>
  <c r="F19"/>
  <c r="E44" i="92"/>
  <c r="M44" s="1"/>
  <c r="M8"/>
  <c r="M12" s="1"/>
  <c r="F99" i="69"/>
  <c r="G103"/>
  <c r="O99"/>
  <c r="N99" s="1"/>
  <c r="O125" i="67"/>
  <c r="N125" s="1"/>
  <c r="N121"/>
  <c r="M13" i="70" l="1"/>
  <c r="E41"/>
  <c r="M41" s="1"/>
  <c r="M14"/>
  <c r="E42"/>
  <c r="M42" s="1"/>
  <c r="F103" i="69"/>
  <c r="G112"/>
  <c r="O103"/>
  <c r="N103" s="1"/>
  <c r="G13" i="70"/>
  <c r="F28" i="69"/>
  <c r="G8" i="92"/>
  <c r="F8" l="1"/>
  <c r="G44"/>
  <c r="O8"/>
  <c r="O12" s="1"/>
  <c r="H75" i="94"/>
  <c r="N28" i="69"/>
  <c r="O13" i="70"/>
  <c r="N13" s="1"/>
  <c r="G14"/>
  <c r="G41"/>
  <c r="F13"/>
  <c r="F112" i="69"/>
  <c r="O112"/>
  <c r="N112" s="1"/>
  <c r="G42" i="70" l="1"/>
  <c r="O14"/>
  <c r="N14" s="1"/>
  <c r="F14"/>
  <c r="N8" i="92"/>
  <c r="N12"/>
  <c r="O41" i="70"/>
  <c r="N41" s="1"/>
  <c r="F41"/>
  <c r="H77" i="94"/>
  <c r="G75"/>
  <c r="F44" i="92"/>
  <c r="O44"/>
  <c r="N44" s="1"/>
  <c r="H79" i="94" l="1"/>
  <c r="G77"/>
  <c r="F42" i="70"/>
  <c r="O42"/>
  <c r="N42" s="1"/>
  <c r="G79" i="94" l="1"/>
  <c r="H86"/>
  <c r="H18" l="1"/>
  <c r="G86"/>
  <c r="G18" l="1"/>
  <c r="H21"/>
  <c r="H22" l="1"/>
  <c r="G22" s="1"/>
  <c r="G21"/>
</calcChain>
</file>

<file path=xl/sharedStrings.xml><?xml version="1.0" encoding="utf-8"?>
<sst xmlns="http://schemas.openxmlformats.org/spreadsheetml/2006/main" count="1621" uniqueCount="249">
  <si>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</si>
  <si>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</si>
  <si>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</si>
  <si>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</si>
  <si>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</si>
  <si>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</si>
  <si>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</si>
  <si>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</si>
  <si>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</si>
  <si>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</si>
  <si>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</si>
  <si>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</si>
  <si>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Approved</t>
  </si>
  <si>
    <t>(h)</t>
  </si>
  <si>
    <t>(i)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</si>
  <si>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</si>
  <si>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</si>
  <si>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</si>
  <si>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</si>
  <si>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</si>
  <si>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</si>
  <si>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</si>
  <si>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</si>
  <si>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</si>
  <si>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</si>
  <si>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</si>
  <si>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</si>
  <si>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</si>
  <si>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</si>
  <si>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</si>
  <si>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Short-term Debt</t>
  </si>
  <si>
    <t>Nuclear Fuel Inventory</t>
  </si>
  <si>
    <t>OM&amp;A</t>
  </si>
  <si>
    <t>Fuel and GRC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</si>
  <si>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</si>
  <si>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</si>
  <si>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</si>
  <si>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</si>
  <si>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</si>
  <si>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</si>
  <si>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</si>
  <si>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</si>
  <si>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</si>
  <si>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</si>
  <si>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</si>
  <si>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</si>
  <si>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</si>
  <si>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</si>
  <si>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</si>
  <si>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</si>
  <si>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</si>
  <si>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</si>
  <si>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</si>
  <si>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</si>
  <si>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</si>
  <si>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</si>
  <si>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Legend / Colour Scheme</t>
  </si>
  <si>
    <t>Surplus Baseload Generation Variance</t>
  </si>
  <si>
    <t>Capacity Refurbishment Variance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</si>
  <si>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</si>
  <si>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</si>
  <si>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Nuclear Allocation Factor</t>
  </si>
  <si>
    <t>Previously Regulated Hydroelectric Facilities</t>
  </si>
  <si>
    <t>Newly Regulated Hydroelectric Facilities</t>
  </si>
  <si>
    <t>Newly Regulated Hydroelectric Allocation Factor</t>
  </si>
  <si>
    <t>Cost of Capital ($M)</t>
  </si>
  <si>
    <t>Previously Regulated Hydroelectric Allocation factor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</si>
  <si>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</si>
  <si>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</si>
  <si>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</si>
  <si>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</si>
  <si>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</si>
  <si>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</si>
  <si>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Impact</t>
  </si>
  <si>
    <t>Income Taxes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</si>
  <si>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</si>
  <si>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</si>
  <si>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</si>
  <si>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</si>
  <si>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</si>
  <si>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</si>
  <si>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</si>
  <si>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Provincial Manufacturing &amp; Processing Profits Deduction</t>
  </si>
  <si>
    <t>Previously Regulated Hydroelectric</t>
  </si>
  <si>
    <t>Nuclear</t>
  </si>
  <si>
    <t>GRC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</si>
  <si>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</si>
  <si>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</si>
  <si>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</si>
  <si>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</si>
  <si>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</si>
  <si>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</si>
  <si>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</si>
  <si>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Single Payments Amount Adjustment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</si>
  <si>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</si>
  <si>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</si>
  <si>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</si>
  <si>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</si>
  <si>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</si>
  <si>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</si>
  <si>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Pension and OPEB/SPP Accrual</t>
  </si>
  <si>
    <t>Adjustment Related to Financing Cost for Nuclear Liabilities</t>
  </si>
  <si>
    <t>Taxable SR&amp;ED Investment Tax Credits of Prior Periods</t>
  </si>
  <si>
    <t>Other</t>
  </si>
  <si>
    <t>Regulatory Asset Amortization - Bruce Lease Net Revenues Variance</t>
  </si>
  <si>
    <t>Regulatory Liability Amortization - Income and Other Taxes Variance</t>
  </si>
  <si>
    <t>Total Additions</t>
  </si>
  <si>
    <t>Deductions</t>
  </si>
  <si>
    <t>CCA</t>
  </si>
  <si>
    <t>Cash Expenditures for Nuclear Waste &amp; Decommissioning</t>
  </si>
  <si>
    <t>Contributions to Nuclear Segregated Funds</t>
  </si>
  <si>
    <t>Pension Plan Contributions</t>
  </si>
  <si>
    <t>OPEB/SPP Payments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</si>
  <si>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</si>
  <si>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</si>
  <si>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</si>
  <si>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</si>
  <si>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</si>
  <si>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</si>
  <si>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</si>
  <si>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</si>
  <si>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</si>
  <si>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Requested Payment Amount ($/MWh)</t>
  </si>
  <si>
    <t>Production &amp; Revenue</t>
  </si>
  <si>
    <t>July 1, 2014 - 2015 Test Period</t>
  </si>
  <si>
    <t>July 1, 2014 - December 31, 2014</t>
  </si>
  <si>
    <r>
      <t>Revenue Requirement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($M)</t>
    </r>
  </si>
  <si>
    <r>
      <t>Forecast Production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(TWh)</t>
    </r>
  </si>
  <si>
    <t>Short-Term Debt Interest Cost ($M)</t>
  </si>
  <si>
    <t>Short-Term Debt</t>
  </si>
  <si>
    <t>Previously Regulated Hydroelectric Rate Base ($M)</t>
  </si>
  <si>
    <t>Newly Regulated Hydroelectric Rate Base ($M)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</si>
  <si>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</si>
  <si>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</si>
  <si>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</si>
  <si>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</si>
  <si>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</si>
  <si>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</si>
  <si>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</si>
  <si>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</si>
  <si>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Residential Consumers</t>
  </si>
  <si>
    <t>Total Generating Facilities</t>
  </si>
  <si>
    <t>Production-Weighted Average Rates</t>
  </si>
  <si>
    <r>
      <t>Payment Amounts</t>
    </r>
    <r>
      <rPr>
        <sz val="12"/>
        <rFont val="Arial"/>
        <family val="2"/>
      </rPr>
      <t xml:space="preserve"> ($MWh)</t>
    </r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</si>
  <si>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</si>
  <si>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</si>
  <si>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Production-Weighted Average Rates</t>
    </r>
    <r>
      <rPr>
        <sz val="12"/>
        <rFont val="Arial"/>
        <family val="2"/>
      </rPr>
      <t xml:space="preserve"> ($MWh)</t>
    </r>
  </si>
  <si>
    <t>Revenue Requiremenmt Deficiency / Sufficiency</t>
  </si>
  <si>
    <t>OPG Requested Payment Amounts</t>
  </si>
  <si>
    <t>OPG 2014-2015 Test Period Consumer Impact</t>
  </si>
  <si>
    <t>Test Period Consumer Impact</t>
  </si>
  <si>
    <t>Previously Regulated Hydroelectric &amp; Nuclear Facilities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</si>
  <si>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</si>
  <si>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</si>
  <si>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Capacity Refurbishment Variance - Capital Portion</t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</si>
  <si>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</si>
  <si>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</si>
  <si>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</si>
  <si>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</si>
  <si>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Previously Regulated Hydroelectric Facilities</t>
    </r>
    <r>
      <rPr>
        <sz val="12"/>
        <rFont val="Arial"/>
        <family val="2"/>
      </rPr>
      <t xml:space="preserve"> ($M)</t>
    </r>
  </si>
  <si>
    <r>
      <t>Nuclear Facilities</t>
    </r>
    <r>
      <rPr>
        <sz val="12"/>
        <rFont val="Arial"/>
        <family val="2"/>
      </rPr>
      <t xml:space="preserve"> ($M)</t>
    </r>
  </si>
  <si>
    <t>Production and Demand</t>
  </si>
  <si>
    <t>Cover Page</t>
  </si>
  <si>
    <t>`</t>
  </si>
  <si>
    <r>
      <t>Total Production-Weighted Average Rate</t>
    </r>
    <r>
      <rPr>
        <sz val="12"/>
        <rFont val="Arial"/>
        <family val="2"/>
      </rPr>
      <t xml:space="preserve"> ($MWh)</t>
    </r>
  </si>
  <si>
    <t>Previously Regulated Hydroelectric Rider</t>
  </si>
  <si>
    <t>Nuclear Rider</t>
  </si>
  <si>
    <t>Nuclear Rider Revenue</t>
  </si>
  <si>
    <t>Previously Regulated Hydroelectric Rider Revenue</t>
  </si>
  <si>
    <t>Total Revenue</t>
  </si>
  <si>
    <r>
      <t>EB-2012-0002 2014 Approved Riders and Forecasted Revenue</t>
    </r>
    <r>
      <rPr>
        <sz val="12"/>
        <rFont val="Arial"/>
        <family val="2"/>
      </rPr>
      <t xml:space="preserve"> ($M)</t>
    </r>
  </si>
  <si>
    <t>Previously Regulated Hydroelectric Revenue</t>
  </si>
  <si>
    <t>Nuclear Revenue</t>
  </si>
  <si>
    <t>Current Rates</t>
  </si>
  <si>
    <t>Test Period Revenue</t>
  </si>
  <si>
    <t>EB-2010-0008 / EB-2012-0002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</si>
  <si>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</si>
  <si>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</si>
  <si>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EB-2013-0321</t>
  </si>
  <si>
    <t>EB-2013-0321 Revenue Requirement Work Form</t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</si>
  <si>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</si>
  <si>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</si>
  <si>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</si>
  <si>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</si>
  <si>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</si>
  <si>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</si>
  <si>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Amortization 2015</t>
  </si>
  <si>
    <t>Recovery Period (Months)</t>
  </si>
  <si>
    <t>Automatically Generated Calculations</t>
  </si>
  <si>
    <t>OPG Proposed Amounts</t>
  </si>
  <si>
    <t>Adjustment Input Cells For OEB Use</t>
  </si>
  <si>
    <t>Projected Balance at December 31, 2013</t>
  </si>
  <si>
    <r>
      <rPr>
        <b/>
        <sz val="12"/>
        <rFont val="Arial"/>
        <family val="2"/>
      </rPr>
      <t>Forecast Production</t>
    </r>
    <r>
      <rPr>
        <b/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(TWh)</t>
    </r>
  </si>
  <si>
    <t>Newly Regulated Hydroelectric Facilities 18 month (July 2014 - December 2015) test period forcast production</t>
  </si>
  <si>
    <t>Amount represents 50% of 2014 revenue requirement</t>
  </si>
  <si>
    <r>
      <t>Forecast Production EB-2013-0321</t>
    </r>
    <r>
      <rPr>
        <sz val="12"/>
        <rFont val="Arial"/>
        <family val="2"/>
      </rPr>
      <t xml:space="preserve"> (TWh)</t>
    </r>
  </si>
  <si>
    <r>
      <t>EB-2013-0321 2015 Proposed Riders and Forecasted Revenue</t>
    </r>
    <r>
      <rPr>
        <sz val="12"/>
        <rFont val="Arial"/>
        <family val="2"/>
      </rPr>
      <t xml:space="preserve"> ($M)</t>
    </r>
  </si>
  <si>
    <r>
      <t>EB-2013-0321 2014-2015 Test Period Revenue Requirement</t>
    </r>
    <r>
      <rPr>
        <sz val="12"/>
        <rFont val="Arial"/>
        <family val="2"/>
      </rPr>
      <t xml:space="preserve"> ($M)</t>
    </r>
  </si>
  <si>
    <t>EB-2010-0008 / EB-2012-0002 Production-Weighted Average Rate ($/MWh) (line 23)</t>
  </si>
  <si>
    <t>EB-2013-0321 Production-Weighted Average Rate ($/MWh) (line 41)</t>
  </si>
  <si>
    <r>
      <t>Total Production-Weighted Average Rate</t>
    </r>
    <r>
      <rPr>
        <sz val="12"/>
        <rFont val="Arial"/>
        <family val="2"/>
      </rPr>
      <t xml:space="preserve"> ($/MWh) (line 37 / line 40)</t>
    </r>
  </si>
  <si>
    <r>
      <t>Total Test Period Revenue</t>
    </r>
    <r>
      <rPr>
        <sz val="12"/>
        <rFont val="Arial"/>
        <family val="2"/>
      </rPr>
      <t xml:space="preserve"> ($M) (line 28 + line 33 + line 36)</t>
    </r>
  </si>
  <si>
    <t>Total Previously Regulated Hydroelectric and Nuclear Generating Facilities</t>
  </si>
  <si>
    <t>OPG Proportion of Consumer Usage (line 2 / line 3)</t>
  </si>
  <si>
    <t>Typical Usage of OPG Generation (kWh/Month) (line 1 x line 4)</t>
  </si>
  <si>
    <r>
      <t xml:space="preserve">Percentage Change of Typical Bill </t>
    </r>
    <r>
      <rPr>
        <sz val="12"/>
        <rFont val="Arial"/>
        <family val="2"/>
      </rPr>
      <t>(line 9 / line 6)</t>
    </r>
  </si>
  <si>
    <r>
      <t>Total</t>
    </r>
    <r>
      <rPr>
        <sz val="12"/>
        <rFont val="Arial"/>
        <family val="2"/>
      </rPr>
      <t xml:space="preserve"> (line 20 + line 21)</t>
    </r>
  </si>
  <si>
    <r>
      <t>Rider</t>
    </r>
    <r>
      <rPr>
        <sz val="12"/>
        <rFont val="Arial"/>
        <family val="2"/>
      </rPr>
      <t xml:space="preserve"> ($/MWh) (line 4 / line 5)</t>
    </r>
  </si>
  <si>
    <r>
      <t>Rider</t>
    </r>
    <r>
      <rPr>
        <sz val="12"/>
        <rFont val="Arial"/>
        <family val="2"/>
      </rPr>
      <t xml:space="preserve"> ($/MWh) (line 9 / line 10)</t>
    </r>
  </si>
  <si>
    <r>
      <t xml:space="preserve">Requested Payment Amount ($/MWh) </t>
    </r>
    <r>
      <rPr>
        <sz val="12"/>
        <rFont val="Arial"/>
        <family val="2"/>
      </rPr>
      <t>(line 1 / line 2)</t>
    </r>
  </si>
  <si>
    <r>
      <t xml:space="preserve">Requested Payment Amount ($/MWh) </t>
    </r>
    <r>
      <rPr>
        <sz val="12"/>
        <rFont val="Arial"/>
        <family val="2"/>
      </rPr>
      <t>(line 4 / line 5)</t>
    </r>
  </si>
  <si>
    <r>
      <t xml:space="preserve">Requested Payment Amount ($/MWh) </t>
    </r>
    <r>
      <rPr>
        <sz val="12"/>
        <rFont val="Arial"/>
        <family val="2"/>
      </rPr>
      <t>(line 7 / line 8)</t>
    </r>
  </si>
  <si>
    <t>Based on IESO May 24, 2013 18 Month Outlook.  As the 18 Month Outlook did not provide a demand forecast for 2014 or 2015, OPG used</t>
  </si>
  <si>
    <t>the IESO Energy demand forecast for 2013 (141.2 TWh) and assumed the 2014 and 2015 forecasts to be equal to the 2013 forecast</t>
  </si>
  <si>
    <t>(141.2 TWh + 141.2 TWh = 282.4 TWh).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</si>
  <si>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</si>
  <si>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</si>
  <si>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Average monthly consumption (800 kWh) and average monthly bill are based on the OEB "Bill Calculator" for</t>
  </si>
  <si>
    <t>estimating monthly electricity bills (using Tiered pricing).  Typical Consumption includes line losses.</t>
  </si>
  <si>
    <t>Typical Bill Impact is line 2 x increase (in $/MWh) in average OPG rates (payment amounts including riders) from</t>
  </si>
  <si>
    <t>Board Approved EB-2010-0008/EB-2012-0002 to proposed EB-2013-0321.  Average Board Approved rates are</t>
  </si>
  <si>
    <t>payment amounts for Prev. Reg. Hydro and Nuclear, respectively, from EB-2010-0008 Payment Amounts Order</t>
  </si>
  <si>
    <t>(Prev. Reg. Hydro from App. B, Table 1, line 3; Nuclear from App. C, Table 1, line 3) plus riders from EB-2012-0002</t>
  </si>
  <si>
    <t>Payment Amounts Order (Hydroelectric Rider 2013-A from pg. 4, para. 3; Nuclear Rider 2013-A from pg. 5, para. 6),</t>
  </si>
  <si>
    <t>prorated for respective Prev. Reg. Hydro and Nuclear production in 2014-15 Test Period (from Ex. E1-1-1 Table 1,</t>
  </si>
  <si>
    <t>line 3 (Prev. Reg. Hydro) and Ex. E2-1-1 Table 1, line 3 (Nuclear)).</t>
  </si>
  <si>
    <t>Average proposed rates are Test Period amounts for Prev. Reg. Hydro revenue requirement plus Nuclear revenue</t>
  </si>
  <si>
    <t>requirement (from Ex. I1-1-1 Table 1, line 24), plus Test Period amounts for Deferral &amp; Variance Account recovery</t>
  </si>
  <si>
    <t>(from Ex. I1-1-1 Table 1, line 25), plus Test Period revenue from Hydroelectric Rider 2014-A and Nuclear Rider</t>
  </si>
  <si>
    <t xml:space="preserve"> 2014-A, all divided by total Test Period Prev. Reg. Hydro and Nuclear production (from Ex. E1-1-1 Table 1, line 3</t>
  </si>
  <si>
    <t>(Prev. Reg. Hydro) and Ex. E2-1-1 Table 1, line 3 (Nuclear)).  Hydroelectric Rider 2014-A is $2.02/MWh from</t>
  </si>
  <si>
    <t>EB-2012-0002 Payment Amounts Order, pg. 5, para. 5; Nuclear Rider 2014-A is $4.18/MWh from EB-2012-0002</t>
  </si>
  <si>
    <t>Payment Amounts Order, pg. 5, para. 8.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</si>
  <si>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</si>
  <si>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r>
      <t>Typical Bill Impact</t>
    </r>
    <r>
      <rPr>
        <b/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($/Month)</t>
    </r>
  </si>
  <si>
    <t>Deferral and Variance Account Recovery 2015</t>
  </si>
  <si>
    <t>EB-2010-0008 / EB-2012-0002 &gt;&gt; EB-2013-0321</t>
  </si>
  <si>
    <t>Updated for Board Staff Interrogatory #1</t>
  </si>
  <si>
    <t>OPG Proposed</t>
  </si>
  <si>
    <t>27/9/13</t>
  </si>
  <si>
    <t>(j)</t>
  </si>
  <si>
    <t>(k)</t>
  </si>
  <si>
    <t>(l)</t>
  </si>
  <si>
    <t>2014-2015 Test Period</t>
  </si>
  <si>
    <t>Filed: 2014-03-19</t>
  </si>
  <si>
    <t>Exhibit L</t>
  </si>
  <si>
    <t>Tab 1.0</t>
  </si>
  <si>
    <t>Schedule 1 Staff-001</t>
  </si>
  <si>
    <t>Excel version of Attachment 1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</si>
</sst>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_(* #,##0.0_);_(* \(#,##0.0\);_(* &quot;-&quot;?_);_(@_)"/>
    <numFmt numFmtId="174" formatCode="[$-409]mmmm\ d\,\ yyyy;@"/>
    <numFmt numFmtId="175" formatCode="_(* #,##0.0000_);_(* \(#,##0.0000\);_(* &quot;-&quot;??_);_(@_)"/>
    <numFmt numFmtId="176" formatCode="mm/dd/yy;@"/>
    <numFmt numFmtId="177" formatCode="0.0000%"/>
    <numFmt numFmtId="178" formatCode="0.0000"/>
    <numFmt numFmtId="179" formatCode="_(* #,##0_);_(* \(#,##0\);_(* &quot;-&quot;??_);_(@_)"/>
    <numFmt numFmtId="180" formatCode="0.0%"/>
    <numFmt numFmtId="181" formatCode="m/d/yy;@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vertAlign val="superscript"/>
      <sz val="12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b/>
      <vertAlign val="superscript"/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38" fontId="15" fillId="2" borderId="0" applyNumberFormat="0" applyBorder="0" applyAlignment="0" applyProtection="0"/>
    <xf numFmtId="0" fontId="10" fillId="0" borderId="18" applyNumberFormat="0" applyAlignment="0" applyProtection="0">
      <alignment horizontal="left" vertical="center"/>
    </xf>
    <xf numFmtId="0" fontId="10" fillId="0" borderId="17">
      <alignment horizontal="left" vertical="center"/>
    </xf>
    <xf numFmtId="10" fontId="15" fillId="6" borderId="19" applyNumberFormat="0" applyBorder="0" applyAlignment="0" applyProtection="0"/>
    <xf numFmtId="172" fontId="16" fillId="0" borderId="0"/>
    <xf numFmtId="0" fontId="13" fillId="0" borderId="0"/>
    <xf numFmtId="0" fontId="13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7" borderId="20" applyNumberFormat="0" applyProtection="0">
      <alignment vertical="center"/>
    </xf>
    <xf numFmtId="4" fontId="17" fillId="3" borderId="20" applyNumberFormat="0" applyProtection="0">
      <alignment vertical="center"/>
    </xf>
    <xf numFmtId="4" fontId="14" fillId="3" borderId="20" applyNumberFormat="0" applyProtection="0">
      <alignment horizontal="left" vertical="center" indent="1"/>
    </xf>
    <xf numFmtId="0" fontId="14" fillId="3" borderId="20" applyNumberFormat="0" applyProtection="0">
      <alignment horizontal="left" vertical="top" indent="1"/>
    </xf>
    <xf numFmtId="4" fontId="14" fillId="8" borderId="0" applyNumberFormat="0" applyProtection="0">
      <alignment horizontal="left" vertical="center" indent="1"/>
    </xf>
    <xf numFmtId="4" fontId="18" fillId="9" borderId="20" applyNumberFormat="0" applyProtection="0">
      <alignment horizontal="right" vertical="center"/>
    </xf>
    <xf numFmtId="4" fontId="18" fillId="10" borderId="20" applyNumberFormat="0" applyProtection="0">
      <alignment horizontal="right" vertical="center"/>
    </xf>
    <xf numFmtId="4" fontId="18" fillId="11" borderId="20" applyNumberFormat="0" applyProtection="0">
      <alignment horizontal="right" vertical="center"/>
    </xf>
    <xf numFmtId="4" fontId="18" fillId="12" borderId="20" applyNumberFormat="0" applyProtection="0">
      <alignment horizontal="right" vertical="center"/>
    </xf>
    <xf numFmtId="4" fontId="18" fillId="13" borderId="20" applyNumberFormat="0" applyProtection="0">
      <alignment horizontal="right" vertical="center"/>
    </xf>
    <xf numFmtId="4" fontId="18" fillId="14" borderId="20" applyNumberFormat="0" applyProtection="0">
      <alignment horizontal="right" vertical="center"/>
    </xf>
    <xf numFmtId="4" fontId="18" fillId="15" borderId="20" applyNumberFormat="0" applyProtection="0">
      <alignment horizontal="right" vertical="center"/>
    </xf>
    <xf numFmtId="4" fontId="18" fillId="16" borderId="20" applyNumberFormat="0" applyProtection="0">
      <alignment horizontal="right" vertical="center"/>
    </xf>
    <xf numFmtId="4" fontId="18" fillId="17" borderId="20" applyNumberFormat="0" applyProtection="0">
      <alignment horizontal="right" vertical="center"/>
    </xf>
    <xf numFmtId="4" fontId="14" fillId="18" borderId="21" applyNumberFormat="0" applyProtection="0">
      <alignment horizontal="left" vertical="center" indent="1"/>
    </xf>
    <xf numFmtId="4" fontId="18" fillId="19" borderId="0" applyNumberFormat="0" applyProtection="0">
      <alignment horizontal="left" vertical="center" indent="1"/>
    </xf>
    <xf numFmtId="4" fontId="12" fillId="20" borderId="0" applyNumberFormat="0" applyProtection="0">
      <alignment horizontal="left" vertical="center" indent="1"/>
    </xf>
    <xf numFmtId="4" fontId="18" fillId="21" borderId="20" applyNumberFormat="0" applyProtection="0">
      <alignment horizontal="right" vertical="center"/>
    </xf>
    <xf numFmtId="4" fontId="18" fillId="19" borderId="0" applyNumberFormat="0" applyProtection="0">
      <alignment horizontal="left" vertical="center" indent="1"/>
    </xf>
    <xf numFmtId="4" fontId="18" fillId="8" borderId="0" applyNumberFormat="0" applyProtection="0">
      <alignment horizontal="left" vertical="center" indent="1"/>
    </xf>
    <xf numFmtId="0" fontId="5" fillId="20" borderId="20" applyNumberFormat="0" applyProtection="0">
      <alignment horizontal="left" vertical="center" indent="1"/>
    </xf>
    <xf numFmtId="0" fontId="5" fillId="20" borderId="20" applyNumberFormat="0" applyProtection="0">
      <alignment horizontal="left" vertical="top" indent="1"/>
    </xf>
    <xf numFmtId="0" fontId="5" fillId="8" borderId="20" applyNumberFormat="0" applyProtection="0">
      <alignment horizontal="left" vertical="center" indent="1"/>
    </xf>
    <xf numFmtId="0" fontId="5" fillId="8" borderId="20" applyNumberFormat="0" applyProtection="0">
      <alignment horizontal="left" vertical="top" indent="1"/>
    </xf>
    <xf numFmtId="0" fontId="5" fillId="22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top" indent="1"/>
    </xf>
    <xf numFmtId="0" fontId="5" fillId="23" borderId="20" applyNumberFormat="0" applyProtection="0">
      <alignment horizontal="left" vertical="center" indent="1"/>
    </xf>
    <xf numFmtId="0" fontId="5" fillId="23" borderId="20" applyNumberFormat="0" applyProtection="0">
      <alignment horizontal="left" vertical="top" indent="1"/>
    </xf>
    <xf numFmtId="4" fontId="18" fillId="6" borderId="20" applyNumberFormat="0" applyProtection="0">
      <alignment vertical="center"/>
    </xf>
    <xf numFmtId="4" fontId="19" fillId="6" borderId="20" applyNumberFormat="0" applyProtection="0">
      <alignment vertical="center"/>
    </xf>
    <xf numFmtId="4" fontId="18" fillId="6" borderId="20" applyNumberFormat="0" applyProtection="0">
      <alignment horizontal="left" vertical="center" indent="1"/>
    </xf>
    <xf numFmtId="0" fontId="18" fillId="6" borderId="20" applyNumberFormat="0" applyProtection="0">
      <alignment horizontal="left" vertical="top" indent="1"/>
    </xf>
    <xf numFmtId="4" fontId="18" fillId="19" borderId="20" applyNumberFormat="0" applyProtection="0">
      <alignment horizontal="right" vertical="center"/>
    </xf>
    <xf numFmtId="4" fontId="19" fillId="19" borderId="20" applyNumberFormat="0" applyProtection="0">
      <alignment horizontal="right" vertical="center"/>
    </xf>
    <xf numFmtId="4" fontId="20" fillId="24" borderId="19" applyNumberFormat="0" applyProtection="0">
      <alignment horizontal="center" vertical="center" wrapText="1"/>
    </xf>
    <xf numFmtId="0" fontId="18" fillId="8" borderId="20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19" borderId="20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6" fillId="0" borderId="0" applyFill="0">
      <alignment horizontal="center"/>
    </xf>
    <xf numFmtId="0" fontId="24" fillId="0" borderId="0" applyNumberFormat="0" applyFill="0" applyBorder="0" applyAlignment="0"/>
    <xf numFmtId="0" fontId="25" fillId="26" borderId="0" applyFont="0" applyAlignment="0">
      <alignment wrapText="1"/>
    </xf>
    <xf numFmtId="0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1" fontId="4" fillId="0" borderId="0"/>
    <xf numFmtId="167" fontId="4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4" fillId="7" borderId="31" applyNumberFormat="0" applyProtection="0">
      <alignment vertical="center"/>
    </xf>
    <xf numFmtId="4" fontId="17" fillId="3" borderId="31" applyNumberFormat="0" applyProtection="0">
      <alignment vertical="center"/>
    </xf>
    <xf numFmtId="4" fontId="14" fillId="3" borderId="31" applyNumberFormat="0" applyProtection="0">
      <alignment horizontal="left" vertical="center" indent="1"/>
    </xf>
    <xf numFmtId="0" fontId="14" fillId="3" borderId="31" applyNumberFormat="0" applyProtection="0">
      <alignment horizontal="left" vertical="top" indent="1"/>
    </xf>
    <xf numFmtId="4" fontId="18" fillId="9" borderId="31" applyNumberFormat="0" applyProtection="0">
      <alignment horizontal="right" vertical="center"/>
    </xf>
    <xf numFmtId="4" fontId="18" fillId="10" borderId="31" applyNumberFormat="0" applyProtection="0">
      <alignment horizontal="right" vertical="center"/>
    </xf>
    <xf numFmtId="4" fontId="18" fillId="11" borderId="31" applyNumberFormat="0" applyProtection="0">
      <alignment horizontal="right" vertical="center"/>
    </xf>
    <xf numFmtId="4" fontId="18" fillId="12" borderId="31" applyNumberFormat="0" applyProtection="0">
      <alignment horizontal="right" vertical="center"/>
    </xf>
    <xf numFmtId="4" fontId="18" fillId="13" borderId="31" applyNumberFormat="0" applyProtection="0">
      <alignment horizontal="right" vertical="center"/>
    </xf>
    <xf numFmtId="4" fontId="18" fillId="14" borderId="31" applyNumberFormat="0" applyProtection="0">
      <alignment horizontal="right" vertical="center"/>
    </xf>
    <xf numFmtId="4" fontId="18" fillId="15" borderId="31" applyNumberFormat="0" applyProtection="0">
      <alignment horizontal="right" vertical="center"/>
    </xf>
    <xf numFmtId="4" fontId="18" fillId="16" borderId="31" applyNumberFormat="0" applyProtection="0">
      <alignment horizontal="right" vertical="center"/>
    </xf>
    <xf numFmtId="4" fontId="18" fillId="17" borderId="31" applyNumberFormat="0" applyProtection="0">
      <alignment horizontal="right" vertical="center"/>
    </xf>
    <xf numFmtId="4" fontId="18" fillId="21" borderId="31" applyNumberFormat="0" applyProtection="0">
      <alignment horizontal="right" vertical="center"/>
    </xf>
    <xf numFmtId="0" fontId="4" fillId="20" borderId="31" applyNumberFormat="0" applyProtection="0">
      <alignment horizontal="left" vertical="center" indent="1"/>
    </xf>
    <xf numFmtId="0" fontId="4" fillId="20" borderId="31" applyNumberFormat="0" applyProtection="0">
      <alignment horizontal="left" vertical="top" indent="1"/>
    </xf>
    <xf numFmtId="0" fontId="4" fillId="8" borderId="31" applyNumberFormat="0" applyProtection="0">
      <alignment horizontal="left" vertical="center" indent="1"/>
    </xf>
    <xf numFmtId="0" fontId="4" fillId="8" borderId="31" applyNumberFormat="0" applyProtection="0">
      <alignment horizontal="left" vertical="top" indent="1"/>
    </xf>
    <xf numFmtId="0" fontId="4" fillId="22" borderId="31" applyNumberFormat="0" applyProtection="0">
      <alignment horizontal="left" vertical="center" indent="1"/>
    </xf>
    <xf numFmtId="0" fontId="4" fillId="22" borderId="31" applyNumberFormat="0" applyProtection="0">
      <alignment horizontal="left" vertical="top" indent="1"/>
    </xf>
    <xf numFmtId="0" fontId="4" fillId="23" borderId="31" applyNumberFormat="0" applyProtection="0">
      <alignment horizontal="left" vertical="center" indent="1"/>
    </xf>
    <xf numFmtId="0" fontId="4" fillId="23" borderId="31" applyNumberFormat="0" applyProtection="0">
      <alignment horizontal="left" vertical="top" indent="1"/>
    </xf>
    <xf numFmtId="4" fontId="18" fillId="6" borderId="31" applyNumberFormat="0" applyProtection="0">
      <alignment vertical="center"/>
    </xf>
    <xf numFmtId="4" fontId="19" fillId="6" borderId="31" applyNumberFormat="0" applyProtection="0">
      <alignment vertical="center"/>
    </xf>
    <xf numFmtId="4" fontId="18" fillId="6" borderId="31" applyNumberFormat="0" applyProtection="0">
      <alignment horizontal="left" vertical="center" indent="1"/>
    </xf>
    <xf numFmtId="0" fontId="18" fillId="6" borderId="31" applyNumberFormat="0" applyProtection="0">
      <alignment horizontal="left" vertical="top" indent="1"/>
    </xf>
    <xf numFmtId="4" fontId="18" fillId="19" borderId="31" applyNumberFormat="0" applyProtection="0">
      <alignment horizontal="right" vertical="center"/>
    </xf>
    <xf numFmtId="4" fontId="19" fillId="19" borderId="31" applyNumberFormat="0" applyProtection="0">
      <alignment horizontal="right" vertical="center"/>
    </xf>
    <xf numFmtId="0" fontId="18" fillId="8" borderId="31" applyNumberFormat="0" applyProtection="0">
      <alignment horizontal="left" vertical="top" indent="1"/>
    </xf>
    <xf numFmtId="4" fontId="22" fillId="19" borderId="31" applyNumberFormat="0" applyProtection="0">
      <alignment horizontal="right" vertical="center"/>
    </xf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661">
    <xf numFmtId="0" fontId="0" fillId="0" borderId="0" xfId="0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43" fontId="9" fillId="0" borderId="0" xfId="1" applyFont="1"/>
    <xf numFmtId="0" fontId="10" fillId="2" borderId="14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0" fillId="0" borderId="0" xfId="0" applyFont="1" applyFill="1" applyBorder="1"/>
    <xf numFmtId="0" fontId="9" fillId="0" borderId="7" xfId="0" applyFont="1" applyBorder="1"/>
    <xf numFmtId="0" fontId="10" fillId="0" borderId="0" xfId="0" applyFont="1" applyBorder="1"/>
    <xf numFmtId="165" fontId="9" fillId="0" borderId="0" xfId="1" applyNumberFormat="1" applyFont="1" applyFill="1" applyBorder="1"/>
    <xf numFmtId="165" fontId="9" fillId="0" borderId="5" xfId="1" applyNumberFormat="1" applyFont="1" applyFill="1" applyBorder="1"/>
    <xf numFmtId="0" fontId="9" fillId="0" borderId="0" xfId="0" applyFont="1" applyBorder="1"/>
    <xf numFmtId="0" fontId="10" fillId="0" borderId="7" xfId="0" applyFont="1" applyBorder="1"/>
    <xf numFmtId="10" fontId="9" fillId="29" borderId="0" xfId="2" applyNumberFormat="1" applyFont="1" applyFill="1" applyBorder="1"/>
    <xf numFmtId="10" fontId="9" fillId="29" borderId="5" xfId="2" applyNumberFormat="1" applyFont="1" applyFill="1" applyBorder="1"/>
    <xf numFmtId="10" fontId="9" fillId="0" borderId="0" xfId="2" applyNumberFormat="1" applyFont="1" applyFill="1" applyBorder="1"/>
    <xf numFmtId="0" fontId="9" fillId="0" borderId="0" xfId="0" applyFont="1" applyFill="1" applyBorder="1"/>
    <xf numFmtId="43" fontId="9" fillId="0" borderId="0" xfId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/>
    </xf>
    <xf numFmtId="165" fontId="27" fillId="0" borderId="5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/>
    <xf numFmtId="0" fontId="9" fillId="0" borderId="26" xfId="0" applyFont="1" applyBorder="1"/>
    <xf numFmtId="43" fontId="9" fillId="0" borderId="0" xfId="1" applyFont="1" applyBorder="1" applyAlignment="1"/>
    <xf numFmtId="0" fontId="9" fillId="0" borderId="5" xfId="0" applyFont="1" applyBorder="1"/>
    <xf numFmtId="165" fontId="9" fillId="0" borderId="0" xfId="0" applyNumberFormat="1" applyFont="1" applyFill="1" applyBorder="1"/>
    <xf numFmtId="173" fontId="9" fillId="0" borderId="0" xfId="0" applyNumberFormat="1" applyFont="1" applyFill="1" applyBorder="1"/>
    <xf numFmtId="10" fontId="9" fillId="0" borderId="0" xfId="2" applyNumberFormat="1" applyFont="1" applyFill="1"/>
    <xf numFmtId="10" fontId="9" fillId="29" borderId="4" xfId="2" applyNumberFormat="1" applyFont="1" applyFill="1" applyBorder="1"/>
    <xf numFmtId="165" fontId="9" fillId="0" borderId="0" xfId="1" applyNumberFormat="1" applyFont="1" applyFill="1"/>
    <xf numFmtId="165" fontId="9" fillId="0" borderId="0" xfId="1" applyNumberFormat="1" applyFont="1" applyFill="1" applyBorder="1" applyAlignment="1"/>
    <xf numFmtId="165" fontId="9" fillId="0" borderId="7" xfId="1" applyNumberFormat="1" applyFont="1" applyFill="1" applyBorder="1"/>
    <xf numFmtId="165" fontId="9" fillId="0" borderId="7" xfId="1" applyNumberFormat="1" applyFont="1" applyFill="1" applyBorder="1" applyAlignment="1">
      <alignment horizontal="right"/>
    </xf>
    <xf numFmtId="165" fontId="9" fillId="0" borderId="0" xfId="1" applyNumberFormat="1" applyFont="1" applyAlignment="1">
      <alignment horizontal="center"/>
    </xf>
    <xf numFmtId="165" fontId="9" fillId="0" borderId="0" xfId="1" applyNumberFormat="1" applyFont="1"/>
    <xf numFmtId="173" fontId="9" fillId="0" borderId="0" xfId="0" quotePrefix="1" applyNumberFormat="1" applyFont="1" applyFill="1" applyBorder="1"/>
    <xf numFmtId="0" fontId="26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5" xfId="0" applyNumberFormat="1" applyFont="1" applyFill="1" applyBorder="1" applyAlignment="1">
      <alignment horizontal="right" vertical="center"/>
    </xf>
    <xf numFmtId="0" fontId="26" fillId="0" borderId="26" xfId="0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0" fontId="9" fillId="29" borderId="26" xfId="2" applyNumberFormat="1" applyFont="1" applyFill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right" vertical="center"/>
    </xf>
    <xf numFmtId="164" fontId="9" fillId="0" borderId="7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29" xfId="0" applyBorder="1"/>
    <xf numFmtId="0" fontId="0" fillId="0" borderId="15" xfId="0" applyBorder="1"/>
    <xf numFmtId="0" fontId="0" fillId="0" borderId="30" xfId="0" applyBorder="1"/>
    <xf numFmtId="0" fontId="6" fillId="0" borderId="0" xfId="0" applyFont="1" applyBorder="1"/>
    <xf numFmtId="0" fontId="6" fillId="0" borderId="6" xfId="0" applyFont="1" applyBorder="1"/>
    <xf numFmtId="164" fontId="10" fillId="0" borderId="0" xfId="0" applyNumberFormat="1" applyFont="1" applyFill="1" applyBorder="1" applyAlignment="1">
      <alignment horizontal="right" vertical="center"/>
    </xf>
    <xf numFmtId="10" fontId="10" fillId="28" borderId="26" xfId="2" applyNumberFormat="1" applyFont="1" applyFill="1" applyBorder="1"/>
    <xf numFmtId="10" fontId="10" fillId="29" borderId="4" xfId="2" applyNumberFormat="1" applyFont="1" applyFill="1" applyBorder="1"/>
    <xf numFmtId="10" fontId="10" fillId="28" borderId="9" xfId="2" applyNumberFormat="1" applyFont="1" applyFill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Font="1" applyFill="1" applyBorder="1"/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7" fillId="0" borderId="7" xfId="0" applyFont="1" applyFill="1" applyBorder="1"/>
    <xf numFmtId="0" fontId="7" fillId="0" borderId="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2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7" xfId="0" applyFont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65" fontId="7" fillId="0" borderId="0" xfId="1" applyNumberFormat="1" applyFont="1" applyFill="1" applyBorder="1"/>
    <xf numFmtId="165" fontId="7" fillId="0" borderId="5" xfId="1" applyNumberFormat="1" applyFont="1" applyFill="1" applyBorder="1"/>
    <xf numFmtId="0" fontId="7" fillId="0" borderId="0" xfId="0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165" fontId="7" fillId="0" borderId="7" xfId="1" applyNumberFormat="1" applyFont="1" applyFill="1" applyBorder="1"/>
    <xf numFmtId="0" fontId="10" fillId="0" borderId="26" xfId="0" applyFont="1" applyBorder="1"/>
    <xf numFmtId="10" fontId="10" fillId="29" borderId="26" xfId="2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3" fontId="9" fillId="0" borderId="0" xfId="1" applyNumberFormat="1" applyFont="1" applyFill="1" applyBorder="1"/>
    <xf numFmtId="43" fontId="9" fillId="0" borderId="5" xfId="1" applyFont="1" applyBorder="1"/>
    <xf numFmtId="164" fontId="9" fillId="0" borderId="0" xfId="0" applyNumberFormat="1" applyFont="1" applyBorder="1"/>
    <xf numFmtId="165" fontId="9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Border="1"/>
    <xf numFmtId="0" fontId="4" fillId="28" borderId="0" xfId="0" applyFont="1" applyFill="1" applyBorder="1"/>
    <xf numFmtId="0" fontId="4" fillId="29" borderId="0" xfId="0" applyFont="1" applyFill="1" applyBorder="1"/>
    <xf numFmtId="43" fontId="9" fillId="28" borderId="7" xfId="1" applyNumberFormat="1" applyFont="1" applyFill="1" applyBorder="1"/>
    <xf numFmtId="43" fontId="9" fillId="29" borderId="5" xfId="1" applyNumberFormat="1" applyFont="1" applyFill="1" applyBorder="1"/>
    <xf numFmtId="43" fontId="9" fillId="29" borderId="0" xfId="1" applyNumberFormat="1" applyFont="1" applyFill="1" applyBorder="1"/>
    <xf numFmtId="43" fontId="10" fillId="28" borderId="9" xfId="1" applyNumberFormat="1" applyFont="1" applyFill="1" applyBorder="1"/>
    <xf numFmtId="43" fontId="10" fillId="29" borderId="4" xfId="1" applyNumberFormat="1" applyFont="1" applyFill="1" applyBorder="1"/>
    <xf numFmtId="43" fontId="10" fillId="29" borderId="26" xfId="1" applyNumberFormat="1" applyFont="1" applyFill="1" applyBorder="1"/>
    <xf numFmtId="43" fontId="9" fillId="0" borderId="0" xfId="0" applyNumberFormat="1" applyFont="1" applyFill="1" applyBorder="1"/>
    <xf numFmtId="43" fontId="9" fillId="0" borderId="7" xfId="1" applyNumberFormat="1" applyFont="1" applyFill="1" applyBorder="1"/>
    <xf numFmtId="43" fontId="9" fillId="0" borderId="5" xfId="1" applyNumberFormat="1" applyFont="1" applyFill="1" applyBorder="1"/>
    <xf numFmtId="43" fontId="27" fillId="0" borderId="0" xfId="1" applyNumberFormat="1" applyFont="1" applyFill="1" applyBorder="1" applyAlignment="1"/>
    <xf numFmtId="43" fontId="9" fillId="28" borderId="9" xfId="1" applyNumberFormat="1" applyFont="1" applyFill="1" applyBorder="1"/>
    <xf numFmtId="43" fontId="9" fillId="29" borderId="4" xfId="1" applyNumberFormat="1" applyFont="1" applyFill="1" applyBorder="1"/>
    <xf numFmtId="39" fontId="7" fillId="0" borderId="0" xfId="0" applyNumberFormat="1" applyFont="1" applyFill="1" applyBorder="1" applyAlignment="1">
      <alignment horizontal="right" vertical="center"/>
    </xf>
    <xf numFmtId="43" fontId="7" fillId="0" borderId="0" xfId="1" applyNumberFormat="1" applyFont="1" applyFill="1" applyBorder="1"/>
    <xf numFmtId="43" fontId="7" fillId="0" borderId="5" xfId="1" applyNumberFormat="1" applyFont="1" applyFill="1" applyBorder="1"/>
    <xf numFmtId="10" fontId="7" fillId="28" borderId="7" xfId="2" applyNumberFormat="1" applyFont="1" applyFill="1" applyBorder="1"/>
    <xf numFmtId="10" fontId="7" fillId="29" borderId="0" xfId="2" applyNumberFormat="1" applyFont="1" applyFill="1" applyBorder="1"/>
    <xf numFmtId="10" fontId="7" fillId="29" borderId="5" xfId="2" applyNumberFormat="1" applyFont="1" applyFill="1" applyBorder="1"/>
    <xf numFmtId="0" fontId="10" fillId="0" borderId="7" xfId="0" applyFont="1" applyBorder="1" applyAlignment="1">
      <alignment vertical="center"/>
    </xf>
    <xf numFmtId="39" fontId="9" fillId="0" borderId="0" xfId="0" applyNumberFormat="1" applyFont="1"/>
    <xf numFmtId="0" fontId="9" fillId="0" borderId="7" xfId="0" applyFont="1" applyBorder="1" applyAlignment="1"/>
    <xf numFmtId="0" fontId="10" fillId="0" borderId="7" xfId="0" applyFont="1" applyBorder="1" applyAlignment="1"/>
    <xf numFmtId="0" fontId="7" fillId="0" borderId="0" xfId="0" applyFont="1" applyFill="1" applyBorder="1" applyAlignment="1">
      <alignment vertical="center" wrapText="1"/>
    </xf>
    <xf numFmtId="10" fontId="9" fillId="29" borderId="3" xfId="2" applyNumberFormat="1" applyFont="1" applyFill="1" applyBorder="1"/>
    <xf numFmtId="43" fontId="9" fillId="28" borderId="14" xfId="1" applyNumberFormat="1" applyFont="1" applyFill="1" applyBorder="1"/>
    <xf numFmtId="43" fontId="9" fillId="29" borderId="3" xfId="1" applyNumberFormat="1" applyFont="1" applyFill="1" applyBorder="1"/>
    <xf numFmtId="43" fontId="9" fillId="29" borderId="25" xfId="1" applyNumberFormat="1" applyFont="1" applyFill="1" applyBorder="1"/>
    <xf numFmtId="43" fontId="10" fillId="28" borderId="27" xfId="1" applyNumberFormat="1" applyFont="1" applyFill="1" applyBorder="1"/>
    <xf numFmtId="43" fontId="10" fillId="29" borderId="28" xfId="1" applyNumberFormat="1" applyFont="1" applyFill="1" applyBorder="1"/>
    <xf numFmtId="43" fontId="10" fillId="29" borderId="18" xfId="1" applyNumberFormat="1" applyFont="1" applyFill="1" applyBorder="1"/>
    <xf numFmtId="0" fontId="7" fillId="0" borderId="26" xfId="0" applyFont="1" applyBorder="1"/>
    <xf numFmtId="43" fontId="9" fillId="29" borderId="18" xfId="1" applyNumberFormat="1" applyFont="1" applyFill="1" applyBorder="1"/>
    <xf numFmtId="39" fontId="10" fillId="28" borderId="27" xfId="0" applyNumberFormat="1" applyFont="1" applyFill="1" applyBorder="1" applyAlignment="1">
      <alignment horizontal="right" vertical="center"/>
    </xf>
    <xf numFmtId="39" fontId="10" fillId="29" borderId="28" xfId="0" applyNumberFormat="1" applyFont="1" applyFill="1" applyBorder="1" applyAlignment="1">
      <alignment horizontal="right" vertical="center"/>
    </xf>
    <xf numFmtId="43" fontId="7" fillId="28" borderId="14" xfId="1" applyNumberFormat="1" applyFont="1" applyFill="1" applyBorder="1"/>
    <xf numFmtId="43" fontId="7" fillId="29" borderId="3" xfId="1" applyNumberFormat="1" applyFont="1" applyFill="1" applyBorder="1"/>
    <xf numFmtId="39" fontId="7" fillId="0" borderId="0" xfId="0" applyNumberFormat="1" applyFont="1"/>
    <xf numFmtId="10" fontId="9" fillId="0" borderId="0" xfId="2" applyNumberFormat="1" applyFont="1"/>
    <xf numFmtId="176" fontId="9" fillId="0" borderId="0" xfId="0" applyNumberFormat="1" applyFont="1"/>
    <xf numFmtId="0" fontId="10" fillId="2" borderId="3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10" fontId="7" fillId="0" borderId="0" xfId="1" applyNumberFormat="1" applyFont="1" applyFill="1" applyBorder="1"/>
    <xf numFmtId="10" fontId="7" fillId="0" borderId="0" xfId="2" applyNumberFormat="1" applyFont="1" applyFill="1" applyBorder="1"/>
    <xf numFmtId="10" fontId="7" fillId="29" borderId="5" xfId="1" applyNumberFormat="1" applyFont="1" applyFill="1" applyBorder="1"/>
    <xf numFmtId="10" fontId="7" fillId="29" borderId="3" xfId="1" applyNumberFormat="1" applyFont="1" applyFill="1" applyBorder="1"/>
    <xf numFmtId="43" fontId="7" fillId="0" borderId="25" xfId="1" applyNumberFormat="1" applyFont="1" applyFill="1" applyBorder="1" applyAlignment="1">
      <alignment horizontal="center"/>
    </xf>
    <xf numFmtId="43" fontId="7" fillId="0" borderId="0" xfId="1" applyNumberFormat="1" applyFont="1" applyFill="1" applyBorder="1" applyAlignment="1">
      <alignment horizontal="center"/>
    </xf>
    <xf numFmtId="39" fontId="7" fillId="0" borderId="0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37" fillId="0" borderId="0" xfId="0" applyFont="1"/>
    <xf numFmtId="39" fontId="7" fillId="0" borderId="5" xfId="0" applyNumberFormat="1" applyFont="1" applyFill="1" applyBorder="1" applyAlignment="1">
      <alignment horizontal="right" vertical="center"/>
    </xf>
    <xf numFmtId="43" fontId="7" fillId="0" borderId="26" xfId="1" applyNumberFormat="1" applyFont="1" applyFill="1" applyBorder="1" applyAlignment="1">
      <alignment horizontal="center"/>
    </xf>
    <xf numFmtId="165" fontId="9" fillId="0" borderId="0" xfId="1" applyNumberFormat="1" applyFont="1" applyBorder="1"/>
    <xf numFmtId="0" fontId="10" fillId="0" borderId="10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9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 applyProtection="1"/>
    <xf numFmtId="0" fontId="28" fillId="0" borderId="0" xfId="0" applyFont="1" applyFill="1" applyBorder="1" applyAlignment="1">
      <alignment vertical="center"/>
    </xf>
    <xf numFmtId="10" fontId="9" fillId="28" borderId="0" xfId="2" applyNumberFormat="1" applyFont="1" applyFill="1" applyBorder="1"/>
    <xf numFmtId="10" fontId="9" fillId="28" borderId="15" xfId="2" applyNumberFormat="1" applyFont="1" applyFill="1" applyBorder="1"/>
    <xf numFmtId="10" fontId="9" fillId="29" borderId="23" xfId="2" applyNumberFormat="1" applyFont="1" applyFill="1" applyBorder="1"/>
    <xf numFmtId="0" fontId="0" fillId="0" borderId="5" xfId="0" applyFill="1" applyBorder="1"/>
    <xf numFmtId="0" fontId="0" fillId="0" borderId="7" xfId="0" applyFill="1" applyBorder="1"/>
    <xf numFmtId="0" fontId="7" fillId="0" borderId="9" xfId="0" applyFont="1" applyFill="1" applyBorder="1" applyAlignment="1">
      <alignment horizontal="center"/>
    </xf>
    <xf numFmtId="0" fontId="10" fillId="0" borderId="26" xfId="0" applyFont="1" applyFill="1" applyBorder="1"/>
    <xf numFmtId="0" fontId="34" fillId="0" borderId="0" xfId="0" applyFont="1" applyBorder="1" applyAlignment="1">
      <alignment vertical="center"/>
    </xf>
    <xf numFmtId="10" fontId="9" fillId="28" borderId="25" xfId="2" applyNumberFormat="1" applyFont="1" applyFill="1" applyBorder="1"/>
    <xf numFmtId="0" fontId="39" fillId="0" borderId="0" xfId="0" applyFont="1" applyFill="1" applyBorder="1"/>
    <xf numFmtId="0" fontId="40" fillId="0" borderId="0" xfId="0" applyFont="1"/>
    <xf numFmtId="0" fontId="4" fillId="0" borderId="0" xfId="0" applyFont="1" applyAlignment="1">
      <alignment horizontal="center"/>
    </xf>
    <xf numFmtId="0" fontId="41" fillId="0" borderId="0" xfId="0" applyFont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43" fontId="7" fillId="0" borderId="7" xfId="1" applyNumberFormat="1" applyFont="1" applyFill="1" applyBorder="1"/>
    <xf numFmtId="43" fontId="7" fillId="28" borderId="9" xfId="1" applyNumberFormat="1" applyFont="1" applyFill="1" applyBorder="1"/>
    <xf numFmtId="43" fontId="7" fillId="29" borderId="4" xfId="1" applyNumberFormat="1" applyFont="1" applyFill="1" applyBorder="1"/>
    <xf numFmtId="43" fontId="7" fillId="29" borderId="26" xfId="1" applyNumberFormat="1" applyFont="1" applyFill="1" applyBorder="1" applyAlignment="1">
      <alignment horizontal="center"/>
    </xf>
    <xf numFmtId="43" fontId="7" fillId="29" borderId="25" xfId="1" applyNumberFormat="1" applyFont="1" applyFill="1" applyBorder="1" applyAlignment="1">
      <alignment horizontal="center"/>
    </xf>
    <xf numFmtId="39" fontId="10" fillId="0" borderId="0" xfId="0" applyNumberFormat="1" applyFont="1" applyFill="1" applyBorder="1" applyAlignment="1">
      <alignment horizontal="right" vertical="center"/>
    </xf>
    <xf numFmtId="39" fontId="7" fillId="0" borderId="27" xfId="0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horizontal="center"/>
    </xf>
    <xf numFmtId="39" fontId="7" fillId="0" borderId="28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9" fontId="0" fillId="0" borderId="5" xfId="0" applyNumberFormat="1" applyBorder="1"/>
    <xf numFmtId="0" fontId="39" fillId="0" borderId="0" xfId="0" applyFont="1"/>
    <xf numFmtId="39" fontId="0" fillId="0" borderId="7" xfId="0" applyNumberFormat="1" applyBorder="1"/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 applyProtection="1"/>
    <xf numFmtId="0" fontId="7" fillId="0" borderId="0" xfId="0" applyFont="1" applyBorder="1" applyAlignment="1" applyProtection="1"/>
    <xf numFmtId="10" fontId="7" fillId="0" borderId="5" xfId="2" applyNumberFormat="1" applyFont="1" applyFill="1" applyBorder="1"/>
    <xf numFmtId="0" fontId="10" fillId="0" borderId="26" xfId="0" applyFont="1" applyBorder="1" applyAlignment="1" applyProtection="1"/>
    <xf numFmtId="10" fontId="7" fillId="0" borderId="5" xfId="1" applyNumberFormat="1" applyFont="1" applyFill="1" applyBorder="1"/>
    <xf numFmtId="0" fontId="42" fillId="0" borderId="0" xfId="0" applyFont="1" applyAlignment="1">
      <alignment horizontal="left" vertical="center"/>
    </xf>
    <xf numFmtId="43" fontId="10" fillId="0" borderId="0" xfId="1" applyNumberFormat="1" applyFont="1" applyFill="1" applyBorder="1"/>
    <xf numFmtId="43" fontId="7" fillId="0" borderId="4" xfId="1" applyNumberFormat="1" applyFont="1" applyFill="1" applyBorder="1" applyAlignment="1">
      <alignment horizontal="center"/>
    </xf>
    <xf numFmtId="43" fontId="0" fillId="0" borderId="0" xfId="0" applyNumberFormat="1"/>
    <xf numFmtId="0" fontId="12" fillId="2" borderId="2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39" fontId="0" fillId="0" borderId="0" xfId="0" applyNumberFormat="1"/>
    <xf numFmtId="43" fontId="7" fillId="0" borderId="0" xfId="1" applyNumberFormat="1" applyFont="1" applyFill="1" applyBorder="1" applyAlignment="1">
      <alignment horizontal="right"/>
    </xf>
    <xf numFmtId="175" fontId="7" fillId="0" borderId="0" xfId="1" applyNumberFormat="1" applyFont="1" applyFill="1" applyBorder="1" applyAlignment="1">
      <alignment horizontal="right"/>
    </xf>
    <xf numFmtId="10" fontId="7" fillId="0" borderId="0" xfId="2" applyNumberFormat="1" applyFont="1" applyFill="1" applyBorder="1" applyAlignment="1">
      <alignment horizontal="right"/>
    </xf>
    <xf numFmtId="177" fontId="8" fillId="0" borderId="0" xfId="2" applyNumberFormat="1" applyFont="1" applyAlignment="1">
      <alignment horizontal="left" vertical="center"/>
    </xf>
    <xf numFmtId="43" fontId="7" fillId="0" borderId="9" xfId="1" applyNumberFormat="1" applyFont="1" applyFill="1" applyBorder="1" applyAlignment="1">
      <alignment horizontal="center"/>
    </xf>
    <xf numFmtId="43" fontId="7" fillId="0" borderId="7" xfId="1" applyNumberFormat="1" applyFont="1" applyFill="1" applyBorder="1" applyAlignment="1">
      <alignment horizontal="center"/>
    </xf>
    <xf numFmtId="43" fontId="7" fillId="0" borderId="5" xfId="1" applyNumberFormat="1" applyFont="1" applyFill="1" applyBorder="1" applyAlignment="1">
      <alignment horizontal="center"/>
    </xf>
    <xf numFmtId="10" fontId="7" fillId="29" borderId="23" xfId="1" applyNumberFormat="1" applyFont="1" applyFill="1" applyBorder="1"/>
    <xf numFmtId="10" fontId="7" fillId="29" borderId="25" xfId="2" applyNumberFormat="1" applyFont="1" applyFill="1" applyBorder="1" applyAlignment="1">
      <alignment horizontal="center"/>
    </xf>
    <xf numFmtId="10" fontId="7" fillId="29" borderId="0" xfId="2" applyNumberFormat="1" applyFont="1" applyFill="1" applyBorder="1" applyAlignment="1">
      <alignment horizontal="center"/>
    </xf>
    <xf numFmtId="10" fontId="7" fillId="29" borderId="15" xfId="2" applyNumberFormat="1" applyFont="1" applyFill="1" applyBorder="1" applyAlignment="1">
      <alignment horizontal="center"/>
    </xf>
    <xf numFmtId="10" fontId="7" fillId="29" borderId="26" xfId="2" applyNumberFormat="1" applyFont="1" applyFill="1" applyBorder="1" applyAlignment="1">
      <alignment horizontal="center"/>
    </xf>
    <xf numFmtId="0" fontId="11" fillId="31" borderId="0" xfId="0" applyFont="1" applyFill="1" applyBorder="1"/>
    <xf numFmtId="178" fontId="9" fillId="0" borderId="0" xfId="0" applyNumberFormat="1" applyFont="1" applyFill="1" applyBorder="1"/>
    <xf numFmtId="0" fontId="10" fillId="0" borderId="14" xfId="0" applyFont="1" applyFill="1" applyBorder="1"/>
    <xf numFmtId="0" fontId="46" fillId="0" borderId="0" xfId="144" applyFont="1" applyBorder="1" applyAlignment="1" applyProtection="1">
      <alignment horizontal="left"/>
    </xf>
    <xf numFmtId="0" fontId="46" fillId="0" borderId="15" xfId="144" applyFont="1" applyBorder="1" applyAlignment="1" applyProtection="1">
      <alignment horizontal="left"/>
    </xf>
    <xf numFmtId="43" fontId="10" fillId="28" borderId="14" xfId="1" applyNumberFormat="1" applyFont="1" applyFill="1" applyBorder="1"/>
    <xf numFmtId="43" fontId="10" fillId="29" borderId="25" xfId="1" applyNumberFormat="1" applyFont="1" applyFill="1" applyBorder="1"/>
    <xf numFmtId="43" fontId="10" fillId="29" borderId="3" xfId="1" applyNumberFormat="1" applyFont="1" applyFill="1" applyBorder="1"/>
    <xf numFmtId="43" fontId="9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6" xfId="0" applyBorder="1"/>
    <xf numFmtId="0" fontId="39" fillId="0" borderId="0" xfId="0" applyFont="1" applyFill="1" applyBorder="1" applyAlignment="1"/>
    <xf numFmtId="0" fontId="0" fillId="0" borderId="0" xfId="0" applyProtection="1"/>
    <xf numFmtId="0" fontId="0" fillId="0" borderId="8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35" fillId="0" borderId="0" xfId="0" applyFont="1" applyBorder="1" applyAlignment="1" applyProtection="1">
      <alignment horizontal="left"/>
    </xf>
    <xf numFmtId="0" fontId="47" fillId="0" borderId="0" xfId="0" applyFont="1" applyBorder="1" applyAlignment="1" applyProtection="1">
      <alignment horizontal="left"/>
    </xf>
    <xf numFmtId="0" fontId="30" fillId="0" borderId="0" xfId="0" applyFont="1" applyBorder="1" applyAlignment="1" applyProtection="1"/>
    <xf numFmtId="0" fontId="30" fillId="0" borderId="0" xfId="0" applyFont="1" applyBorder="1" applyAlignment="1" applyProtection="1">
      <alignment horizontal="left"/>
    </xf>
    <xf numFmtId="0" fontId="0" fillId="0" borderId="29" xfId="0" applyBorder="1" applyProtection="1"/>
    <xf numFmtId="0" fontId="0" fillId="0" borderId="15" xfId="0" applyBorder="1" applyProtection="1"/>
    <xf numFmtId="0" fontId="0" fillId="0" borderId="30" xfId="0" applyBorder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6" fillId="0" borderId="8" xfId="0" applyFont="1" applyBorder="1" applyProtection="1"/>
    <xf numFmtId="0" fontId="6" fillId="0" borderId="0" xfId="0" applyFont="1" applyBorder="1" applyProtection="1"/>
    <xf numFmtId="0" fontId="6" fillId="0" borderId="6" xfId="0" applyFont="1" applyBorder="1" applyProtection="1"/>
    <xf numFmtId="0" fontId="4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8" fillId="0" borderId="15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0" fillId="0" borderId="0" xfId="0" applyFont="1" applyBorder="1" applyProtection="1"/>
    <xf numFmtId="10" fontId="10" fillId="29" borderId="4" xfId="1" applyNumberFormat="1" applyFont="1" applyFill="1" applyBorder="1"/>
    <xf numFmtId="0" fontId="4" fillId="0" borderId="7" xfId="0" applyFont="1" applyBorder="1"/>
    <xf numFmtId="2" fontId="0" fillId="0" borderId="0" xfId="0" applyNumberFormat="1" applyBorder="1"/>
    <xf numFmtId="179" fontId="9" fillId="28" borderId="25" xfId="1" applyNumberFormat="1" applyFont="1" applyFill="1" applyBorder="1"/>
    <xf numFmtId="179" fontId="9" fillId="29" borderId="3" xfId="1" applyNumberFormat="1" applyFont="1" applyFill="1" applyBorder="1"/>
    <xf numFmtId="179" fontId="9" fillId="28" borderId="0" xfId="1" applyNumberFormat="1" applyFont="1" applyFill="1" applyBorder="1"/>
    <xf numFmtId="179" fontId="9" fillId="29" borderId="5" xfId="1" applyNumberFormat="1" applyFont="1" applyFill="1" applyBorder="1"/>
    <xf numFmtId="179" fontId="9" fillId="28" borderId="15" xfId="1" applyNumberFormat="1" applyFont="1" applyFill="1" applyBorder="1"/>
    <xf numFmtId="179" fontId="9" fillId="29" borderId="23" xfId="1" applyNumberFormat="1" applyFont="1" applyFill="1" applyBorder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applyBorder="1"/>
    <xf numFmtId="0" fontId="0" fillId="0" borderId="39" xfId="0" applyBorder="1"/>
    <xf numFmtId="0" fontId="0" fillId="0" borderId="40" xfId="0" applyBorder="1"/>
    <xf numFmtId="43" fontId="9" fillId="0" borderId="0" xfId="1" applyNumberFormat="1" applyFont="1" applyFill="1" applyBorder="1" applyAlignment="1"/>
    <xf numFmtId="0" fontId="10" fillId="0" borderId="0" xfId="0" applyFont="1" applyBorder="1" applyAlignment="1">
      <alignment vertical="center" wrapText="1"/>
    </xf>
    <xf numFmtId="165" fontId="7" fillId="28" borderId="14" xfId="1" applyNumberFormat="1" applyFont="1" applyFill="1" applyBorder="1" applyAlignment="1">
      <alignment horizontal="center"/>
    </xf>
    <xf numFmtId="165" fontId="7" fillId="29" borderId="3" xfId="1" applyNumberFormat="1" applyFont="1" applyFill="1" applyBorder="1" applyAlignment="1">
      <alignment horizontal="center"/>
    </xf>
    <xf numFmtId="165" fontId="7" fillId="28" borderId="7" xfId="1" applyNumberFormat="1" applyFont="1" applyFill="1" applyBorder="1" applyAlignment="1">
      <alignment horizontal="center"/>
    </xf>
    <xf numFmtId="165" fontId="7" fillId="29" borderId="5" xfId="1" applyNumberFormat="1" applyFont="1" applyFill="1" applyBorder="1" applyAlignment="1">
      <alignment horizontal="center"/>
    </xf>
    <xf numFmtId="165" fontId="7" fillId="28" borderId="24" xfId="1" applyNumberFormat="1" applyFont="1" applyFill="1" applyBorder="1" applyAlignment="1">
      <alignment horizontal="center"/>
    </xf>
    <xf numFmtId="165" fontId="7" fillId="29" borderId="23" xfId="1" applyNumberFormat="1" applyFont="1" applyFill="1" applyBorder="1" applyAlignment="1">
      <alignment horizontal="center"/>
    </xf>
    <xf numFmtId="165" fontId="7" fillId="28" borderId="9" xfId="1" applyNumberFormat="1" applyFont="1" applyFill="1" applyBorder="1" applyAlignment="1">
      <alignment horizontal="center"/>
    </xf>
    <xf numFmtId="165" fontId="7" fillId="29" borderId="26" xfId="1" applyNumberFormat="1" applyFont="1" applyFill="1" applyBorder="1" applyAlignment="1">
      <alignment horizontal="center"/>
    </xf>
    <xf numFmtId="165" fontId="7" fillId="29" borderId="4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165" fontId="9" fillId="28" borderId="14" xfId="1" applyNumberFormat="1" applyFont="1" applyFill="1" applyBorder="1"/>
    <xf numFmtId="165" fontId="9" fillId="29" borderId="3" xfId="1" applyNumberFormat="1" applyFont="1" applyFill="1" applyBorder="1"/>
    <xf numFmtId="165" fontId="7" fillId="29" borderId="3" xfId="2" applyNumberFormat="1" applyFont="1" applyFill="1" applyBorder="1"/>
    <xf numFmtId="165" fontId="7" fillId="29" borderId="4" xfId="1" applyNumberFormat="1" applyFont="1" applyFill="1" applyBorder="1"/>
    <xf numFmtId="165" fontId="7" fillId="29" borderId="4" xfId="2" applyNumberFormat="1" applyFont="1" applyFill="1" applyBorder="1"/>
    <xf numFmtId="165" fontId="9" fillId="29" borderId="25" xfId="2" applyNumberFormat="1" applyFont="1" applyFill="1" applyBorder="1"/>
    <xf numFmtId="165" fontId="9" fillId="28" borderId="7" xfId="1" applyNumberFormat="1" applyFont="1" applyFill="1" applyBorder="1"/>
    <xf numFmtId="165" fontId="7" fillId="29" borderId="5" xfId="1" applyNumberFormat="1" applyFont="1" applyFill="1" applyBorder="1"/>
    <xf numFmtId="165" fontId="7" fillId="29" borderId="5" xfId="2" applyNumberFormat="1" applyFont="1" applyFill="1" applyBorder="1"/>
    <xf numFmtId="165" fontId="9" fillId="29" borderId="0" xfId="2" applyNumberFormat="1" applyFont="1" applyFill="1" applyBorder="1"/>
    <xf numFmtId="165" fontId="9" fillId="29" borderId="5" xfId="1" applyNumberFormat="1" applyFont="1" applyFill="1" applyBorder="1"/>
    <xf numFmtId="165" fontId="9" fillId="28" borderId="24" xfId="1" applyNumberFormat="1" applyFont="1" applyFill="1" applyBorder="1"/>
    <xf numFmtId="165" fontId="7" fillId="29" borderId="23" xfId="1" applyNumberFormat="1" applyFont="1" applyFill="1" applyBorder="1"/>
    <xf numFmtId="165" fontId="7" fillId="29" borderId="23" xfId="2" applyNumberFormat="1" applyFont="1" applyFill="1" applyBorder="1"/>
    <xf numFmtId="165" fontId="10" fillId="28" borderId="9" xfId="1" applyNumberFormat="1" applyFont="1" applyFill="1" applyBorder="1"/>
    <xf numFmtId="165" fontId="10" fillId="29" borderId="26" xfId="2" applyNumberFormat="1" applyFont="1" applyFill="1" applyBorder="1"/>
    <xf numFmtId="165" fontId="10" fillId="29" borderId="4" xfId="1" applyNumberFormat="1" applyFont="1" applyFill="1" applyBorder="1"/>
    <xf numFmtId="165" fontId="9" fillId="29" borderId="23" xfId="1" applyNumberFormat="1" applyFont="1" applyFill="1" applyBorder="1"/>
    <xf numFmtId="180" fontId="9" fillId="29" borderId="3" xfId="1" applyNumberFormat="1" applyFont="1" applyFill="1" applyBorder="1"/>
    <xf numFmtId="180" fontId="9" fillId="29" borderId="26" xfId="2" applyNumberFormat="1" applyFont="1" applyFill="1" applyBorder="1"/>
    <xf numFmtId="165" fontId="9" fillId="29" borderId="0" xfId="1" applyNumberFormat="1" applyFont="1" applyFill="1" applyBorder="1"/>
    <xf numFmtId="165" fontId="9" fillId="29" borderId="4" xfId="1" applyNumberFormat="1" applyFont="1" applyFill="1" applyBorder="1"/>
    <xf numFmtId="165" fontId="9" fillId="29" borderId="25" xfId="1" applyNumberFormat="1" applyFont="1" applyFill="1" applyBorder="1"/>
    <xf numFmtId="165" fontId="7" fillId="28" borderId="14" xfId="0" applyNumberFormat="1" applyFont="1" applyFill="1" applyBorder="1"/>
    <xf numFmtId="165" fontId="9" fillId="29" borderId="25" xfId="0" applyNumberFormat="1" applyFont="1" applyFill="1" applyBorder="1"/>
    <xf numFmtId="165" fontId="9" fillId="29" borderId="3" xfId="0" applyNumberFormat="1" applyFont="1" applyFill="1" applyBorder="1"/>
    <xf numFmtId="165" fontId="7" fillId="28" borderId="7" xfId="0" applyNumberFormat="1" applyFont="1" applyFill="1" applyBorder="1"/>
    <xf numFmtId="165" fontId="9" fillId="29" borderId="0" xfId="0" applyNumberFormat="1" applyFont="1" applyFill="1" applyBorder="1"/>
    <xf numFmtId="165" fontId="9" fillId="29" borderId="5" xfId="0" applyNumberFormat="1" applyFont="1" applyFill="1" applyBorder="1"/>
    <xf numFmtId="165" fontId="9" fillId="0" borderId="15" xfId="1" applyNumberFormat="1" applyFont="1" applyFill="1" applyBorder="1" applyAlignment="1">
      <alignment horizontal="center"/>
    </xf>
    <xf numFmtId="165" fontId="9" fillId="0" borderId="23" xfId="1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165" fontId="10" fillId="28" borderId="9" xfId="1" applyNumberFormat="1" applyFont="1" applyFill="1" applyBorder="1" applyAlignment="1">
      <alignment horizontal="right"/>
    </xf>
    <xf numFmtId="165" fontId="10" fillId="29" borderId="26" xfId="1" applyNumberFormat="1" applyFont="1" applyFill="1" applyBorder="1" applyAlignment="1">
      <alignment horizontal="right"/>
    </xf>
    <xf numFmtId="165" fontId="10" fillId="29" borderId="4" xfId="1" applyNumberFormat="1" applyFont="1" applyFill="1" applyBorder="1" applyAlignment="1">
      <alignment horizontal="right"/>
    </xf>
    <xf numFmtId="165" fontId="9" fillId="0" borderId="5" xfId="0" applyNumberFormat="1" applyFont="1" applyFill="1" applyBorder="1"/>
    <xf numFmtId="165" fontId="7" fillId="0" borderId="7" xfId="0" applyNumberFormat="1" applyFont="1" applyFill="1" applyBorder="1"/>
    <xf numFmtId="165" fontId="9" fillId="0" borderId="7" xfId="0" applyNumberFormat="1" applyFont="1" applyFill="1" applyBorder="1"/>
    <xf numFmtId="165" fontId="9" fillId="29" borderId="15" xfId="1" applyNumberFormat="1" applyFont="1" applyFill="1" applyBorder="1"/>
    <xf numFmtId="165" fontId="7" fillId="28" borderId="24" xfId="0" applyNumberFormat="1" applyFont="1" applyFill="1" applyBorder="1"/>
    <xf numFmtId="165" fontId="9" fillId="29" borderId="15" xfId="0" applyNumberFormat="1" applyFont="1" applyFill="1" applyBorder="1"/>
    <xf numFmtId="165" fontId="9" fillId="29" borderId="23" xfId="0" applyNumberFormat="1" applyFont="1" applyFill="1" applyBorder="1"/>
    <xf numFmtId="165" fontId="10" fillId="29" borderId="26" xfId="1" applyNumberFormat="1" applyFont="1" applyFill="1" applyBorder="1"/>
    <xf numFmtId="165" fontId="10" fillId="29" borderId="26" xfId="0" applyNumberFormat="1" applyFont="1" applyFill="1" applyBorder="1"/>
    <xf numFmtId="165" fontId="9" fillId="0" borderId="5" xfId="1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165" fontId="9" fillId="0" borderId="5" xfId="1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165" fontId="9" fillId="29" borderId="13" xfId="1" applyNumberFormat="1" applyFont="1" applyFill="1" applyBorder="1"/>
    <xf numFmtId="165" fontId="7" fillId="28" borderId="16" xfId="0" applyNumberFormat="1" applyFont="1" applyFill="1" applyBorder="1"/>
    <xf numFmtId="165" fontId="10" fillId="28" borderId="9" xfId="0" applyNumberFormat="1" applyFont="1" applyFill="1" applyBorder="1"/>
    <xf numFmtId="165" fontId="10" fillId="29" borderId="4" xfId="0" applyNumberFormat="1" applyFont="1" applyFill="1" applyBorder="1"/>
    <xf numFmtId="165" fontId="10" fillId="28" borderId="27" xfId="1" applyNumberFormat="1" applyFont="1" applyFill="1" applyBorder="1"/>
    <xf numFmtId="165" fontId="10" fillId="29" borderId="28" xfId="1" applyNumberFormat="1" applyFont="1" applyFill="1" applyBorder="1"/>
    <xf numFmtId="165" fontId="10" fillId="29" borderId="18" xfId="1" applyNumberFormat="1" applyFont="1" applyFill="1" applyBorder="1"/>
    <xf numFmtId="165" fontId="10" fillId="28" borderId="27" xfId="0" applyNumberFormat="1" applyFont="1" applyFill="1" applyBorder="1"/>
    <xf numFmtId="165" fontId="10" fillId="29" borderId="18" xfId="0" applyNumberFormat="1" applyFont="1" applyFill="1" applyBorder="1"/>
    <xf numFmtId="165" fontId="10" fillId="29" borderId="28" xfId="0" applyNumberFormat="1" applyFont="1" applyFill="1" applyBorder="1"/>
    <xf numFmtId="165" fontId="10" fillId="0" borderId="0" xfId="1" applyNumberFormat="1" applyFont="1" applyFill="1" applyBorder="1"/>
    <xf numFmtId="165" fontId="10" fillId="0" borderId="0" xfId="0" applyNumberFormat="1" applyFont="1" applyFill="1" applyBorder="1"/>
    <xf numFmtId="165" fontId="7" fillId="29" borderId="15" xfId="0" applyNumberFormat="1" applyFont="1" applyFill="1" applyBorder="1" applyAlignment="1">
      <alignment horizontal="center"/>
    </xf>
    <xf numFmtId="165" fontId="7" fillId="29" borderId="23" xfId="0" applyNumberFormat="1" applyFont="1" applyFill="1" applyBorder="1" applyAlignment="1">
      <alignment horizontal="center"/>
    </xf>
    <xf numFmtId="165" fontId="7" fillId="29" borderId="25" xfId="0" applyNumberFormat="1" applyFont="1" applyFill="1" applyBorder="1" applyAlignment="1">
      <alignment horizontal="center"/>
    </xf>
    <xf numFmtId="165" fontId="7" fillId="29" borderId="3" xfId="0" applyNumberFormat="1" applyFont="1" applyFill="1" applyBorder="1" applyAlignment="1">
      <alignment horizontal="center"/>
    </xf>
    <xf numFmtId="165" fontId="9" fillId="29" borderId="25" xfId="1" applyNumberFormat="1" applyFont="1" applyFill="1" applyBorder="1" applyAlignment="1"/>
    <xf numFmtId="165" fontId="10" fillId="28" borderId="9" xfId="1" applyNumberFormat="1" applyFont="1" applyFill="1" applyBorder="1" applyAlignment="1"/>
    <xf numFmtId="165" fontId="27" fillId="0" borderId="0" xfId="1" applyNumberFormat="1" applyFont="1" applyFill="1" applyBorder="1" applyAlignment="1"/>
    <xf numFmtId="165" fontId="10" fillId="29" borderId="18" xfId="1" applyNumberFormat="1" applyFont="1" applyFill="1" applyBorder="1" applyAlignment="1"/>
    <xf numFmtId="165" fontId="9" fillId="29" borderId="0" xfId="1" applyNumberFormat="1" applyFont="1" applyFill="1" applyBorder="1" applyAlignment="1"/>
    <xf numFmtId="165" fontId="9" fillId="0" borderId="18" xfId="1" applyNumberFormat="1" applyFont="1" applyFill="1" applyBorder="1" applyAlignment="1">
      <alignment horizontal="center"/>
    </xf>
    <xf numFmtId="165" fontId="9" fillId="0" borderId="28" xfId="1" applyNumberFormat="1" applyFont="1" applyFill="1" applyBorder="1" applyAlignment="1">
      <alignment horizontal="center"/>
    </xf>
    <xf numFmtId="165" fontId="10" fillId="30" borderId="28" xfId="1" applyNumberFormat="1" applyFont="1" applyFill="1" applyBorder="1"/>
    <xf numFmtId="165" fontId="9" fillId="29" borderId="26" xfId="1" applyNumberFormat="1" applyFont="1" applyFill="1" applyBorder="1"/>
    <xf numFmtId="165" fontId="9" fillId="29" borderId="26" xfId="1" applyNumberFormat="1" applyFont="1" applyFill="1" applyBorder="1" applyAlignment="1"/>
    <xf numFmtId="165" fontId="9" fillId="0" borderId="25" xfId="1" applyNumberFormat="1" applyFont="1" applyFill="1" applyBorder="1"/>
    <xf numFmtId="165" fontId="9" fillId="29" borderId="18" xfId="1" applyNumberFormat="1" applyFont="1" applyFill="1" applyBorder="1" applyAlignment="1">
      <alignment horizontal="center"/>
    </xf>
    <xf numFmtId="165" fontId="9" fillId="29" borderId="28" xfId="1" applyNumberFormat="1" applyFont="1" applyFill="1" applyBorder="1" applyAlignment="1">
      <alignment horizontal="center"/>
    </xf>
    <xf numFmtId="165" fontId="9" fillId="28" borderId="25" xfId="1" applyNumberFormat="1" applyFont="1" applyFill="1" applyBorder="1"/>
    <xf numFmtId="165" fontId="7" fillId="28" borderId="7" xfId="0" applyNumberFormat="1" applyFont="1" applyFill="1" applyBorder="1" applyAlignment="1">
      <alignment horizontal="right" vertical="center"/>
    </xf>
    <xf numFmtId="165" fontId="7" fillId="29" borderId="5" xfId="0" applyNumberFormat="1" applyFont="1" applyFill="1" applyBorder="1" applyAlignment="1">
      <alignment horizontal="right" vertical="center"/>
    </xf>
    <xf numFmtId="165" fontId="7" fillId="28" borderId="0" xfId="0" applyNumberFormat="1" applyFont="1" applyFill="1" applyBorder="1" applyAlignment="1">
      <alignment horizontal="right" vertical="center"/>
    </xf>
    <xf numFmtId="165" fontId="7" fillId="28" borderId="24" xfId="0" applyNumberFormat="1" applyFont="1" applyFill="1" applyBorder="1" applyAlignment="1">
      <alignment horizontal="right" vertical="center"/>
    </xf>
    <xf numFmtId="165" fontId="7" fillId="29" borderId="15" xfId="1" applyNumberFormat="1" applyFont="1" applyFill="1" applyBorder="1" applyAlignment="1">
      <alignment horizontal="center"/>
    </xf>
    <xf numFmtId="165" fontId="7" fillId="29" borderId="23" xfId="0" applyNumberFormat="1" applyFont="1" applyFill="1" applyBorder="1" applyAlignment="1">
      <alignment horizontal="right" vertical="center"/>
    </xf>
    <xf numFmtId="165" fontId="7" fillId="28" borderId="15" xfId="0" applyNumberFormat="1" applyFont="1" applyFill="1" applyBorder="1" applyAlignment="1">
      <alignment horizontal="right" vertical="center"/>
    </xf>
    <xf numFmtId="165" fontId="10" fillId="28" borderId="9" xfId="0" applyNumberFormat="1" applyFont="1" applyFill="1" applyBorder="1" applyAlignment="1">
      <alignment horizontal="right" vertical="center"/>
    </xf>
    <xf numFmtId="165" fontId="10" fillId="29" borderId="4" xfId="0" applyNumberFormat="1" applyFont="1" applyFill="1" applyBorder="1" applyAlignment="1">
      <alignment horizontal="right" vertical="center"/>
    </xf>
    <xf numFmtId="165" fontId="10" fillId="28" borderId="26" xfId="0" applyNumberFormat="1" applyFont="1" applyFill="1" applyBorder="1" applyAlignment="1">
      <alignment horizontal="right" vertical="center"/>
    </xf>
    <xf numFmtId="164" fontId="7" fillId="28" borderId="14" xfId="0" applyNumberFormat="1" applyFont="1" applyFill="1" applyBorder="1" applyAlignment="1">
      <alignment horizontal="right" vertical="center"/>
    </xf>
    <xf numFmtId="164" fontId="9" fillId="29" borderId="25" xfId="1" applyNumberFormat="1" applyFont="1" applyFill="1" applyBorder="1"/>
    <xf numFmtId="164" fontId="7" fillId="29" borderId="3" xfId="0" applyNumberFormat="1" applyFont="1" applyFill="1" applyBorder="1" applyAlignment="1">
      <alignment horizontal="right" vertical="center"/>
    </xf>
    <xf numFmtId="164" fontId="7" fillId="28" borderId="25" xfId="0" applyNumberFormat="1" applyFont="1" applyFill="1" applyBorder="1" applyAlignment="1">
      <alignment horizontal="right" vertical="center"/>
    </xf>
    <xf numFmtId="164" fontId="7" fillId="28" borderId="7" xfId="0" applyNumberFormat="1" applyFont="1" applyFill="1" applyBorder="1" applyAlignment="1">
      <alignment horizontal="right" vertical="center"/>
    </xf>
    <xf numFmtId="164" fontId="9" fillId="29" borderId="0" xfId="1" applyNumberFormat="1" applyFont="1" applyFill="1" applyBorder="1"/>
    <xf numFmtId="164" fontId="7" fillId="29" borderId="5" xfId="0" applyNumberFormat="1" applyFont="1" applyFill="1" applyBorder="1" applyAlignment="1">
      <alignment horizontal="right" vertical="center"/>
    </xf>
    <xf numFmtId="164" fontId="7" fillId="28" borderId="0" xfId="0" applyNumberFormat="1" applyFont="1" applyFill="1" applyBorder="1" applyAlignment="1">
      <alignment horizontal="right" vertical="center"/>
    </xf>
    <xf numFmtId="165" fontId="10" fillId="28" borderId="14" xfId="1" applyNumberFormat="1" applyFont="1" applyFill="1" applyBorder="1"/>
    <xf numFmtId="165" fontId="10" fillId="29" borderId="25" xfId="1" applyNumberFormat="1" applyFont="1" applyFill="1" applyBorder="1"/>
    <xf numFmtId="165" fontId="10" fillId="29" borderId="3" xfId="1" applyNumberFormat="1" applyFont="1" applyFill="1" applyBorder="1"/>
    <xf numFmtId="165" fontId="10" fillId="28" borderId="25" xfId="1" applyNumberFormat="1" applyFont="1" applyFill="1" applyBorder="1"/>
    <xf numFmtId="165" fontId="9" fillId="28" borderId="0" xfId="1" applyNumberFormat="1" applyFont="1" applyFill="1" applyBorder="1"/>
    <xf numFmtId="165" fontId="7" fillId="29" borderId="0" xfId="1" applyNumberFormat="1" applyFont="1" applyFill="1" applyBorder="1" applyAlignment="1">
      <alignment horizontal="center"/>
    </xf>
    <xf numFmtId="165" fontId="10" fillId="28" borderId="26" xfId="1" applyNumberFormat="1" applyFont="1" applyFill="1" applyBorder="1"/>
    <xf numFmtId="165" fontId="9" fillId="28" borderId="15" xfId="1" applyNumberFormat="1" applyFont="1" applyFill="1" applyBorder="1"/>
    <xf numFmtId="165" fontId="7" fillId="29" borderId="25" xfId="1" applyNumberFormat="1" applyFont="1" applyFill="1" applyBorder="1" applyAlignment="1">
      <alignment horizontal="center"/>
    </xf>
    <xf numFmtId="164" fontId="9" fillId="28" borderId="14" xfId="0" applyNumberFormat="1" applyFont="1" applyFill="1" applyBorder="1" applyAlignment="1">
      <alignment horizontal="right" vertical="center"/>
    </xf>
    <xf numFmtId="164" fontId="9" fillId="29" borderId="3" xfId="0" applyNumberFormat="1" applyFont="1" applyFill="1" applyBorder="1" applyAlignment="1">
      <alignment horizontal="right" vertical="center"/>
    </xf>
    <xf numFmtId="164" fontId="9" fillId="28" borderId="7" xfId="0" applyNumberFormat="1" applyFont="1" applyFill="1" applyBorder="1" applyAlignment="1">
      <alignment horizontal="right" vertical="center"/>
    </xf>
    <xf numFmtId="164" fontId="9" fillId="29" borderId="5" xfId="0" applyNumberFormat="1" applyFont="1" applyFill="1" applyBorder="1" applyAlignment="1">
      <alignment horizontal="right" vertical="center"/>
    </xf>
    <xf numFmtId="164" fontId="9" fillId="29" borderId="34" xfId="0" applyNumberFormat="1" applyFont="1" applyFill="1" applyBorder="1" applyAlignment="1">
      <alignment horizontal="right" vertical="center"/>
    </xf>
    <xf numFmtId="164" fontId="9" fillId="29" borderId="3" xfId="0" quotePrefix="1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64" fontId="10" fillId="28" borderId="27" xfId="0" applyNumberFormat="1" applyFont="1" applyFill="1" applyBorder="1" applyAlignment="1">
      <alignment horizontal="right" vertical="center"/>
    </xf>
    <xf numFmtId="164" fontId="9" fillId="29" borderId="18" xfId="1" applyNumberFormat="1" applyFont="1" applyFill="1" applyBorder="1"/>
    <xf numFmtId="164" fontId="10" fillId="29" borderId="28" xfId="0" applyNumberFormat="1" applyFont="1" applyFill="1" applyBorder="1" applyAlignment="1">
      <alignment horizontal="right" vertical="center"/>
    </xf>
    <xf numFmtId="164" fontId="10" fillId="28" borderId="33" xfId="0" applyNumberFormat="1" applyFont="1" applyFill="1" applyBorder="1" applyAlignment="1">
      <alignment horizontal="right" vertical="center"/>
    </xf>
    <xf numFmtId="164" fontId="10" fillId="29" borderId="34" xfId="0" applyNumberFormat="1" applyFont="1" applyFill="1" applyBorder="1" applyAlignment="1">
      <alignment horizontal="right" vertical="center"/>
    </xf>
    <xf numFmtId="164" fontId="39" fillId="0" borderId="7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7" fillId="0" borderId="7" xfId="0" applyNumberFormat="1" applyFont="1" applyFill="1" applyBorder="1" applyAlignment="1">
      <alignment horizontal="right" vertical="center"/>
    </xf>
    <xf numFmtId="164" fontId="7" fillId="28" borderId="27" xfId="0" applyNumberFormat="1" applyFont="1" applyFill="1" applyBorder="1" applyAlignment="1">
      <alignment horizontal="right" vertical="center"/>
    </xf>
    <xf numFmtId="164" fontId="7" fillId="29" borderId="18" xfId="1" applyNumberFormat="1" applyFont="1" applyFill="1" applyBorder="1"/>
    <xf numFmtId="164" fontId="7" fillId="29" borderId="28" xfId="0" applyNumberFormat="1" applyFont="1" applyFill="1" applyBorder="1" applyAlignment="1">
      <alignment horizontal="right" vertical="center"/>
    </xf>
    <xf numFmtId="165" fontId="7" fillId="28" borderId="14" xfId="1" applyNumberFormat="1" applyFont="1" applyFill="1" applyBorder="1"/>
    <xf numFmtId="165" fontId="7" fillId="0" borderId="25" xfId="1" applyNumberFormat="1" applyFont="1" applyFill="1" applyBorder="1" applyAlignment="1">
      <alignment horizontal="center"/>
    </xf>
    <xf numFmtId="165" fontId="7" fillId="29" borderId="3" xfId="1" applyNumberFormat="1" applyFont="1" applyFill="1" applyBorder="1"/>
    <xf numFmtId="165" fontId="7" fillId="28" borderId="7" xfId="1" applyNumberFormat="1" applyFont="1" applyFill="1" applyBorder="1"/>
    <xf numFmtId="165" fontId="7" fillId="29" borderId="0" xfId="1" applyNumberFormat="1" applyFont="1" applyFill="1" applyBorder="1"/>
    <xf numFmtId="165" fontId="7" fillId="0" borderId="0" xfId="1" applyNumberFormat="1" applyFont="1" applyFill="1" applyBorder="1" applyAlignment="1">
      <alignment horizontal="center"/>
    </xf>
    <xf numFmtId="180" fontId="10" fillId="28" borderId="9" xfId="2" applyNumberFormat="1" applyFont="1" applyFill="1" applyBorder="1"/>
    <xf numFmtId="180" fontId="10" fillId="29" borderId="26" xfId="2" applyNumberFormat="1" applyFont="1" applyFill="1" applyBorder="1"/>
    <xf numFmtId="180" fontId="10" fillId="29" borderId="4" xfId="2" applyNumberFormat="1" applyFont="1" applyFill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180" fontId="9" fillId="32" borderId="25" xfId="2" applyNumberFormat="1" applyFont="1" applyFill="1" applyBorder="1" applyProtection="1">
      <protection locked="0"/>
    </xf>
    <xf numFmtId="165" fontId="9" fillId="32" borderId="25" xfId="1" applyNumberFormat="1" applyFont="1" applyFill="1" applyBorder="1" applyProtection="1">
      <protection locked="0"/>
    </xf>
    <xf numFmtId="165" fontId="9" fillId="32" borderId="0" xfId="1" applyNumberFormat="1" applyFont="1" applyFill="1" applyBorder="1" applyProtection="1">
      <protection locked="0"/>
    </xf>
    <xf numFmtId="10" fontId="9" fillId="32" borderId="0" xfId="2" applyNumberFormat="1" applyFont="1" applyFill="1" applyBorder="1" applyProtection="1">
      <protection locked="0"/>
    </xf>
    <xf numFmtId="10" fontId="9" fillId="32" borderId="26" xfId="2" applyNumberFormat="1" applyFont="1" applyFill="1" applyBorder="1" applyProtection="1">
      <protection locked="0"/>
    </xf>
    <xf numFmtId="165" fontId="9" fillId="32" borderId="26" xfId="1" applyNumberFormat="1" applyFont="1" applyFill="1" applyBorder="1" applyProtection="1">
      <protection locked="0"/>
    </xf>
    <xf numFmtId="165" fontId="9" fillId="32" borderId="15" xfId="1" applyNumberFormat="1" applyFont="1" applyFill="1" applyBorder="1" applyProtection="1">
      <protection locked="0"/>
    </xf>
    <xf numFmtId="165" fontId="9" fillId="32" borderId="12" xfId="1" applyNumberFormat="1" applyFont="1" applyFill="1" applyBorder="1" applyProtection="1">
      <protection locked="0"/>
    </xf>
    <xf numFmtId="165" fontId="10" fillId="32" borderId="18" xfId="1" applyNumberFormat="1" applyFont="1" applyFill="1" applyBorder="1" applyProtection="1">
      <protection locked="0"/>
    </xf>
    <xf numFmtId="10" fontId="9" fillId="32" borderId="25" xfId="2" applyNumberFormat="1" applyFont="1" applyFill="1" applyBorder="1" applyProtection="1">
      <protection locked="0"/>
    </xf>
    <xf numFmtId="10" fontId="9" fillId="32" borderId="15" xfId="2" applyNumberFormat="1" applyFont="1" applyFill="1" applyBorder="1" applyProtection="1">
      <protection locked="0"/>
    </xf>
    <xf numFmtId="165" fontId="9" fillId="32" borderId="25" xfId="2" applyNumberFormat="1" applyFont="1" applyFill="1" applyBorder="1" applyProtection="1">
      <protection locked="0"/>
    </xf>
    <xf numFmtId="165" fontId="7" fillId="32" borderId="25" xfId="1" applyNumberFormat="1" applyFont="1" applyFill="1" applyBorder="1" applyAlignment="1" applyProtection="1">
      <alignment horizontal="center"/>
      <protection locked="0"/>
    </xf>
    <xf numFmtId="165" fontId="7" fillId="32" borderId="0" xfId="1" applyNumberFormat="1" applyFont="1" applyFill="1" applyBorder="1" applyAlignment="1" applyProtection="1">
      <alignment horizontal="center"/>
      <protection locked="0"/>
    </xf>
    <xf numFmtId="165" fontId="7" fillId="32" borderId="15" xfId="1" applyNumberFormat="1" applyFont="1" applyFill="1" applyBorder="1" applyAlignment="1" applyProtection="1">
      <alignment horizontal="center"/>
      <protection locked="0"/>
    </xf>
    <xf numFmtId="179" fontId="9" fillId="32" borderId="25" xfId="1" applyNumberFormat="1" applyFont="1" applyFill="1" applyBorder="1" applyProtection="1">
      <protection locked="0"/>
    </xf>
    <xf numFmtId="179" fontId="9" fillId="32" borderId="0" xfId="1" applyNumberFormat="1" applyFont="1" applyFill="1" applyBorder="1" applyProtection="1">
      <protection locked="0"/>
    </xf>
    <xf numFmtId="179" fontId="9" fillId="32" borderId="15" xfId="1" applyNumberFormat="1" applyFont="1" applyFill="1" applyBorder="1" applyProtection="1">
      <protection locked="0"/>
    </xf>
    <xf numFmtId="165" fontId="7" fillId="28" borderId="16" xfId="1" applyNumberFormat="1" applyFont="1" applyFill="1" applyBorder="1"/>
    <xf numFmtId="174" fontId="30" fillId="0" borderId="0" xfId="0" applyNumberFormat="1" applyFont="1" applyBorder="1" applyAlignment="1" applyProtection="1"/>
    <xf numFmtId="0" fontId="33" fillId="0" borderId="0" xfId="0" applyFont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0" fillId="0" borderId="25" xfId="0" applyFont="1" applyFill="1" applyBorder="1"/>
    <xf numFmtId="43" fontId="9" fillId="0" borderId="0" xfId="1" applyFont="1" applyBorder="1"/>
    <xf numFmtId="14" fontId="10" fillId="2" borderId="9" xfId="0" applyNumberFormat="1" applyFont="1" applyFill="1" applyBorder="1" applyAlignment="1">
      <alignment horizontal="center" vertical="center"/>
    </xf>
    <xf numFmtId="165" fontId="10" fillId="29" borderId="0" xfId="1" applyNumberFormat="1" applyFont="1" applyFill="1" applyBorder="1"/>
    <xf numFmtId="180" fontId="9" fillId="0" borderId="0" xfId="2" applyNumberFormat="1" applyFont="1" applyFill="1" applyBorder="1"/>
    <xf numFmtId="165" fontId="9" fillId="0" borderId="9" xfId="1" applyNumberFormat="1" applyFont="1" applyFill="1" applyBorder="1"/>
    <xf numFmtId="165" fontId="9" fillId="0" borderId="26" xfId="1" applyNumberFormat="1" applyFont="1" applyFill="1" applyBorder="1"/>
    <xf numFmtId="165" fontId="9" fillId="0" borderId="14" xfId="1" applyNumberFormat="1" applyFont="1" applyFill="1" applyBorder="1"/>
    <xf numFmtId="43" fontId="9" fillId="0" borderId="3" xfId="1" applyFont="1" applyBorder="1"/>
    <xf numFmtId="43" fontId="9" fillId="0" borderId="4" xfId="1" applyFont="1" applyBorder="1"/>
    <xf numFmtId="43" fontId="9" fillId="0" borderId="25" xfId="1" applyFont="1" applyBorder="1"/>
    <xf numFmtId="43" fontId="9" fillId="0" borderId="26" xfId="1" applyFont="1" applyBorder="1"/>
    <xf numFmtId="180" fontId="9" fillId="28" borderId="25" xfId="2" applyNumberFormat="1" applyFont="1" applyFill="1" applyBorder="1"/>
    <xf numFmtId="180" fontId="9" fillId="28" borderId="26" xfId="2" applyNumberFormat="1" applyFont="1" applyFill="1" applyBorder="1"/>
    <xf numFmtId="180" fontId="9" fillId="29" borderId="4" xfId="1" applyNumberFormat="1" applyFont="1" applyFill="1" applyBorder="1"/>
    <xf numFmtId="165" fontId="9" fillId="0" borderId="9" xfId="1" applyNumberFormat="1" applyFont="1" applyFill="1" applyBorder="1" applyAlignment="1">
      <alignment horizontal="center" vertical="center"/>
    </xf>
    <xf numFmtId="43" fontId="9" fillId="0" borderId="26" xfId="1" applyFont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10" fontId="9" fillId="28" borderId="26" xfId="2" applyNumberFormat="1" applyFont="1" applyFill="1" applyBorder="1"/>
    <xf numFmtId="165" fontId="9" fillId="28" borderId="26" xfId="1" applyNumberFormat="1" applyFont="1" applyFill="1" applyBorder="1"/>
    <xf numFmtId="0" fontId="10" fillId="2" borderId="41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/>
    <xf numFmtId="165" fontId="7" fillId="0" borderId="0" xfId="2" applyNumberFormat="1" applyFont="1" applyFill="1" applyBorder="1"/>
    <xf numFmtId="43" fontId="9" fillId="0" borderId="0" xfId="1" applyFont="1" applyFill="1"/>
    <xf numFmtId="179" fontId="9" fillId="0" borderId="0" xfId="1" applyNumberFormat="1" applyFont="1" applyFill="1" applyBorder="1"/>
    <xf numFmtId="43" fontId="7" fillId="0" borderId="0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181" fontId="10" fillId="2" borderId="1" xfId="0" applyNumberFormat="1" applyFont="1" applyFill="1" applyBorder="1" applyAlignment="1">
      <alignment horizontal="center" vertical="center"/>
    </xf>
    <xf numFmtId="165" fontId="10" fillId="28" borderId="26" xfId="1" applyNumberFormat="1" applyFont="1" applyFill="1" applyBorder="1" applyAlignment="1">
      <alignment horizontal="right"/>
    </xf>
    <xf numFmtId="165" fontId="7" fillId="28" borderId="12" xfId="0" applyNumberFormat="1" applyFont="1" applyFill="1" applyBorder="1"/>
    <xf numFmtId="165" fontId="10" fillId="28" borderId="18" xfId="0" applyNumberFormat="1" applyFont="1" applyFill="1" applyBorder="1"/>
    <xf numFmtId="165" fontId="10" fillId="28" borderId="0" xfId="1" applyNumberFormat="1" applyFont="1" applyFill="1" applyBorder="1"/>
    <xf numFmtId="165" fontId="7" fillId="28" borderId="0" xfId="0" applyNumberFormat="1" applyFont="1" applyFill="1" applyBorder="1"/>
    <xf numFmtId="14" fontId="10" fillId="2" borderId="7" xfId="0" applyNumberFormat="1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165" fontId="10" fillId="28" borderId="33" xfId="1" applyNumberFormat="1" applyFont="1" applyFill="1" applyBorder="1"/>
    <xf numFmtId="165" fontId="9" fillId="29" borderId="25" xfId="1" applyNumberFormat="1" applyFont="1" applyFill="1" applyBorder="1" applyProtection="1">
      <protection locked="0"/>
    </xf>
    <xf numFmtId="165" fontId="9" fillId="29" borderId="0" xfId="1" applyNumberFormat="1" applyFont="1" applyFill="1" applyBorder="1" applyProtection="1">
      <protection locked="0"/>
    </xf>
    <xf numFmtId="165" fontId="9" fillId="29" borderId="15" xfId="1" applyNumberFormat="1" applyFont="1" applyFill="1" applyBorder="1" applyProtection="1">
      <protection locked="0"/>
    </xf>
    <xf numFmtId="165" fontId="9" fillId="29" borderId="12" xfId="1" applyNumberFormat="1" applyFont="1" applyFill="1" applyBorder="1" applyProtection="1">
      <protection locked="0"/>
    </xf>
    <xf numFmtId="165" fontId="10" fillId="29" borderId="18" xfId="1" applyNumberFormat="1" applyFont="1" applyFill="1" applyBorder="1" applyProtection="1">
      <protection locked="0"/>
    </xf>
    <xf numFmtId="165" fontId="9" fillId="28" borderId="15" xfId="1" applyNumberFormat="1" applyFont="1" applyFill="1" applyBorder="1" applyAlignment="1">
      <alignment horizontal="center"/>
    </xf>
    <xf numFmtId="165" fontId="9" fillId="32" borderId="15" xfId="1" applyNumberFormat="1" applyFont="1" applyFill="1" applyBorder="1" applyAlignment="1">
      <alignment horizontal="center"/>
    </xf>
    <xf numFmtId="165" fontId="9" fillId="29" borderId="23" xfId="1" applyNumberFormat="1" applyFont="1" applyFill="1" applyBorder="1" applyAlignment="1">
      <alignment horizontal="center"/>
    </xf>
    <xf numFmtId="165" fontId="9" fillId="29" borderId="15" xfId="1" applyNumberFormat="1" applyFont="1" applyFill="1" applyBorder="1" applyAlignment="1">
      <alignment horizontal="center"/>
    </xf>
    <xf numFmtId="165" fontId="7" fillId="28" borderId="15" xfId="0" applyNumberFormat="1" applyFont="1" applyFill="1" applyBorder="1"/>
    <xf numFmtId="165" fontId="9" fillId="29" borderId="25" xfId="1" applyNumberFormat="1" applyFont="1" applyFill="1" applyBorder="1" applyAlignment="1">
      <alignment horizontal="center"/>
    </xf>
    <xf numFmtId="165" fontId="9" fillId="29" borderId="3" xfId="1" applyNumberFormat="1" applyFont="1" applyFill="1" applyBorder="1" applyAlignment="1">
      <alignment horizontal="center"/>
    </xf>
    <xf numFmtId="165" fontId="9" fillId="28" borderId="25" xfId="1" applyNumberFormat="1" applyFont="1" applyFill="1" applyBorder="1" applyAlignment="1">
      <alignment horizontal="center"/>
    </xf>
    <xf numFmtId="165" fontId="9" fillId="32" borderId="25" xfId="1" applyNumberFormat="1" applyFont="1" applyFill="1" applyBorder="1" applyAlignment="1">
      <alignment horizontal="center"/>
    </xf>
    <xf numFmtId="181" fontId="10" fillId="2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/>
    <xf numFmtId="0" fontId="7" fillId="0" borderId="25" xfId="0" applyFont="1" applyBorder="1" applyAlignment="1">
      <alignment horizontal="center" vertical="center"/>
    </xf>
    <xf numFmtId="0" fontId="7" fillId="0" borderId="7" xfId="0" applyFont="1" applyBorder="1"/>
    <xf numFmtId="165" fontId="10" fillId="29" borderId="5" xfId="1" applyNumberFormat="1" applyFont="1" applyFill="1" applyBorder="1"/>
    <xf numFmtId="165" fontId="10" fillId="28" borderId="26" xfId="0" applyNumberFormat="1" applyFont="1" applyFill="1" applyBorder="1"/>
    <xf numFmtId="165" fontId="7" fillId="28" borderId="25" xfId="0" applyNumberFormat="1" applyFont="1" applyFill="1" applyBorder="1"/>
    <xf numFmtId="165" fontId="7" fillId="28" borderId="25" xfId="0" applyNumberFormat="1" applyFont="1" applyFill="1" applyBorder="1" applyAlignment="1">
      <alignment horizontal="center"/>
    </xf>
    <xf numFmtId="165" fontId="10" fillId="28" borderId="18" xfId="1" applyNumberFormat="1" applyFont="1" applyFill="1" applyBorder="1"/>
    <xf numFmtId="165" fontId="7" fillId="28" borderId="15" xfId="0" applyNumberFormat="1" applyFont="1" applyFill="1" applyBorder="1" applyAlignment="1">
      <alignment horizontal="center"/>
    </xf>
    <xf numFmtId="165" fontId="9" fillId="28" borderId="0" xfId="1" applyNumberFormat="1" applyFont="1" applyFill="1" applyBorder="1" applyAlignment="1">
      <alignment horizontal="center"/>
    </xf>
    <xf numFmtId="165" fontId="10" fillId="28" borderId="43" xfId="1" applyNumberFormat="1" applyFont="1" applyFill="1" applyBorder="1" applyAlignment="1">
      <alignment horizontal="right"/>
    </xf>
    <xf numFmtId="165" fontId="10" fillId="28" borderId="43" xfId="1" applyNumberFormat="1" applyFont="1" applyFill="1" applyBorder="1"/>
    <xf numFmtId="0" fontId="10" fillId="0" borderId="7" xfId="0" applyFont="1" applyBorder="1" applyAlignment="1" applyProtection="1"/>
    <xf numFmtId="165" fontId="7" fillId="28" borderId="0" xfId="1" applyNumberFormat="1" applyFont="1" applyFill="1" applyBorder="1"/>
    <xf numFmtId="165" fontId="7" fillId="28" borderId="0" xfId="1" applyNumberFormat="1" applyFont="1" applyFill="1" applyBorder="1" applyAlignment="1">
      <alignment horizontal="center"/>
    </xf>
    <xf numFmtId="43" fontId="9" fillId="0" borderId="0" xfId="1" applyFont="1" applyFill="1" applyBorder="1"/>
    <xf numFmtId="165" fontId="7" fillId="28" borderId="26" xfId="1" applyNumberFormat="1" applyFont="1" applyFill="1" applyBorder="1" applyAlignment="1">
      <alignment horizontal="center"/>
    </xf>
    <xf numFmtId="14" fontId="10" fillId="2" borderId="0" xfId="0" applyNumberFormat="1" applyFont="1" applyFill="1" applyBorder="1" applyAlignment="1">
      <alignment horizontal="center" vertical="center"/>
    </xf>
    <xf numFmtId="165" fontId="7" fillId="28" borderId="25" xfId="1" applyNumberFormat="1" applyFont="1" applyFill="1" applyBorder="1" applyAlignment="1">
      <alignment horizontal="center"/>
    </xf>
    <xf numFmtId="165" fontId="7" fillId="28" borderId="15" xfId="1" applyNumberFormat="1" applyFont="1" applyFill="1" applyBorder="1" applyAlignment="1">
      <alignment horizontal="center"/>
    </xf>
    <xf numFmtId="180" fontId="7" fillId="28" borderId="14" xfId="2" applyNumberFormat="1" applyFont="1" applyFill="1" applyBorder="1"/>
    <xf numFmtId="180" fontId="7" fillId="28" borderId="9" xfId="2" applyNumberFormat="1" applyFont="1" applyFill="1" applyBorder="1"/>
    <xf numFmtId="10" fontId="7" fillId="28" borderId="9" xfId="2" applyNumberFormat="1" applyFont="1" applyFill="1" applyBorder="1"/>
    <xf numFmtId="165" fontId="7" fillId="28" borderId="9" xfId="1" applyNumberFormat="1" applyFont="1" applyFill="1" applyBorder="1"/>
    <xf numFmtId="165" fontId="7" fillId="0" borderId="24" xfId="1" applyNumberFormat="1" applyFont="1" applyFill="1" applyBorder="1" applyAlignment="1">
      <alignment horizontal="center"/>
    </xf>
    <xf numFmtId="165" fontId="7" fillId="0" borderId="7" xfId="1" applyNumberFormat="1" applyFont="1" applyFill="1" applyBorder="1" applyAlignment="1">
      <alignment horizontal="right"/>
    </xf>
    <xf numFmtId="165" fontId="7" fillId="28" borderId="24" xfId="1" applyNumberFormat="1" applyFont="1" applyFill="1" applyBorder="1"/>
    <xf numFmtId="165" fontId="7" fillId="0" borderId="7" xfId="1" applyNumberFormat="1" applyFont="1" applyFill="1" applyBorder="1" applyAlignment="1">
      <alignment horizontal="center"/>
    </xf>
    <xf numFmtId="165" fontId="7" fillId="0" borderId="7" xfId="0" applyNumberFormat="1" applyFont="1" applyBorder="1"/>
    <xf numFmtId="165" fontId="7" fillId="0" borderId="24" xfId="1" applyNumberFormat="1" applyFont="1" applyFill="1" applyBorder="1" applyAlignment="1">
      <alignment horizontal="right"/>
    </xf>
    <xf numFmtId="10" fontId="7" fillId="28" borderId="14" xfId="2" applyNumberFormat="1" applyFont="1" applyFill="1" applyBorder="1"/>
    <xf numFmtId="10" fontId="7" fillId="28" borderId="24" xfId="2" applyNumberFormat="1" applyFont="1" applyFill="1" applyBorder="1"/>
    <xf numFmtId="10" fontId="7" fillId="0" borderId="7" xfId="2" applyNumberFormat="1" applyFont="1" applyFill="1" applyBorder="1"/>
    <xf numFmtId="179" fontId="7" fillId="28" borderId="25" xfId="1" applyNumberFormat="1" applyFont="1" applyFill="1" applyBorder="1"/>
    <xf numFmtId="179" fontId="7" fillId="28" borderId="0" xfId="1" applyNumberFormat="1" applyFont="1" applyFill="1" applyBorder="1"/>
    <xf numFmtId="179" fontId="7" fillId="28" borderId="15" xfId="1" applyNumberFormat="1" applyFont="1" applyFill="1" applyBorder="1"/>
    <xf numFmtId="165" fontId="9" fillId="28" borderId="25" xfId="0" applyNumberFormat="1" applyFont="1" applyFill="1" applyBorder="1"/>
    <xf numFmtId="165" fontId="9" fillId="28" borderId="0" xfId="0" applyNumberFormat="1" applyFont="1" applyFill="1" applyBorder="1"/>
    <xf numFmtId="14" fontId="10" fillId="2" borderId="26" xfId="0" applyNumberFormat="1" applyFont="1" applyFill="1" applyBorder="1" applyAlignment="1">
      <alignment horizontal="center" vertical="center"/>
    </xf>
    <xf numFmtId="165" fontId="10" fillId="28" borderId="43" xfId="1" applyNumberFormat="1" applyFont="1" applyFill="1" applyBorder="1" applyAlignment="1"/>
    <xf numFmtId="165" fontId="10" fillId="29" borderId="43" xfId="1" applyNumberFormat="1" applyFont="1" applyFill="1" applyBorder="1"/>
    <xf numFmtId="165" fontId="10" fillId="29" borderId="43" xfId="1" applyNumberFormat="1" applyFont="1" applyFill="1" applyBorder="1" applyAlignment="1"/>
    <xf numFmtId="165" fontId="10" fillId="29" borderId="34" xfId="1" applyNumberFormat="1" applyFont="1" applyFill="1" applyBorder="1"/>
    <xf numFmtId="165" fontId="7" fillId="0" borderId="27" xfId="1" applyNumberFormat="1" applyFont="1" applyFill="1" applyBorder="1" applyAlignment="1">
      <alignment horizontal="center"/>
    </xf>
    <xf numFmtId="165" fontId="7" fillId="28" borderId="27" xfId="1" applyNumberFormat="1" applyFont="1" applyFill="1" applyBorder="1" applyAlignment="1">
      <alignment horizontal="center"/>
    </xf>
    <xf numFmtId="165" fontId="9" fillId="28" borderId="18" xfId="1" applyNumberFormat="1" applyFont="1" applyFill="1" applyBorder="1" applyAlignment="1">
      <alignment horizontal="center"/>
    </xf>
    <xf numFmtId="165" fontId="7" fillId="0" borderId="14" xfId="1" applyNumberFormat="1" applyFont="1" applyFill="1" applyBorder="1" applyAlignment="1">
      <alignment horizontal="right"/>
    </xf>
    <xf numFmtId="165" fontId="7" fillId="0" borderId="9" xfId="1" applyNumberFormat="1" applyFont="1" applyFill="1" applyBorder="1" applyAlignment="1">
      <alignment horizontal="right"/>
    </xf>
    <xf numFmtId="165" fontId="7" fillId="28" borderId="27" xfId="1" applyNumberFormat="1" applyFont="1" applyFill="1" applyBorder="1"/>
    <xf numFmtId="165" fontId="9" fillId="29" borderId="0" xfId="1" applyNumberFormat="1" applyFont="1" applyFill="1" applyBorder="1" applyAlignment="1">
      <alignment horizontal="center"/>
    </xf>
    <xf numFmtId="165" fontId="9" fillId="29" borderId="5" xfId="1" applyNumberFormat="1" applyFont="1" applyFill="1" applyBorder="1" applyAlignment="1">
      <alignment horizontal="center"/>
    </xf>
    <xf numFmtId="165" fontId="7" fillId="28" borderId="24" xfId="1" applyNumberFormat="1" applyFont="1" applyFill="1" applyBorder="1" applyAlignment="1">
      <alignment horizontal="right"/>
    </xf>
    <xf numFmtId="0" fontId="3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wrapText="1"/>
    </xf>
    <xf numFmtId="164" fontId="7" fillId="29" borderId="25" xfId="0" applyNumberFormat="1" applyFont="1" applyFill="1" applyBorder="1" applyAlignment="1">
      <alignment horizontal="right" vertical="center"/>
    </xf>
    <xf numFmtId="164" fontId="7" fillId="29" borderId="0" xfId="0" applyNumberFormat="1" applyFont="1" applyFill="1" applyBorder="1" applyAlignment="1">
      <alignment horizontal="right" vertical="center"/>
    </xf>
    <xf numFmtId="165" fontId="10" fillId="28" borderId="7" xfId="1" applyNumberFormat="1" applyFont="1" applyFill="1" applyBorder="1"/>
    <xf numFmtId="0" fontId="33" fillId="0" borderId="0" xfId="0" applyFont="1" applyBorder="1" applyAlignment="1">
      <alignment vertical="center"/>
    </xf>
    <xf numFmtId="10" fontId="7" fillId="28" borderId="0" xfId="2" applyNumberFormat="1" applyFont="1" applyFill="1" applyBorder="1"/>
    <xf numFmtId="165" fontId="7" fillId="28" borderId="25" xfId="1" applyNumberFormat="1" applyFont="1" applyFill="1" applyBorder="1"/>
    <xf numFmtId="164" fontId="39" fillId="0" borderId="0" xfId="0" applyNumberFormat="1" applyFont="1" applyBorder="1" applyAlignment="1">
      <alignment horizontal="right" vertical="center"/>
    </xf>
    <xf numFmtId="164" fontId="9" fillId="28" borderId="0" xfId="0" applyNumberFormat="1" applyFont="1" applyFill="1" applyBorder="1" applyAlignment="1">
      <alignment horizontal="right" vertical="center"/>
    </xf>
    <xf numFmtId="164" fontId="9" fillId="28" borderId="25" xfId="0" applyNumberFormat="1" applyFont="1" applyFill="1" applyBorder="1" applyAlignment="1">
      <alignment horizontal="right" vertical="center"/>
    </xf>
    <xf numFmtId="164" fontId="10" fillId="28" borderId="18" xfId="0" applyNumberFormat="1" applyFont="1" applyFill="1" applyBorder="1" applyAlignment="1">
      <alignment horizontal="right" vertical="center"/>
    </xf>
    <xf numFmtId="164" fontId="10" fillId="28" borderId="43" xfId="0" applyNumberFormat="1" applyFont="1" applyFill="1" applyBorder="1" applyAlignment="1">
      <alignment horizontal="right" vertical="center"/>
    </xf>
    <xf numFmtId="164" fontId="9" fillId="29" borderId="43" xfId="1" applyNumberFormat="1" applyFont="1" applyFill="1" applyBorder="1"/>
    <xf numFmtId="164" fontId="9" fillId="28" borderId="43" xfId="0" applyNumberFormat="1" applyFont="1" applyFill="1" applyBorder="1" applyAlignment="1">
      <alignment horizontal="right" vertical="center"/>
    </xf>
    <xf numFmtId="0" fontId="39" fillId="0" borderId="0" xfId="0" applyFont="1" applyBorder="1"/>
    <xf numFmtId="39" fontId="7" fillId="28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0" fontId="39" fillId="0" borderId="7" xfId="0" applyFont="1" applyFill="1" applyBorder="1" applyAlignment="1">
      <alignment horizontal="center" vertical="center"/>
    </xf>
    <xf numFmtId="164" fontId="10" fillId="29" borderId="43" xfId="1" applyNumberFormat="1" applyFont="1" applyFill="1" applyBorder="1"/>
    <xf numFmtId="164" fontId="7" fillId="29" borderId="25" xfId="1" applyNumberFormat="1" applyFont="1" applyFill="1" applyBorder="1"/>
    <xf numFmtId="39" fontId="7" fillId="28" borderId="7" xfId="0" applyNumberFormat="1" applyFont="1" applyFill="1" applyBorder="1" applyAlignment="1">
      <alignment horizontal="right" vertical="center"/>
    </xf>
    <xf numFmtId="39" fontId="7" fillId="29" borderId="5" xfId="0" applyNumberFormat="1" applyFont="1" applyFill="1" applyBorder="1" applyAlignment="1">
      <alignment horizontal="right" vertical="center"/>
    </xf>
    <xf numFmtId="39" fontId="7" fillId="0" borderId="5" xfId="0" applyNumberFormat="1" applyFont="1" applyFill="1" applyBorder="1" applyAlignment="1">
      <alignment horizontal="center" vertical="center"/>
    </xf>
    <xf numFmtId="39" fontId="7" fillId="0" borderId="18" xfId="0" applyNumberFormat="1" applyFont="1" applyFill="1" applyBorder="1" applyAlignment="1">
      <alignment horizontal="center" vertical="center"/>
    </xf>
    <xf numFmtId="164" fontId="7" fillId="28" borderId="18" xfId="0" applyNumberFormat="1" applyFont="1" applyFill="1" applyBorder="1" applyAlignment="1">
      <alignment horizontal="right" vertical="center"/>
    </xf>
    <xf numFmtId="39" fontId="10" fillId="28" borderId="18" xfId="0" applyNumberFormat="1" applyFont="1" applyFill="1" applyBorder="1" applyAlignment="1">
      <alignment horizontal="right" vertical="center"/>
    </xf>
    <xf numFmtId="43" fontId="7" fillId="0" borderId="14" xfId="1" applyFont="1" applyFill="1" applyBorder="1" applyAlignment="1">
      <alignment horizontal="center" vertical="center"/>
    </xf>
    <xf numFmtId="180" fontId="10" fillId="28" borderId="26" xfId="2" applyNumberFormat="1" applyFont="1" applyFill="1" applyBorder="1"/>
    <xf numFmtId="43" fontId="10" fillId="28" borderId="26" xfId="1" applyNumberFormat="1" applyFont="1" applyFill="1" applyBorder="1"/>
    <xf numFmtId="43" fontId="7" fillId="28" borderId="25" xfId="1" applyNumberFormat="1" applyFont="1" applyFill="1" applyBorder="1"/>
    <xf numFmtId="43" fontId="7" fillId="28" borderId="26" xfId="1" applyNumberFormat="1" applyFont="1" applyFill="1" applyBorder="1"/>
    <xf numFmtId="43" fontId="10" fillId="28" borderId="25" xfId="1" applyNumberFormat="1" applyFont="1" applyFill="1" applyBorder="1"/>
    <xf numFmtId="43" fontId="9" fillId="28" borderId="0" xfId="1" applyNumberFormat="1" applyFont="1" applyFill="1" applyBorder="1"/>
    <xf numFmtId="43" fontId="9" fillId="28" borderId="25" xfId="1" applyNumberFormat="1" applyFont="1" applyFill="1" applyBorder="1"/>
    <xf numFmtId="43" fontId="9" fillId="28" borderId="26" xfId="1" applyNumberFormat="1" applyFont="1" applyFill="1" applyBorder="1"/>
    <xf numFmtId="43" fontId="10" fillId="28" borderId="18" xfId="1" applyNumberFormat="1" applyFont="1" applyFill="1" applyBorder="1"/>
    <xf numFmtId="43" fontId="10" fillId="28" borderId="43" xfId="1" applyNumberFormat="1" applyFont="1" applyFill="1" applyBorder="1"/>
    <xf numFmtId="43" fontId="10" fillId="29" borderId="43" xfId="1" applyNumberFormat="1" applyFont="1" applyFill="1" applyBorder="1"/>
    <xf numFmtId="43" fontId="10" fillId="29" borderId="34" xfId="1" applyNumberFormat="1" applyFont="1" applyFill="1" applyBorder="1"/>
    <xf numFmtId="43" fontId="10" fillId="28" borderId="33" xfId="1" applyNumberFormat="1" applyFont="1" applyFill="1" applyBorder="1"/>
    <xf numFmtId="165" fontId="9" fillId="29" borderId="43" xfId="1" applyNumberFormat="1" applyFont="1" applyFill="1" applyBorder="1"/>
    <xf numFmtId="0" fontId="31" fillId="0" borderId="0" xfId="0" applyFont="1" applyBorder="1" applyAlignment="1" applyProtection="1">
      <alignment horizontal="center"/>
    </xf>
    <xf numFmtId="0" fontId="31" fillId="0" borderId="6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1" fillId="0" borderId="0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43" fontId="10" fillId="27" borderId="27" xfId="1" applyFont="1" applyFill="1" applyBorder="1" applyAlignment="1">
      <alignment horizontal="center" vertical="center"/>
    </xf>
    <xf numFmtId="43" fontId="10" fillId="27" borderId="18" xfId="1" applyFont="1" applyFill="1" applyBorder="1" applyAlignment="1">
      <alignment horizontal="center" vertical="center"/>
    </xf>
    <xf numFmtId="43" fontId="10" fillId="27" borderId="28" xfId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wrapText="1"/>
    </xf>
    <xf numFmtId="0" fontId="33" fillId="0" borderId="0" xfId="0" applyFont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3" fillId="2" borderId="28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/>
    </xf>
    <xf numFmtId="0" fontId="44" fillId="2" borderId="13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</cellXfs>
  <cellStyles count="145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1" xfId="143"/>
    <cellStyle name="Normal 2" xfId="3"/>
    <cellStyle name="Normal 2 2" xfId="8"/>
    <cellStyle name="Normal 2 2 2" xfId="93"/>
    <cellStyle name="Normal 2 3" xfId="88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FFFF99"/>
      <color rgb="FF99CCFF"/>
      <color rgb="FFFFCCFF"/>
      <color rgb="FFCCECFF"/>
      <color rgb="FFC0C0C0"/>
      <color rgb="FFCCFF66"/>
      <color rgb="FFCCFFCC"/>
      <color rgb="FFFF99CC"/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-PLAN-DEPT/Coal%20%20Req'ts/Business%20Plan/2003%20requirements/BP%20R6/Temp/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ld%20computer/LenjoseJ/windows/TEMP/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/Consolidated%20Rpt/Month%20End/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-PLAN-DEPT/Coal%20%20Req'ts/Business%20Plan/Coal%20requirements%202002%20-%202007/P7%20Sept%2011/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-2006BusinessPlan/Budget%20%202002/Revenue-ContMar-CommLosses/EP_Support/EP_BUSINT/EP_BP2000/Submissions/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-2006BusinessPlan/Budget%20%202002/Revenue-ContMar-CommLosses/Program&amp;Plan/William/RA99/Budget/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OPG/Liability%20Management/2010%20NWMD/Reports/NWMD%20Report/Number%20Inputs%20Backup/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33286/Local%20Settings/Temporary%20Internet%20Files/OLK38/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%20forecast/1998/Mar98/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005%20NWMD/2005%20Model%20Scenarios/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_7_O%20N%20F%20A/Implementation/Pmt%20Cert/Final/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E/OLKD8E/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&amp;ILW%20Deep%20Repository%20(PMMM%20Study)/Cost%20Estimate/Final%20Est%20Report/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e%20Compare/PBC%20Compare/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360493/Local%20Settings/Temporary%20Internet%20Files/OLK8CA/Fuelex/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venue/Consolidated%20Report/Month%20End/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F/CB/2002-6%20Business%20Plan/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working%20spreadsheet/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E/Content.Outlook/P6JNOV9O/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PLACE/2007ONFA/2007%20ONFA%20Models/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2-2006BusinessPlan/Budget%20%202002/Revenue-ContMar-CommLosses/EP_Support/EP_BUSINT/2000%20EP%20Budget/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/Consolidated%20Rpt/Month%20End/Archive%20Compare/PBC%20Compare/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2003_ProprietarySpot/Apr8/BP/EC_2003/Presentation/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</sheetNames>
    <sheetDataSet>
      <sheetData sheetId="0">
        <row r="23">
          <cell r="K23" t="str">
            <v>Kk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 t="str">
            <v/>
          </cell>
          <cell r="G38" t="str">
            <v/>
          </cell>
          <cell r="H38" t="str">
            <v/>
          </cell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 t="str">
            <v/>
          </cell>
          <cell r="G39" t="str">
            <v/>
          </cell>
          <cell r="H39" t="str">
            <v/>
          </cell>
          <cell r="I39">
            <v>31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D40" t="str">
            <v>Total Purchases</v>
          </cell>
          <cell r="F40" t="str">
            <v/>
          </cell>
          <cell r="G40" t="str">
            <v/>
          </cell>
          <cell r="H40" t="str">
            <v/>
          </cell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 t="str">
            <v/>
          </cell>
          <cell r="G44" t="str">
            <v/>
          </cell>
          <cell r="H44" t="str">
            <v/>
          </cell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 t="str">
            <v/>
          </cell>
          <cell r="G45" t="str">
            <v/>
          </cell>
          <cell r="H45" t="str">
            <v/>
          </cell>
          <cell r="I45">
            <v>5724.088914374538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D46" t="str">
            <v>Total Purchases</v>
          </cell>
          <cell r="F46" t="str">
            <v/>
          </cell>
          <cell r="G46" t="str">
            <v/>
          </cell>
          <cell r="H46" t="str">
            <v/>
          </cell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</sheetNames>
    <sheetDataSet>
      <sheetData sheetId="0" refreshError="1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IVMONTH"/>
      <sheetName val="RIVMONTH.XLS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</sheetNames>
    <sheetDataSet>
      <sheetData sheetId="0" refreshError="1">
        <row r="12">
          <cell r="B12" t="str">
            <v>EP Support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showGridLines="0" tabSelected="1" zoomScale="75" zoomScaleNormal="75" workbookViewId="0">
      <selection activeCell="M1" sqref="M1"/>
    </sheetView>
  </sheetViews>
  <sheetFormatPr defaultColWidth="0" defaultRowHeight="12.75" zeroHeight="1"/>
  <cols>
    <col min="1" max="14" width="10.7109375" style="249" customWidth="1"/>
    <col min="15" max="16384" width="9.140625" style="249" hidden="1"/>
  </cols>
  <sheetData>
    <row r="1" spans="1:14">
      <c r="A1" s="282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659"/>
      <c r="N1" s="251"/>
    </row>
    <row r="2" spans="1:14">
      <c r="A2" s="250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660" t="s">
        <v>244</v>
      </c>
      <c r="N2" s="251"/>
    </row>
    <row r="3" spans="1:14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660" t="s">
        <v>178</v>
      </c>
      <c r="N3" s="251"/>
    </row>
    <row r="4" spans="1:14">
      <c r="A4" s="250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660" t="s">
        <v>245</v>
      </c>
      <c r="N4" s="251"/>
    </row>
    <row r="5" spans="1:14">
      <c r="A5" s="250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660" t="s">
        <v>246</v>
      </c>
      <c r="N5" s="251"/>
    </row>
    <row r="6" spans="1:14">
      <c r="A6" s="250"/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660" t="s">
        <v>247</v>
      </c>
      <c r="N6" s="251"/>
    </row>
    <row r="7" spans="1:14">
      <c r="A7" s="250"/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660" t="s">
        <v>248</v>
      </c>
      <c r="N7" s="251"/>
    </row>
    <row r="8" spans="1:14">
      <c r="A8" s="250"/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660"/>
      <c r="N8" s="251"/>
    </row>
    <row r="9" spans="1:14">
      <c r="A9" s="250"/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660"/>
      <c r="N9" s="251"/>
    </row>
    <row r="10" spans="1:14">
      <c r="A10" s="250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  <c r="N10" s="251"/>
    </row>
    <row r="11" spans="1:14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2"/>
      <c r="N11" s="251"/>
    </row>
    <row r="12" spans="1:14">
      <c r="A12" s="250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2"/>
      <c r="N12" s="251"/>
    </row>
    <row r="13" spans="1:14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2"/>
      <c r="N13" s="251"/>
    </row>
    <row r="14" spans="1:14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2"/>
      <c r="N14" s="251"/>
    </row>
    <row r="15" spans="1:14">
      <c r="A15" s="250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2"/>
      <c r="N15" s="251"/>
    </row>
    <row r="16" spans="1:14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2"/>
      <c r="N16" s="251"/>
    </row>
    <row r="17" spans="1:14">
      <c r="A17" s="250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2"/>
      <c r="N17" s="251"/>
    </row>
    <row r="18" spans="1:14" ht="25.5">
      <c r="A18" s="250"/>
      <c r="B18" s="462" t="s">
        <v>237</v>
      </c>
      <c r="C18" s="462"/>
      <c r="D18" s="462"/>
      <c r="E18" s="462"/>
      <c r="F18" s="462"/>
      <c r="G18" s="462"/>
      <c r="H18" s="462"/>
      <c r="I18" s="251"/>
      <c r="J18" s="251"/>
      <c r="K18" s="251"/>
      <c r="L18" s="251"/>
      <c r="M18" s="252"/>
      <c r="N18" s="251"/>
    </row>
    <row r="19" spans="1:14">
      <c r="A19" s="250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2"/>
      <c r="N19" s="251"/>
    </row>
    <row r="20" spans="1:14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2"/>
      <c r="N20" s="251"/>
    </row>
    <row r="21" spans="1:14">
      <c r="A21" s="250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2"/>
      <c r="N21" s="251"/>
    </row>
    <row r="22" spans="1:14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2"/>
      <c r="N22" s="251"/>
    </row>
    <row r="23" spans="1:14" ht="35.25">
      <c r="A23" s="250"/>
      <c r="B23" s="253" t="s">
        <v>178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2"/>
      <c r="N23" s="251"/>
    </row>
    <row r="24" spans="1:14" ht="33.75">
      <c r="A24" s="250"/>
      <c r="B24" s="254" t="s">
        <v>176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2"/>
      <c r="N24" s="251"/>
    </row>
    <row r="25" spans="1:14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2"/>
      <c r="N25" s="251"/>
    </row>
    <row r="26" spans="1:14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2"/>
      <c r="N26" s="251"/>
    </row>
    <row r="27" spans="1:14" ht="25.5">
      <c r="A27" s="250"/>
      <c r="B27" s="255" t="s">
        <v>54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2"/>
      <c r="N27" s="251"/>
    </row>
    <row r="28" spans="1:14" ht="25.5">
      <c r="A28" s="250"/>
      <c r="B28" s="256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2"/>
      <c r="N28" s="251"/>
    </row>
    <row r="29" spans="1:14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2"/>
      <c r="N29" s="251"/>
    </row>
    <row r="30" spans="1:14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2"/>
      <c r="N30" s="251"/>
    </row>
    <row r="31" spans="1:14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2"/>
      <c r="N31" s="251"/>
    </row>
    <row r="32" spans="1:14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2"/>
      <c r="N32" s="251"/>
    </row>
    <row r="33" spans="1:14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2"/>
      <c r="N33" s="251"/>
    </row>
    <row r="34" spans="1:14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2"/>
      <c r="N34" s="251"/>
    </row>
    <row r="35" spans="1:14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2"/>
      <c r="N35" s="251"/>
    </row>
    <row r="36" spans="1:14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2"/>
      <c r="N36" s="251"/>
    </row>
    <row r="37" spans="1:14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2"/>
      <c r="N37" s="251"/>
    </row>
    <row r="38" spans="1:14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2"/>
      <c r="N38" s="251"/>
    </row>
    <row r="39" spans="1:14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2"/>
      <c r="N39" s="251"/>
    </row>
    <row r="40" spans="1:14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2"/>
      <c r="N40" s="251"/>
    </row>
    <row r="41" spans="1:14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2"/>
      <c r="N41" s="251"/>
    </row>
    <row r="42" spans="1:14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2"/>
      <c r="N42" s="251"/>
    </row>
    <row r="43" spans="1:14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2"/>
      <c r="N43" s="251"/>
    </row>
    <row r="44" spans="1:14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2"/>
      <c r="N44" s="251"/>
    </row>
    <row r="45" spans="1:14">
      <c r="A45" s="250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2"/>
      <c r="N45" s="251"/>
    </row>
    <row r="46" spans="1:14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2"/>
      <c r="N46" s="251"/>
    </row>
    <row r="47" spans="1:14">
      <c r="A47" s="250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2"/>
      <c r="N47" s="251"/>
    </row>
    <row r="48" spans="1:14">
      <c r="A48" s="250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2"/>
    </row>
    <row r="49" spans="1:13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2"/>
    </row>
    <row r="50" spans="1:13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9"/>
    </row>
    <row r="51" spans="1:13"/>
  </sheetData>
  <sheetProtection password="9F78" sheet="1" objects="1" scenarios="1"/>
  <pageMargins left="1" right="1" top="1" bottom="1" header="0.5" footer="0.5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4"/>
  <sheetViews>
    <sheetView showGridLines="0" zoomScale="75" zoomScaleNormal="75" workbookViewId="0"/>
  </sheetViews>
  <sheetFormatPr defaultColWidth="0" defaultRowHeight="12.75" customHeight="1" zeroHeight="1"/>
  <cols>
    <col min="1" max="14" width="10.7109375" style="251" customWidth="1"/>
    <col min="15" max="16384" width="9.140625" style="251" hidden="1"/>
  </cols>
  <sheetData>
    <row r="1" spans="1:13" s="249" customFormat="1" ht="6.95" customHeight="1">
      <c r="A1" s="260" t="s">
        <v>163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2"/>
    </row>
    <row r="2" spans="1:13" s="249" customFormat="1" ht="23.1" customHeight="1">
      <c r="A2" s="250"/>
      <c r="B2" s="621" t="s">
        <v>54</v>
      </c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2"/>
    </row>
    <row r="3" spans="1:13" s="249" customFormat="1" ht="23.1" customHeight="1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5"/>
    </row>
    <row r="4" spans="1:13" s="249" customFormat="1" ht="23.1" customHeight="1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5"/>
    </row>
    <row r="5" spans="1:13" s="249" customFormat="1" ht="23.1" customHeight="1">
      <c r="A5" s="250"/>
      <c r="B5" s="621" t="s">
        <v>179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2"/>
    </row>
    <row r="6" spans="1:13" s="249" customFormat="1" ht="23.1" customHeight="1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</row>
    <row r="7" spans="1:13" s="249" customFormat="1" ht="23.1" customHeight="1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5"/>
    </row>
    <row r="8" spans="1:13" s="249" customFormat="1" ht="23.1" customHeight="1">
      <c r="A8" s="250"/>
      <c r="B8" s="623" t="s">
        <v>55</v>
      </c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4"/>
    </row>
    <row r="9" spans="1:13" s="249" customFormat="1" ht="23.1" customHeight="1">
      <c r="A9" s="250"/>
      <c r="B9" s="266" t="s">
        <v>25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2"/>
    </row>
    <row r="10" spans="1:13" s="249" customFormat="1" ht="23.1" customHeight="1">
      <c r="A10" s="250"/>
      <c r="B10" s="266" t="s">
        <v>3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2"/>
    </row>
    <row r="11" spans="1:13" s="249" customFormat="1" ht="23.1" customHeight="1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2"/>
    </row>
    <row r="12" spans="1:13" s="249" customFormat="1" ht="23.1" customHeight="1">
      <c r="A12" s="250"/>
      <c r="B12" s="267">
        <v>1</v>
      </c>
      <c r="C12" s="238" t="s">
        <v>162</v>
      </c>
      <c r="D12" s="267"/>
      <c r="E12" s="267"/>
      <c r="F12" s="267"/>
      <c r="G12" s="267"/>
      <c r="H12" s="267"/>
      <c r="I12" s="267"/>
      <c r="J12" s="251"/>
      <c r="K12" s="251"/>
      <c r="L12" s="251"/>
      <c r="M12" s="252"/>
    </row>
    <row r="13" spans="1:13" s="249" customFormat="1" ht="23.1" customHeight="1">
      <c r="A13" s="250"/>
      <c r="B13" s="268"/>
      <c r="C13" s="267"/>
      <c r="D13" s="267"/>
      <c r="E13" s="267"/>
      <c r="F13" s="267"/>
      <c r="G13" s="267"/>
      <c r="H13" s="267"/>
      <c r="I13" s="267"/>
      <c r="J13" s="251"/>
      <c r="K13" s="251"/>
      <c r="L13" s="251"/>
      <c r="M13" s="252"/>
    </row>
    <row r="14" spans="1:13" s="249" customFormat="1" ht="23.1" customHeight="1">
      <c r="A14" s="250"/>
      <c r="B14" s="267">
        <v>2</v>
      </c>
      <c r="C14" s="238" t="s">
        <v>55</v>
      </c>
      <c r="D14" s="267"/>
      <c r="E14" s="267"/>
      <c r="F14" s="267"/>
      <c r="G14" s="267"/>
      <c r="H14" s="267"/>
      <c r="I14" s="267"/>
      <c r="J14" s="251"/>
      <c r="K14" s="251"/>
      <c r="L14" s="251"/>
      <c r="M14" s="252"/>
    </row>
    <row r="15" spans="1:13" s="249" customFormat="1" ht="23.1" customHeight="1">
      <c r="A15" s="250"/>
      <c r="B15" s="268"/>
      <c r="C15" s="267"/>
      <c r="D15" s="267"/>
      <c r="E15" s="267"/>
      <c r="F15" s="267"/>
      <c r="G15" s="267"/>
      <c r="H15" s="267"/>
      <c r="I15" s="267"/>
      <c r="J15" s="251"/>
      <c r="K15" s="251"/>
      <c r="L15" s="251"/>
      <c r="M15" s="252"/>
    </row>
    <row r="16" spans="1:13" s="249" customFormat="1" ht="23.1" customHeight="1">
      <c r="A16" s="250"/>
      <c r="B16" s="267">
        <v>3</v>
      </c>
      <c r="C16" s="238" t="s">
        <v>56</v>
      </c>
      <c r="D16" s="267"/>
      <c r="E16" s="267"/>
      <c r="F16" s="267"/>
      <c r="G16" s="267"/>
      <c r="H16" s="267"/>
      <c r="I16" s="267"/>
      <c r="J16" s="251"/>
      <c r="K16" s="251"/>
      <c r="L16" s="251"/>
      <c r="M16" s="252"/>
    </row>
    <row r="17" spans="1:13" s="249" customFormat="1" ht="23.1" customHeight="1">
      <c r="A17" s="250"/>
      <c r="B17" s="267"/>
      <c r="C17" s="267"/>
      <c r="D17" s="267"/>
      <c r="E17" s="267"/>
      <c r="F17" s="267"/>
      <c r="G17" s="267"/>
      <c r="H17" s="267"/>
      <c r="I17" s="267"/>
      <c r="J17" s="251"/>
      <c r="K17" s="251"/>
      <c r="L17" s="251"/>
      <c r="M17" s="252"/>
    </row>
    <row r="18" spans="1:13" s="249" customFormat="1" ht="23.1" customHeight="1">
      <c r="A18" s="250"/>
      <c r="B18" s="267">
        <v>4</v>
      </c>
      <c r="C18" s="238" t="s">
        <v>155</v>
      </c>
      <c r="D18" s="267"/>
      <c r="E18" s="267"/>
      <c r="F18" s="267"/>
      <c r="G18" s="267"/>
      <c r="H18" s="267"/>
      <c r="I18" s="267"/>
      <c r="J18" s="251"/>
      <c r="K18" s="251"/>
      <c r="L18" s="251"/>
      <c r="M18" s="252"/>
    </row>
    <row r="19" spans="1:13" s="249" customFormat="1" ht="23.1" customHeight="1">
      <c r="A19" s="250"/>
      <c r="B19" s="267"/>
      <c r="C19" s="267"/>
      <c r="D19" s="267"/>
      <c r="E19" s="267"/>
      <c r="F19" s="267"/>
      <c r="G19" s="267"/>
      <c r="H19" s="267"/>
      <c r="I19" s="267"/>
      <c r="J19" s="251"/>
      <c r="K19" s="251"/>
      <c r="L19" s="251"/>
      <c r="M19" s="252"/>
    </row>
    <row r="20" spans="1:13" s="249" customFormat="1" ht="23.1" customHeight="1">
      <c r="A20" s="250"/>
      <c r="B20" s="267">
        <v>5</v>
      </c>
      <c r="C20" s="238" t="s">
        <v>133</v>
      </c>
      <c r="D20" s="267"/>
      <c r="E20" s="267"/>
      <c r="F20" s="267"/>
      <c r="G20" s="267"/>
      <c r="H20" s="267"/>
      <c r="I20" s="267"/>
      <c r="J20" s="251"/>
      <c r="K20" s="251"/>
      <c r="L20" s="251"/>
      <c r="M20" s="252"/>
    </row>
    <row r="21" spans="1:13" s="249" customFormat="1" ht="23.1" customHeight="1">
      <c r="A21" s="250"/>
      <c r="B21" s="267"/>
      <c r="C21" s="267"/>
      <c r="D21" s="267"/>
      <c r="E21" s="267"/>
      <c r="F21" s="267"/>
      <c r="G21" s="267"/>
      <c r="H21" s="267"/>
      <c r="I21" s="267"/>
      <c r="J21" s="251"/>
      <c r="K21" s="251"/>
      <c r="L21" s="251"/>
      <c r="M21" s="252"/>
    </row>
    <row r="22" spans="1:13" s="249" customFormat="1" ht="23.1" customHeight="1">
      <c r="A22" s="250"/>
      <c r="B22" s="267">
        <v>6</v>
      </c>
      <c r="C22" s="238" t="s">
        <v>115</v>
      </c>
      <c r="D22" s="267"/>
      <c r="E22" s="267"/>
      <c r="F22" s="267"/>
      <c r="G22" s="267"/>
      <c r="H22" s="267"/>
      <c r="I22" s="267"/>
      <c r="J22" s="251"/>
      <c r="K22" s="251"/>
      <c r="L22" s="251"/>
      <c r="M22" s="252"/>
    </row>
    <row r="23" spans="1:13" s="249" customFormat="1" ht="23.1" customHeight="1">
      <c r="A23" s="250"/>
      <c r="B23" s="267"/>
      <c r="C23" s="267"/>
      <c r="D23" s="267"/>
      <c r="E23" s="267"/>
      <c r="F23" s="267"/>
      <c r="G23" s="267"/>
      <c r="H23" s="267"/>
      <c r="I23" s="267"/>
      <c r="J23" s="251"/>
      <c r="K23" s="251"/>
      <c r="L23" s="251"/>
      <c r="M23" s="252"/>
    </row>
    <row r="24" spans="1:13" s="249" customFormat="1" ht="23.1" customHeight="1">
      <c r="A24" s="250"/>
      <c r="B24" s="267">
        <v>7</v>
      </c>
      <c r="C24" s="238" t="s">
        <v>20</v>
      </c>
      <c r="D24" s="267"/>
      <c r="E24" s="267"/>
      <c r="F24" s="267"/>
      <c r="G24" s="267"/>
      <c r="H24" s="267"/>
      <c r="I24" s="267"/>
      <c r="J24" s="251"/>
      <c r="K24" s="251"/>
      <c r="L24" s="251"/>
      <c r="M24" s="252"/>
    </row>
    <row r="25" spans="1:13" s="249" customFormat="1" ht="23.1" customHeight="1">
      <c r="A25" s="250"/>
      <c r="B25" s="267"/>
      <c r="C25" s="267"/>
      <c r="D25" s="267"/>
      <c r="E25" s="267"/>
      <c r="F25" s="267"/>
      <c r="G25" s="267"/>
      <c r="H25" s="267"/>
      <c r="I25" s="267"/>
      <c r="J25" s="251"/>
      <c r="K25" s="251"/>
      <c r="L25" s="251"/>
      <c r="M25" s="252"/>
    </row>
    <row r="26" spans="1:13" s="249" customFormat="1" ht="23.1" customHeight="1">
      <c r="A26" s="250"/>
      <c r="B26" s="267">
        <v>8</v>
      </c>
      <c r="C26" s="238" t="s">
        <v>147</v>
      </c>
      <c r="D26" s="267"/>
      <c r="E26" s="267"/>
      <c r="F26" s="267"/>
      <c r="G26" s="267"/>
      <c r="H26" s="267"/>
      <c r="I26" s="267"/>
      <c r="J26" s="251"/>
      <c r="K26" s="251"/>
      <c r="L26" s="251"/>
      <c r="M26" s="252"/>
    </row>
    <row r="27" spans="1:13" s="249" customFormat="1" ht="23.1" customHeight="1">
      <c r="A27" s="250"/>
      <c r="B27" s="267"/>
      <c r="C27" s="268"/>
      <c r="D27" s="269"/>
      <c r="E27" s="251"/>
      <c r="F27" s="251"/>
      <c r="G27" s="251"/>
      <c r="H27" s="251"/>
      <c r="I27" s="251"/>
      <c r="J27" s="251"/>
      <c r="K27" s="251"/>
      <c r="L27" s="251"/>
      <c r="M27" s="252"/>
    </row>
    <row r="28" spans="1:13" s="249" customFormat="1" ht="23.1" customHeight="1">
      <c r="A28" s="250"/>
      <c r="B28" s="267">
        <v>9</v>
      </c>
      <c r="C28" s="238" t="s">
        <v>121</v>
      </c>
      <c r="D28" s="269"/>
      <c r="E28" s="251"/>
      <c r="F28" s="251"/>
      <c r="G28" s="251"/>
      <c r="H28" s="251"/>
      <c r="I28" s="251"/>
      <c r="J28" s="251"/>
      <c r="K28" s="251"/>
      <c r="L28" s="251"/>
      <c r="M28" s="252"/>
    </row>
    <row r="29" spans="1:13" s="249" customFormat="1" ht="23.1" customHeight="1">
      <c r="A29" s="250"/>
      <c r="B29" s="267"/>
      <c r="C29" s="268"/>
      <c r="D29" s="269"/>
      <c r="E29" s="251"/>
      <c r="F29" s="251"/>
      <c r="G29" s="251"/>
      <c r="H29" s="251"/>
      <c r="I29" s="251"/>
      <c r="J29" s="251"/>
      <c r="K29" s="251"/>
      <c r="L29" s="251"/>
      <c r="M29" s="252"/>
    </row>
    <row r="30" spans="1:13" s="249" customFormat="1" ht="23.1" customHeight="1">
      <c r="A30" s="250"/>
      <c r="B30" s="267">
        <v>10</v>
      </c>
      <c r="C30" s="238" t="s">
        <v>119</v>
      </c>
      <c r="D30" s="269"/>
      <c r="E30" s="251"/>
      <c r="F30" s="251"/>
      <c r="G30" s="251"/>
      <c r="H30" s="251"/>
      <c r="I30" s="251"/>
      <c r="J30" s="251"/>
      <c r="K30" s="251"/>
      <c r="L30" s="251"/>
      <c r="M30" s="252"/>
    </row>
    <row r="31" spans="1:13" s="249" customFormat="1" ht="23.1" customHeight="1">
      <c r="A31" s="250"/>
      <c r="B31" s="267"/>
      <c r="C31" s="267"/>
      <c r="D31" s="269"/>
      <c r="E31" s="251"/>
      <c r="F31" s="251"/>
      <c r="G31" s="251"/>
      <c r="H31" s="251"/>
      <c r="I31" s="251"/>
      <c r="J31" s="251"/>
      <c r="K31" s="251"/>
      <c r="L31" s="251"/>
      <c r="M31" s="252"/>
    </row>
    <row r="32" spans="1:13" s="249" customFormat="1" ht="23.1" customHeight="1">
      <c r="A32" s="257"/>
      <c r="B32" s="270">
        <v>11</v>
      </c>
      <c r="C32" s="239" t="s">
        <v>150</v>
      </c>
      <c r="D32" s="271"/>
      <c r="E32" s="258"/>
      <c r="F32" s="258"/>
      <c r="G32" s="258"/>
      <c r="H32" s="258"/>
      <c r="I32" s="258"/>
      <c r="J32" s="258"/>
      <c r="K32" s="258"/>
      <c r="L32" s="258"/>
      <c r="M32" s="259"/>
    </row>
    <row r="33" spans="2:2" ht="23.1" customHeight="1">
      <c r="B33" s="256"/>
    </row>
    <row r="34" spans="2:2" ht="23.1" hidden="1" customHeight="1">
      <c r="B34" s="272"/>
    </row>
    <row r="35" spans="2:2" hidden="1"/>
    <row r="36" spans="2:2" hidden="1"/>
    <row r="37" spans="2:2" hidden="1"/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  <row r="45" spans="2:2" hidden="1"/>
    <row r="46" spans="2:2" hidden="1"/>
    <row r="47" spans="2:2" hidden="1"/>
    <row r="48" spans="2:2" hidden="1"/>
    <row r="49" hidden="1"/>
    <row r="50" hidden="1"/>
    <row r="51" hidden="1"/>
    <row r="52" hidden="1"/>
    <row r="53" hidden="1"/>
    <row r="54" ht="12.75" hidden="1" customHeight="1"/>
  </sheetData>
  <sheetProtection password="9F78" sheet="1" objects="1" scenarios="1"/>
  <mergeCells count="3">
    <mergeCell ref="B2:M2"/>
    <mergeCell ref="B5:M5"/>
    <mergeCell ref="B8:M8"/>
  </mergeCells>
  <hyperlinks>
    <hyperlink ref="C12" location="'1. Cover'!A1" display="Cover Page"/>
    <hyperlink ref="C14" location="'2. TOC'!A1" display="Table of Contents"/>
    <hyperlink ref="C16" location="'3. Legend'!A1" display="Legend / Colour Scheme"/>
    <hyperlink ref="C18" location="'4. OEB_Adjustment_Input_Sheet'!A1" display="OEB Adjustment Input Sheet"/>
    <hyperlink ref="C20" location="'5. Rate_Base_&amp;_Cost_of_Capital'!A1" display="Rate Base and Cost of Capital"/>
    <hyperlink ref="C22" location="'6. Taxes'!A1" display="Regulatory Income Taxes"/>
    <hyperlink ref="C24" location="'7. Rev_Req'!A1" display="Revenue Requirement"/>
    <hyperlink ref="C26" location="'8. Revenue_Def_Suff'!A1" display="Revenue Requiremenmt Deficiency / Sufficiency"/>
    <hyperlink ref="C28" location="'9. Payment_Amounts'!A1" display="Requested Payment Amounts"/>
    <hyperlink ref="C30" location="'10. Deferral_Variance_&amp;_Riders'!A1" display="Recovery of Deferral and Variance Accounts and Riders"/>
    <hyperlink ref="C32" location="'11. Impact'!A1" display="Test Period Consumer Impact"/>
  </hyperlinks>
  <pageMargins left="1" right="1" top="1" bottom="1" header="0.5" footer="0.5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53"/>
  <sheetViews>
    <sheetView showGridLines="0" zoomScale="75" zoomScaleNormal="75" workbookViewId="0"/>
  </sheetViews>
  <sheetFormatPr defaultColWidth="0" defaultRowHeight="12.75" zeroHeight="1"/>
  <cols>
    <col min="1" max="14" width="10.7109375" style="71" customWidth="1"/>
    <col min="15" max="31" width="0" style="71" hidden="1" customWidth="1"/>
    <col min="32" max="16384" width="9.140625" style="71" hidden="1"/>
  </cols>
  <sheetData>
    <row r="1" spans="1:13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6"/>
    </row>
    <row r="2" spans="1:13" ht="26.25">
      <c r="A2" s="70"/>
      <c r="B2" s="627" t="s">
        <v>54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8"/>
    </row>
    <row r="3" spans="1:13">
      <c r="A3" s="70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7"/>
    </row>
    <row r="4" spans="1:13">
      <c r="A4" s="70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</row>
    <row r="5" spans="1:13" ht="26.25">
      <c r="A5" s="70"/>
      <c r="B5" s="627" t="s">
        <v>179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8"/>
    </row>
    <row r="6" spans="1:13">
      <c r="A6" s="70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>
      <c r="A7" s="70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ht="25.5">
      <c r="A8" s="70"/>
      <c r="B8" s="629" t="s">
        <v>56</v>
      </c>
      <c r="C8" s="629"/>
      <c r="D8" s="629"/>
      <c r="E8" s="629"/>
      <c r="F8" s="629"/>
      <c r="G8" s="629"/>
      <c r="H8" s="629"/>
      <c r="I8" s="629"/>
      <c r="J8" s="629"/>
      <c r="K8" s="629"/>
      <c r="L8" s="629"/>
      <c r="M8" s="630"/>
    </row>
    <row r="9" spans="1:13" ht="25.5">
      <c r="A9" s="70"/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9"/>
    </row>
    <row r="10" spans="1:13" ht="25.5">
      <c r="A10" s="70"/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9"/>
    </row>
    <row r="11" spans="1:13">
      <c r="A11" s="70"/>
      <c r="M11" s="72"/>
    </row>
    <row r="12" spans="1:13">
      <c r="A12" s="70"/>
      <c r="M12" s="72"/>
    </row>
    <row r="13" spans="1:13">
      <c r="A13" s="70"/>
      <c r="M13" s="72"/>
    </row>
    <row r="14" spans="1:13" ht="18">
      <c r="A14" s="70"/>
      <c r="B14" s="117"/>
      <c r="C14" s="117"/>
      <c r="M14" s="72"/>
    </row>
    <row r="15" spans="1:13" ht="18" customHeight="1">
      <c r="A15" s="70"/>
      <c r="B15" s="118"/>
      <c r="C15" s="625" t="s">
        <v>189</v>
      </c>
      <c r="D15" s="625"/>
      <c r="E15" s="625"/>
      <c r="F15" s="625"/>
      <c r="G15" s="625"/>
      <c r="H15" s="625"/>
      <c r="I15" s="625"/>
      <c r="J15" s="625"/>
      <c r="K15" s="625"/>
      <c r="L15" s="625"/>
      <c r="M15" s="626"/>
    </row>
    <row r="16" spans="1:13" ht="18" customHeight="1">
      <c r="A16" s="70"/>
      <c r="B16" s="118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6"/>
    </row>
    <row r="17" spans="1:13" ht="18" customHeight="1">
      <c r="A17" s="70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7"/>
    </row>
    <row r="18" spans="1:13" ht="18" customHeight="1">
      <c r="A18" s="70"/>
      <c r="B18" s="235"/>
      <c r="C18" s="625" t="s">
        <v>190</v>
      </c>
      <c r="D18" s="625"/>
      <c r="E18" s="625"/>
      <c r="F18" s="625"/>
      <c r="G18" s="625"/>
      <c r="H18" s="625"/>
      <c r="I18" s="625"/>
      <c r="J18" s="625"/>
      <c r="K18" s="625"/>
      <c r="L18" s="625"/>
      <c r="M18" s="626"/>
    </row>
    <row r="19" spans="1:13" ht="18">
      <c r="A19" s="70"/>
      <c r="B19" s="235"/>
      <c r="C19" s="625"/>
      <c r="D19" s="625"/>
      <c r="E19" s="625"/>
      <c r="F19" s="625"/>
      <c r="G19" s="625"/>
      <c r="H19" s="625"/>
      <c r="I19" s="625"/>
      <c r="J19" s="625"/>
      <c r="K19" s="625"/>
      <c r="L19" s="625"/>
      <c r="M19" s="626"/>
    </row>
    <row r="20" spans="1:13" ht="18">
      <c r="A20" s="70"/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7"/>
    </row>
    <row r="21" spans="1:13" ht="18" customHeight="1">
      <c r="A21" s="70"/>
      <c r="B21" s="119"/>
      <c r="C21" s="625" t="s">
        <v>188</v>
      </c>
      <c r="D21" s="625"/>
      <c r="E21" s="625"/>
      <c r="F21" s="625"/>
      <c r="G21" s="625"/>
      <c r="H21" s="625"/>
      <c r="I21" s="625"/>
      <c r="J21" s="625"/>
      <c r="K21" s="625"/>
      <c r="L21" s="625"/>
      <c r="M21" s="626"/>
    </row>
    <row r="22" spans="1:13" ht="18" customHeight="1">
      <c r="A22" s="70"/>
      <c r="B22" s="119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6"/>
    </row>
    <row r="23" spans="1:13">
      <c r="A23" s="70"/>
      <c r="M23" s="72"/>
    </row>
    <row r="24" spans="1:13">
      <c r="A24" s="70"/>
      <c r="M24" s="72"/>
    </row>
    <row r="25" spans="1:13">
      <c r="A25" s="70"/>
      <c r="M25" s="72"/>
    </row>
    <row r="26" spans="1:13">
      <c r="A26" s="70"/>
      <c r="M26" s="72"/>
    </row>
    <row r="27" spans="1:13">
      <c r="A27" s="70"/>
      <c r="M27" s="72"/>
    </row>
    <row r="28" spans="1:13">
      <c r="A28" s="70"/>
      <c r="M28" s="72"/>
    </row>
    <row r="29" spans="1:13">
      <c r="A29" s="70"/>
      <c r="M29" s="72"/>
    </row>
    <row r="30" spans="1:13">
      <c r="A30" s="70"/>
      <c r="M30" s="72"/>
    </row>
    <row r="31" spans="1:13">
      <c r="A31" s="70"/>
      <c r="M31" s="72"/>
    </row>
    <row r="32" spans="1:13">
      <c r="A32" s="70"/>
      <c r="M32" s="72"/>
    </row>
    <row r="33" spans="1:13">
      <c r="A33" s="70"/>
      <c r="M33" s="72"/>
    </row>
    <row r="34" spans="1:13">
      <c r="A34" s="70"/>
      <c r="M34" s="72"/>
    </row>
    <row r="35" spans="1:13">
      <c r="A35" s="70"/>
      <c r="M35" s="72"/>
    </row>
    <row r="36" spans="1:13">
      <c r="A36" s="70"/>
      <c r="M36" s="72"/>
    </row>
    <row r="37" spans="1:13">
      <c r="A37" s="70"/>
      <c r="M37" s="72"/>
    </row>
    <row r="38" spans="1:13">
      <c r="A38" s="70"/>
      <c r="M38" s="72"/>
    </row>
    <row r="39" spans="1:13">
      <c r="A39" s="70"/>
      <c r="M39" s="72"/>
    </row>
    <row r="40" spans="1:13">
      <c r="A40" s="70"/>
      <c r="M40" s="72"/>
    </row>
    <row r="41" spans="1:13">
      <c r="A41" s="70"/>
      <c r="M41" s="72"/>
    </row>
    <row r="42" spans="1:13">
      <c r="A42" s="70"/>
      <c r="M42" s="72"/>
    </row>
    <row r="43" spans="1:13">
      <c r="A43" s="70"/>
      <c r="M43" s="72"/>
    </row>
    <row r="44" spans="1:13">
      <c r="A44" s="70"/>
      <c r="M44" s="72"/>
    </row>
    <row r="45" spans="1:13">
      <c r="A45" s="70"/>
      <c r="M45" s="72"/>
    </row>
    <row r="46" spans="1:13">
      <c r="A46" s="70"/>
      <c r="M46" s="72"/>
    </row>
    <row r="47" spans="1:13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5"/>
    </row>
    <row r="48" spans="1:13"/>
    <row r="49" hidden="1"/>
    <row r="50" hidden="1"/>
    <row r="51" hidden="1"/>
    <row r="52" hidden="1"/>
    <row r="53" hidden="1"/>
  </sheetData>
  <sheetProtection password="9F78" sheet="1" objects="1" scenarios="1"/>
  <mergeCells count="6">
    <mergeCell ref="C18:M19"/>
    <mergeCell ref="C21:M22"/>
    <mergeCell ref="B2:M2"/>
    <mergeCell ref="B5:M5"/>
    <mergeCell ref="B8:M8"/>
    <mergeCell ref="C15:M16"/>
  </mergeCells>
  <pageMargins left="1" right="1" top="1" bottom="1" header="0.5" footer="0.5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1:X480"/>
  <sheetViews>
    <sheetView showGridLines="0" zoomScale="75" zoomScaleNormal="75" zoomScalePageLayoutView="75" workbookViewId="0"/>
  </sheetViews>
  <sheetFormatPr defaultColWidth="0" defaultRowHeight="15" zeroHeight="1"/>
  <cols>
    <col min="1" max="1" width="2.7109375" style="6" customWidth="1"/>
    <col min="2" max="2" width="5.7109375" style="3" customWidth="1"/>
    <col min="3" max="3" width="73.28515625" style="3" customWidth="1"/>
    <col min="4" max="4" width="16.7109375" style="3" customWidth="1"/>
    <col min="5" max="12" width="16.7109375" style="7" customWidth="1"/>
    <col min="13" max="15" width="16.7109375" style="3" customWidth="1"/>
    <col min="16" max="16" width="8.7109375" style="3" customWidth="1"/>
    <col min="17" max="16384" width="9.140625" style="3" hidden="1"/>
  </cols>
  <sheetData>
    <row r="1" spans="2:16" ht="18.75" thickBot="1">
      <c r="B1" s="98" t="s">
        <v>155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6" ht="15.75" customHeight="1" thickBot="1">
      <c r="D2" s="634" t="s">
        <v>141</v>
      </c>
      <c r="E2" s="635"/>
      <c r="F2" s="635"/>
      <c r="G2" s="635"/>
      <c r="H2" s="635"/>
      <c r="I2" s="635"/>
      <c r="J2" s="635"/>
      <c r="K2" s="636"/>
      <c r="L2" s="71"/>
    </row>
    <row r="3" spans="2:16" ht="15.75">
      <c r="B3" s="94"/>
      <c r="C3" s="92"/>
      <c r="D3" s="637">
        <v>2014</v>
      </c>
      <c r="E3" s="638"/>
      <c r="F3" s="639"/>
      <c r="G3" s="640"/>
      <c r="H3" s="637">
        <v>2015</v>
      </c>
      <c r="I3" s="639"/>
      <c r="J3" s="639"/>
      <c r="K3" s="640"/>
      <c r="L3" s="219"/>
    </row>
    <row r="4" spans="2:16" ht="15.75">
      <c r="B4" s="87" t="s">
        <v>2</v>
      </c>
      <c r="C4" s="93"/>
      <c r="D4" s="9" t="s">
        <v>238</v>
      </c>
      <c r="E4" s="159" t="s">
        <v>238</v>
      </c>
      <c r="F4" s="498" t="s">
        <v>21</v>
      </c>
      <c r="G4" s="11" t="s">
        <v>21</v>
      </c>
      <c r="H4" s="9" t="s">
        <v>238</v>
      </c>
      <c r="I4" s="159" t="s">
        <v>238</v>
      </c>
      <c r="J4" s="498" t="s">
        <v>21</v>
      </c>
      <c r="K4" s="11" t="s">
        <v>21</v>
      </c>
      <c r="L4" s="219"/>
    </row>
    <row r="5" spans="2:16" ht="16.5" customHeight="1" thickBot="1">
      <c r="B5" s="54" t="s">
        <v>3</v>
      </c>
      <c r="C5" s="53" t="s">
        <v>1</v>
      </c>
      <c r="D5" s="468" t="s">
        <v>239</v>
      </c>
      <c r="E5" s="500">
        <v>41437</v>
      </c>
      <c r="F5" s="499" t="s">
        <v>15</v>
      </c>
      <c r="G5" s="13" t="s">
        <v>12</v>
      </c>
      <c r="H5" s="468" t="s">
        <v>239</v>
      </c>
      <c r="I5" s="500">
        <v>41437</v>
      </c>
      <c r="J5" s="499" t="s">
        <v>15</v>
      </c>
      <c r="K5" s="13" t="s">
        <v>12</v>
      </c>
      <c r="L5" s="219"/>
      <c r="M5" s="641"/>
      <c r="N5" s="641"/>
      <c r="O5" s="641"/>
      <c r="P5" s="641"/>
    </row>
    <row r="6" spans="2:16" ht="15.75">
      <c r="B6" s="14"/>
      <c r="C6" s="15"/>
      <c r="D6" s="485" t="s">
        <v>4</v>
      </c>
      <c r="E6" s="486" t="s">
        <v>5</v>
      </c>
      <c r="F6" s="487" t="s">
        <v>6</v>
      </c>
      <c r="G6" s="488" t="s">
        <v>7</v>
      </c>
      <c r="H6" s="485" t="s">
        <v>8</v>
      </c>
      <c r="I6" s="486" t="s">
        <v>9</v>
      </c>
      <c r="J6" s="487" t="s">
        <v>11</v>
      </c>
      <c r="K6" s="488" t="s">
        <v>13</v>
      </c>
      <c r="L6" s="26"/>
      <c r="M6" s="641"/>
      <c r="N6" s="641"/>
      <c r="O6" s="641"/>
      <c r="P6" s="641"/>
    </row>
    <row r="7" spans="2:16" ht="16.5" thickBot="1">
      <c r="B7" s="21" t="s">
        <v>26</v>
      </c>
      <c r="C7" s="20"/>
      <c r="D7" s="481"/>
      <c r="E7" s="482"/>
      <c r="F7" s="483"/>
      <c r="G7" s="484"/>
      <c r="H7" s="481"/>
      <c r="I7" s="482"/>
      <c r="J7" s="483"/>
      <c r="K7" s="484"/>
      <c r="L7" s="18"/>
      <c r="M7" s="641"/>
      <c r="N7" s="641"/>
      <c r="O7" s="641"/>
      <c r="P7" s="641"/>
    </row>
    <row r="8" spans="2:16">
      <c r="B8" s="67">
        <v>1</v>
      </c>
      <c r="C8" s="20" t="s">
        <v>27</v>
      </c>
      <c r="D8" s="547">
        <v>0.47</v>
      </c>
      <c r="E8" s="478">
        <v>0.47</v>
      </c>
      <c r="F8" s="443">
        <v>0</v>
      </c>
      <c r="G8" s="317">
        <f>E8+F8</f>
        <v>0.47</v>
      </c>
      <c r="H8" s="547">
        <f>E8</f>
        <v>0.47</v>
      </c>
      <c r="I8" s="478">
        <f>E8</f>
        <v>0.47</v>
      </c>
      <c r="J8" s="443">
        <v>0</v>
      </c>
      <c r="K8" s="317">
        <f>I8+J8</f>
        <v>0.47</v>
      </c>
      <c r="L8" s="470"/>
      <c r="M8" s="20"/>
      <c r="N8" s="20"/>
      <c r="O8" s="25"/>
      <c r="P8" s="20"/>
    </row>
    <row r="9" spans="2:16" ht="15.75" thickBot="1">
      <c r="B9" s="67">
        <v>2</v>
      </c>
      <c r="C9" s="20" t="s">
        <v>28</v>
      </c>
      <c r="D9" s="548">
        <f>1-D8</f>
        <v>0.53</v>
      </c>
      <c r="E9" s="479">
        <f>1-E8</f>
        <v>0.53</v>
      </c>
      <c r="F9" s="318">
        <f>-F8</f>
        <v>0</v>
      </c>
      <c r="G9" s="480">
        <f>E9+F9</f>
        <v>0.53</v>
      </c>
      <c r="H9" s="548">
        <f>1-H8</f>
        <v>0.53</v>
      </c>
      <c r="I9" s="479">
        <f>1-I8</f>
        <v>0.53</v>
      </c>
      <c r="J9" s="318">
        <f>-J8</f>
        <v>0</v>
      </c>
      <c r="K9" s="480">
        <f>I9+J9</f>
        <v>0.53</v>
      </c>
      <c r="L9" s="470"/>
      <c r="M9" s="641"/>
      <c r="N9" s="641"/>
      <c r="O9" s="641"/>
      <c r="P9" s="641"/>
    </row>
    <row r="10" spans="2:16">
      <c r="B10" s="16"/>
      <c r="C10" s="20"/>
      <c r="D10" s="41"/>
      <c r="E10" s="467"/>
      <c r="F10" s="18"/>
      <c r="G10" s="113"/>
      <c r="H10" s="473"/>
      <c r="I10" s="476"/>
      <c r="J10" s="374"/>
      <c r="K10" s="474"/>
      <c r="L10" s="18"/>
      <c r="M10" s="641"/>
      <c r="N10" s="641"/>
      <c r="O10" s="641"/>
      <c r="P10" s="641"/>
    </row>
    <row r="11" spans="2:16" ht="16.5" thickBot="1">
      <c r="B11" s="21" t="s">
        <v>18</v>
      </c>
      <c r="C11" s="20"/>
      <c r="D11" s="41"/>
      <c r="E11" s="467"/>
      <c r="F11" s="18"/>
      <c r="G11" s="113"/>
      <c r="H11" s="471"/>
      <c r="I11" s="477"/>
      <c r="J11" s="472"/>
      <c r="K11" s="475"/>
      <c r="L11" s="18"/>
      <c r="M11" s="641"/>
      <c r="N11" s="641"/>
      <c r="O11" s="641"/>
      <c r="P11" s="641"/>
    </row>
    <row r="12" spans="2:16">
      <c r="B12" s="95">
        <v>3</v>
      </c>
      <c r="C12" s="85" t="s">
        <v>180</v>
      </c>
      <c r="D12" s="427">
        <v>3.81</v>
      </c>
      <c r="E12" s="377">
        <v>3.81</v>
      </c>
      <c r="F12" s="444">
        <v>0</v>
      </c>
      <c r="G12" s="300">
        <f>E12+F12</f>
        <v>3.81</v>
      </c>
      <c r="H12" s="427">
        <v>3.81</v>
      </c>
      <c r="I12" s="377">
        <v>3.81</v>
      </c>
      <c r="J12" s="444">
        <v>0</v>
      </c>
      <c r="K12" s="300">
        <f>I12+J12</f>
        <v>3.81</v>
      </c>
      <c r="L12" s="18"/>
      <c r="M12" s="20"/>
      <c r="N12" s="20"/>
      <c r="O12" s="20"/>
      <c r="P12" s="20"/>
    </row>
    <row r="13" spans="2:16" ht="15" customHeight="1">
      <c r="B13" s="95">
        <v>4</v>
      </c>
      <c r="C13" s="85" t="s">
        <v>128</v>
      </c>
      <c r="D13" s="430">
        <v>4.0180000000000007</v>
      </c>
      <c r="E13" s="400">
        <v>4.0180000000000007</v>
      </c>
      <c r="F13" s="445">
        <v>0</v>
      </c>
      <c r="G13" s="309">
        <f>E13+F13</f>
        <v>4.0180000000000007</v>
      </c>
      <c r="H13" s="430">
        <v>6.2051000000000007</v>
      </c>
      <c r="I13" s="400">
        <v>6.2051000000000007</v>
      </c>
      <c r="J13" s="445">
        <v>0</v>
      </c>
      <c r="K13" s="309">
        <f>I13+J13</f>
        <v>6.2051000000000007</v>
      </c>
      <c r="L13" s="18"/>
      <c r="M13" s="20"/>
      <c r="N13" s="20"/>
      <c r="O13" s="20"/>
      <c r="P13" s="20"/>
    </row>
    <row r="14" spans="2:16">
      <c r="B14" s="95">
        <v>5</v>
      </c>
      <c r="C14" s="85" t="s">
        <v>181</v>
      </c>
      <c r="D14" s="430">
        <f>D15*(D12+D13)</f>
        <v>6.9987531114327064</v>
      </c>
      <c r="E14" s="400">
        <f>E15*(E12+E13)</f>
        <v>6.9987531114327064</v>
      </c>
      <c r="F14" s="319">
        <f>G14-E14</f>
        <v>0</v>
      </c>
      <c r="G14" s="309">
        <f>G15*(G12+G13)</f>
        <v>6.9987531114327064</v>
      </c>
      <c r="H14" s="430">
        <f>H15*(H12+H13)</f>
        <v>8.9541661070911722</v>
      </c>
      <c r="I14" s="400">
        <f>I15*(I12+I13)</f>
        <v>8.9541661070911722</v>
      </c>
      <c r="J14" s="319">
        <f>K14-I14</f>
        <v>0</v>
      </c>
      <c r="K14" s="309">
        <f>K15*(K12+K13)</f>
        <v>8.9541661070911722</v>
      </c>
      <c r="L14" s="18"/>
      <c r="M14" s="248"/>
      <c r="N14" s="248"/>
      <c r="O14" s="248"/>
      <c r="P14" s="248"/>
    </row>
    <row r="15" spans="2:16">
      <c r="B15" s="95">
        <v>6</v>
      </c>
      <c r="C15" s="85" t="s">
        <v>157</v>
      </c>
      <c r="D15" s="135">
        <v>0.89406657018813307</v>
      </c>
      <c r="E15" s="180">
        <v>0.89406657018813307</v>
      </c>
      <c r="F15" s="446">
        <v>0</v>
      </c>
      <c r="G15" s="23">
        <f>E15+F15</f>
        <v>0.89406657018813307</v>
      </c>
      <c r="H15" s="135">
        <v>0.89406657018813307</v>
      </c>
      <c r="I15" s="180">
        <v>0.89406657018813307</v>
      </c>
      <c r="J15" s="446">
        <v>0</v>
      </c>
      <c r="K15" s="23">
        <f>I15+J15</f>
        <v>0.89406657018813307</v>
      </c>
      <c r="L15" s="24"/>
      <c r="M15" s="248"/>
      <c r="N15" s="248"/>
      <c r="O15" s="248"/>
      <c r="P15" s="248"/>
    </row>
    <row r="16" spans="2:16">
      <c r="B16" s="95">
        <v>7</v>
      </c>
      <c r="C16" s="85" t="s">
        <v>156</v>
      </c>
      <c r="D16" s="135">
        <v>4.8501573520290525E-2</v>
      </c>
      <c r="E16" s="180">
        <v>4.8501573520290525E-2</v>
      </c>
      <c r="F16" s="446">
        <v>0</v>
      </c>
      <c r="G16" s="23">
        <f>E16+F16</f>
        <v>4.8501573520290525E-2</v>
      </c>
      <c r="H16" s="135">
        <v>4.8599112025764168E-2</v>
      </c>
      <c r="I16" s="180">
        <v>4.8599112025764168E-2</v>
      </c>
      <c r="J16" s="446">
        <v>0</v>
      </c>
      <c r="K16" s="23">
        <f>I16+J16</f>
        <v>4.8599112025764168E-2</v>
      </c>
      <c r="L16" s="24"/>
      <c r="M16" s="248"/>
      <c r="N16" s="248"/>
      <c r="O16" s="248"/>
      <c r="P16" s="248"/>
    </row>
    <row r="17" spans="2:24">
      <c r="B17" s="95">
        <v>8</v>
      </c>
      <c r="C17" s="85" t="s">
        <v>158</v>
      </c>
      <c r="D17" s="135">
        <v>4.8501573520290525E-2</v>
      </c>
      <c r="E17" s="180">
        <v>4.8501573520290525E-2</v>
      </c>
      <c r="F17" s="446">
        <v>0</v>
      </c>
      <c r="G17" s="23">
        <f>E17+F17</f>
        <v>4.8501573520290525E-2</v>
      </c>
      <c r="H17" s="135">
        <v>4.8599112025764168E-2</v>
      </c>
      <c r="I17" s="180">
        <v>4.8599112025764168E-2</v>
      </c>
      <c r="J17" s="446">
        <v>0</v>
      </c>
      <c r="K17" s="23">
        <f>I17+J17</f>
        <v>4.8599112025764168E-2</v>
      </c>
      <c r="L17" s="24"/>
      <c r="M17" s="248"/>
      <c r="N17" s="248"/>
      <c r="O17" s="248"/>
      <c r="P17" s="248"/>
    </row>
    <row r="18" spans="2:24">
      <c r="B18" s="95">
        <v>9</v>
      </c>
      <c r="C18" s="85" t="s">
        <v>182</v>
      </c>
      <c r="D18" s="135">
        <v>8.9800000000000005E-2</v>
      </c>
      <c r="E18" s="180">
        <v>8.9800000000000005E-2</v>
      </c>
      <c r="F18" s="446">
        <v>0</v>
      </c>
      <c r="G18" s="23">
        <f>E18+F18</f>
        <v>8.9800000000000005E-2</v>
      </c>
      <c r="H18" s="135">
        <v>8.9800000000000005E-2</v>
      </c>
      <c r="I18" s="180">
        <v>8.9800000000000005E-2</v>
      </c>
      <c r="J18" s="446">
        <v>0</v>
      </c>
      <c r="K18" s="23">
        <f>I18+J18</f>
        <v>8.9800000000000005E-2</v>
      </c>
      <c r="L18" s="24"/>
      <c r="M18" s="248"/>
      <c r="N18" s="248"/>
      <c r="O18" s="248"/>
      <c r="P18" s="248"/>
      <c r="Q18" s="7"/>
      <c r="R18" s="7"/>
      <c r="S18" s="7"/>
      <c r="T18" s="7"/>
    </row>
    <row r="19" spans="2:24" ht="15.75" thickBot="1">
      <c r="B19" s="95">
        <v>10</v>
      </c>
      <c r="C19" s="85" t="s">
        <v>183</v>
      </c>
      <c r="D19" s="549">
        <v>5.3699999999999998E-2</v>
      </c>
      <c r="E19" s="489">
        <v>5.3699999999999998E-2</v>
      </c>
      <c r="F19" s="447">
        <v>0</v>
      </c>
      <c r="G19" s="38">
        <f>E19+F19</f>
        <v>5.3699999999999998E-2</v>
      </c>
      <c r="H19" s="549">
        <v>5.3699999999999998E-2</v>
      </c>
      <c r="I19" s="489">
        <v>5.3699999999999998E-2</v>
      </c>
      <c r="J19" s="447">
        <v>0</v>
      </c>
      <c r="K19" s="38">
        <f>I19+J19</f>
        <v>5.3699999999999998E-2</v>
      </c>
      <c r="L19" s="24"/>
      <c r="M19" s="20"/>
      <c r="N19" s="20"/>
      <c r="O19" s="20"/>
      <c r="P19" s="20"/>
      <c r="Q19" s="7"/>
      <c r="R19" s="7"/>
      <c r="S19" s="7"/>
      <c r="T19" s="7"/>
    </row>
    <row r="20" spans="2:24">
      <c r="B20" s="16"/>
      <c r="C20" s="20"/>
      <c r="D20" s="41"/>
      <c r="E20" s="467"/>
      <c r="F20" s="18"/>
      <c r="G20" s="113"/>
      <c r="H20" s="473"/>
      <c r="I20" s="476"/>
      <c r="J20" s="374"/>
      <c r="K20" s="474"/>
      <c r="L20" s="24"/>
      <c r="M20" s="20"/>
      <c r="N20" s="25"/>
      <c r="O20" s="25"/>
      <c r="P20" s="467"/>
      <c r="Q20" s="7"/>
      <c r="R20" s="7"/>
      <c r="S20" s="7"/>
      <c r="T20" s="7"/>
    </row>
    <row r="21" spans="2:24" ht="16.5" thickBot="1">
      <c r="B21" s="21" t="s">
        <v>38</v>
      </c>
      <c r="C21" s="20"/>
      <c r="D21" s="41"/>
      <c r="E21" s="467"/>
      <c r="F21" s="18"/>
      <c r="G21" s="113"/>
      <c r="H21" s="471"/>
      <c r="I21" s="477"/>
      <c r="J21" s="472"/>
      <c r="K21" s="475"/>
      <c r="L21" s="18"/>
      <c r="M21" s="20"/>
      <c r="N21" s="25"/>
      <c r="O21" s="25"/>
      <c r="P21" s="467"/>
      <c r="Q21" s="7"/>
      <c r="R21" s="7"/>
      <c r="S21" s="7"/>
      <c r="T21" s="7"/>
      <c r="U21" s="7"/>
      <c r="V21" s="7"/>
      <c r="W21" s="7"/>
      <c r="X21" s="7"/>
    </row>
    <row r="22" spans="2:24">
      <c r="B22" s="95">
        <v>11</v>
      </c>
      <c r="C22" s="85" t="s">
        <v>184</v>
      </c>
      <c r="D22" s="427">
        <v>192.22431259044862</v>
      </c>
      <c r="E22" s="377">
        <v>192.22431259044862</v>
      </c>
      <c r="F22" s="444">
        <v>0</v>
      </c>
      <c r="G22" s="300">
        <f>E22+F22</f>
        <v>192.22431259044862</v>
      </c>
      <c r="H22" s="427">
        <v>192.22431259044862</v>
      </c>
      <c r="I22" s="377">
        <v>192.22431259044862</v>
      </c>
      <c r="J22" s="444">
        <v>0</v>
      </c>
      <c r="K22" s="300">
        <f>I22+J22</f>
        <v>192.22431259044862</v>
      </c>
      <c r="L22" s="18"/>
      <c r="M22" s="20"/>
      <c r="N22" s="25"/>
      <c r="O22" s="25"/>
      <c r="P22" s="20"/>
    </row>
    <row r="23" spans="2:24">
      <c r="B23" s="95">
        <v>12</v>
      </c>
      <c r="C23" s="85" t="s">
        <v>185</v>
      </c>
      <c r="D23" s="430">
        <v>3372.660695303492</v>
      </c>
      <c r="E23" s="400">
        <v>3372.660695303492</v>
      </c>
      <c r="F23" s="445">
        <v>0</v>
      </c>
      <c r="G23" s="309">
        <f>E23+F23</f>
        <v>3372.660695303492</v>
      </c>
      <c r="H23" s="430">
        <v>3481.5614388505905</v>
      </c>
      <c r="I23" s="400">
        <v>3481.5614388505905</v>
      </c>
      <c r="J23" s="445">
        <v>0</v>
      </c>
      <c r="K23" s="309">
        <f>I23+J23</f>
        <v>3481.5614388505905</v>
      </c>
      <c r="L23" s="18"/>
      <c r="N23" s="25"/>
      <c r="O23" s="25"/>
    </row>
    <row r="24" spans="2:24" ht="15.75" thickBot="1">
      <c r="B24" s="96">
        <v>13</v>
      </c>
      <c r="C24" s="150" t="s">
        <v>70</v>
      </c>
      <c r="D24" s="550">
        <v>1389.4679442144143</v>
      </c>
      <c r="E24" s="490">
        <v>1389.4679442144143</v>
      </c>
      <c r="F24" s="448">
        <v>0</v>
      </c>
      <c r="G24" s="320">
        <f>E24+F24</f>
        <v>1389.4679442144143</v>
      </c>
      <c r="H24" s="550">
        <v>1308.7679442144145</v>
      </c>
      <c r="I24" s="490">
        <v>1308.7679442144145</v>
      </c>
      <c r="J24" s="448">
        <v>0</v>
      </c>
      <c r="K24" s="320">
        <f>I24+J24</f>
        <v>1308.7679442144145</v>
      </c>
      <c r="L24" s="18"/>
      <c r="N24" s="25"/>
      <c r="O24" s="25"/>
    </row>
    <row r="25" spans="2:24" ht="15.75" thickBot="1">
      <c r="B25" s="104"/>
      <c r="C25" s="85"/>
      <c r="D25" s="85"/>
      <c r="E25" s="112"/>
      <c r="F25" s="112"/>
      <c r="G25" s="112"/>
      <c r="H25" s="112"/>
      <c r="I25" s="112"/>
      <c r="J25" s="112"/>
      <c r="K25" s="112"/>
      <c r="L25" s="112"/>
      <c r="N25" s="25"/>
      <c r="O25" s="25"/>
    </row>
    <row r="26" spans="2:24" ht="16.5" customHeight="1" thickBot="1">
      <c r="D26" s="634" t="s">
        <v>62</v>
      </c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6"/>
    </row>
    <row r="27" spans="2:24" ht="16.5" thickBot="1">
      <c r="B27" s="94"/>
      <c r="C27" s="92"/>
      <c r="D27" s="631">
        <v>2014</v>
      </c>
      <c r="E27" s="632"/>
      <c r="F27" s="632"/>
      <c r="G27" s="633"/>
      <c r="H27" s="631">
        <v>2015</v>
      </c>
      <c r="I27" s="632"/>
      <c r="J27" s="632"/>
      <c r="K27" s="633"/>
      <c r="L27" s="631" t="s">
        <v>0</v>
      </c>
      <c r="M27" s="632"/>
      <c r="N27" s="632"/>
      <c r="O27" s="633"/>
    </row>
    <row r="28" spans="2:24" ht="15.75">
      <c r="B28" s="87" t="s">
        <v>2</v>
      </c>
      <c r="C28" s="93"/>
      <c r="D28" s="88" t="s">
        <v>238</v>
      </c>
      <c r="E28" s="491" t="s">
        <v>238</v>
      </c>
      <c r="F28" s="507" t="s">
        <v>21</v>
      </c>
      <c r="G28" s="176" t="s">
        <v>21</v>
      </c>
      <c r="H28" s="9" t="s">
        <v>238</v>
      </c>
      <c r="I28" s="159" t="s">
        <v>238</v>
      </c>
      <c r="J28" s="498" t="s">
        <v>21</v>
      </c>
      <c r="K28" s="11" t="s">
        <v>21</v>
      </c>
      <c r="L28" s="9" t="s">
        <v>238</v>
      </c>
      <c r="M28" s="159" t="s">
        <v>238</v>
      </c>
      <c r="N28" s="498" t="s">
        <v>21</v>
      </c>
      <c r="O28" s="11" t="s">
        <v>21</v>
      </c>
    </row>
    <row r="29" spans="2:24" ht="16.5" thickBot="1">
      <c r="B29" s="54" t="s">
        <v>3</v>
      </c>
      <c r="C29" s="53" t="s">
        <v>1</v>
      </c>
      <c r="D29" s="468" t="s">
        <v>239</v>
      </c>
      <c r="E29" s="500">
        <v>41437</v>
      </c>
      <c r="F29" s="499" t="s">
        <v>15</v>
      </c>
      <c r="G29" s="13" t="s">
        <v>12</v>
      </c>
      <c r="H29" s="468" t="s">
        <v>239</v>
      </c>
      <c r="I29" s="500">
        <v>41437</v>
      </c>
      <c r="J29" s="499" t="s">
        <v>15</v>
      </c>
      <c r="K29" s="13" t="s">
        <v>12</v>
      </c>
      <c r="L29" s="468" t="s">
        <v>239</v>
      </c>
      <c r="M29" s="500">
        <v>41437</v>
      </c>
      <c r="N29" s="499" t="s">
        <v>15</v>
      </c>
      <c r="O29" s="13" t="s">
        <v>12</v>
      </c>
    </row>
    <row r="30" spans="2:24">
      <c r="B30" s="16"/>
      <c r="C30" s="20"/>
      <c r="D30" s="508" t="s">
        <v>4</v>
      </c>
      <c r="E30" s="509" t="s">
        <v>5</v>
      </c>
      <c r="F30" s="509" t="s">
        <v>6</v>
      </c>
      <c r="G30" s="510" t="s">
        <v>7</v>
      </c>
      <c r="H30" s="508" t="s">
        <v>8</v>
      </c>
      <c r="I30" s="509" t="s">
        <v>9</v>
      </c>
      <c r="J30" s="509" t="s">
        <v>11</v>
      </c>
      <c r="K30" s="510" t="s">
        <v>13</v>
      </c>
      <c r="L30" s="508" t="s">
        <v>14</v>
      </c>
      <c r="M30" s="509" t="s">
        <v>240</v>
      </c>
      <c r="N30" s="509" t="s">
        <v>241</v>
      </c>
      <c r="O30" s="510" t="s">
        <v>242</v>
      </c>
    </row>
    <row r="31" spans="2:24" ht="18" thickBot="1">
      <c r="B31" s="21" t="s">
        <v>37</v>
      </c>
      <c r="C31" s="20"/>
      <c r="D31" s="16"/>
      <c r="E31" s="27"/>
      <c r="F31" s="27"/>
      <c r="G31" s="28"/>
      <c r="H31" s="16"/>
      <c r="I31" s="27"/>
      <c r="J31" s="27"/>
      <c r="K31" s="28"/>
      <c r="L31" s="16"/>
      <c r="M31" s="27"/>
      <c r="N31" s="27"/>
      <c r="O31" s="28"/>
    </row>
    <row r="32" spans="2:24">
      <c r="B32" s="67">
        <v>14</v>
      </c>
      <c r="C32" s="20" t="s">
        <v>39</v>
      </c>
      <c r="D32" s="427">
        <v>6079.8739999999998</v>
      </c>
      <c r="E32" s="377">
        <v>6079.8739999999998</v>
      </c>
      <c r="F32" s="444">
        <v>0</v>
      </c>
      <c r="G32" s="300">
        <f>E32+F32</f>
        <v>6079.8739999999998</v>
      </c>
      <c r="H32" s="427">
        <v>6118.4195</v>
      </c>
      <c r="I32" s="377">
        <v>6118.4195</v>
      </c>
      <c r="J32" s="444">
        <v>0</v>
      </c>
      <c r="K32" s="300">
        <f>I32+J32</f>
        <v>6118.4195</v>
      </c>
      <c r="L32" s="322">
        <f t="shared" ref="L32:M35" si="0">D32+H32</f>
        <v>12198.2935</v>
      </c>
      <c r="M32" s="377">
        <f t="shared" si="0"/>
        <v>12198.2935</v>
      </c>
      <c r="N32" s="512">
        <f>O32-M32</f>
        <v>0</v>
      </c>
      <c r="O32" s="300">
        <f>G32+K32</f>
        <v>12198.2935</v>
      </c>
    </row>
    <row r="33" spans="1:15">
      <c r="B33" s="67">
        <v>15</v>
      </c>
      <c r="C33" s="85" t="s">
        <v>67</v>
      </c>
      <c r="D33" s="430">
        <v>974.3075063118556</v>
      </c>
      <c r="E33" s="400">
        <v>974.3075063118556</v>
      </c>
      <c r="F33" s="445">
        <v>0</v>
      </c>
      <c r="G33" s="309">
        <f>E33+F33</f>
        <v>974.3075063118556</v>
      </c>
      <c r="H33" s="430">
        <v>1056.2030800117946</v>
      </c>
      <c r="I33" s="400">
        <v>1056.2030800117946</v>
      </c>
      <c r="J33" s="445">
        <v>0</v>
      </c>
      <c r="K33" s="309">
        <f>I33+J33</f>
        <v>1056.2030800117946</v>
      </c>
      <c r="L33" s="325">
        <f t="shared" si="0"/>
        <v>2030.5105863236502</v>
      </c>
      <c r="M33" s="400">
        <f t="shared" si="0"/>
        <v>2030.5105863236502</v>
      </c>
      <c r="N33" s="513">
        <f>O33-M33</f>
        <v>0</v>
      </c>
      <c r="O33" s="309">
        <f>G33+K33</f>
        <v>2030.5105863236502</v>
      </c>
    </row>
    <row r="34" spans="1:15">
      <c r="B34" s="67">
        <v>16</v>
      </c>
      <c r="C34" s="20" t="s">
        <v>43</v>
      </c>
      <c r="D34" s="430">
        <v>21.7</v>
      </c>
      <c r="E34" s="400">
        <v>21.7</v>
      </c>
      <c r="F34" s="445">
        <v>0</v>
      </c>
      <c r="G34" s="309">
        <f>E34+F34</f>
        <v>21.7</v>
      </c>
      <c r="H34" s="430">
        <v>21.7</v>
      </c>
      <c r="I34" s="400">
        <v>21.7</v>
      </c>
      <c r="J34" s="445">
        <v>0</v>
      </c>
      <c r="K34" s="309">
        <f>I34+J34</f>
        <v>21.7</v>
      </c>
      <c r="L34" s="325">
        <f t="shared" si="0"/>
        <v>43.4</v>
      </c>
      <c r="M34" s="400">
        <f t="shared" si="0"/>
        <v>43.4</v>
      </c>
      <c r="N34" s="513">
        <f>O34-M34</f>
        <v>0</v>
      </c>
      <c r="O34" s="309">
        <f>G34+K34</f>
        <v>43.4</v>
      </c>
    </row>
    <row r="35" spans="1:15">
      <c r="B35" s="67">
        <v>17</v>
      </c>
      <c r="C35" s="85" t="s">
        <v>69</v>
      </c>
      <c r="D35" s="430">
        <v>0.7</v>
      </c>
      <c r="E35" s="400">
        <v>0.7</v>
      </c>
      <c r="F35" s="445">
        <v>0</v>
      </c>
      <c r="G35" s="309">
        <f>E35+F35</f>
        <v>0.7</v>
      </c>
      <c r="H35" s="430">
        <v>0.7</v>
      </c>
      <c r="I35" s="400">
        <v>0.7</v>
      </c>
      <c r="J35" s="445">
        <v>0</v>
      </c>
      <c r="K35" s="309">
        <f>I35+J35</f>
        <v>0.7</v>
      </c>
      <c r="L35" s="325">
        <f t="shared" si="0"/>
        <v>1.4</v>
      </c>
      <c r="M35" s="400">
        <f t="shared" si="0"/>
        <v>1.4</v>
      </c>
      <c r="N35" s="513">
        <f>O35-M35</f>
        <v>0</v>
      </c>
      <c r="O35" s="309">
        <f>G35+K35</f>
        <v>1.4</v>
      </c>
    </row>
    <row r="36" spans="1:15">
      <c r="B36" s="67">
        <v>18</v>
      </c>
      <c r="C36" s="20" t="s">
        <v>31</v>
      </c>
      <c r="D36" s="551" t="s">
        <v>17</v>
      </c>
      <c r="E36" s="328" t="s">
        <v>17</v>
      </c>
      <c r="F36" s="328" t="s">
        <v>17</v>
      </c>
      <c r="G36" s="329" t="s">
        <v>17</v>
      </c>
      <c r="H36" s="551" t="s">
        <v>17</v>
      </c>
      <c r="I36" s="328" t="s">
        <v>17</v>
      </c>
      <c r="J36" s="328" t="s">
        <v>17</v>
      </c>
      <c r="K36" s="329" t="s">
        <v>17</v>
      </c>
      <c r="L36" s="330" t="s">
        <v>17</v>
      </c>
      <c r="M36" s="328" t="s">
        <v>17</v>
      </c>
      <c r="N36" s="328" t="s">
        <v>17</v>
      </c>
      <c r="O36" s="329" t="s">
        <v>17</v>
      </c>
    </row>
    <row r="37" spans="1:15" ht="16.5" thickBot="1">
      <c r="B37" s="67">
        <v>19</v>
      </c>
      <c r="C37" s="17" t="s">
        <v>0</v>
      </c>
      <c r="D37" s="331">
        <f>D32-D33+D34+D35</f>
        <v>5127.9664936881436</v>
      </c>
      <c r="E37" s="501">
        <f>E32-E33+E34+E35</f>
        <v>5127.9664936881436</v>
      </c>
      <c r="F37" s="332">
        <f>G37-E37</f>
        <v>0</v>
      </c>
      <c r="G37" s="333">
        <f>G32-G33+G34+G35</f>
        <v>5127.9664936881436</v>
      </c>
      <c r="H37" s="331">
        <f>H32-H33+H34+H35</f>
        <v>5084.6164199882051</v>
      </c>
      <c r="I37" s="501">
        <f>I32-I33+I34+I35</f>
        <v>5084.6164199882051</v>
      </c>
      <c r="J37" s="332">
        <f>K37-I37</f>
        <v>0</v>
      </c>
      <c r="K37" s="333">
        <f>K32-K33+K34+K35</f>
        <v>5084.6164199882051</v>
      </c>
      <c r="L37" s="331">
        <f>L32-L33+L34+L35</f>
        <v>10212.58291367635</v>
      </c>
      <c r="M37" s="501">
        <f t="shared" ref="M37:O37" si="1">M32-M33+M34+M35</f>
        <v>10212.58291367635</v>
      </c>
      <c r="N37" s="332">
        <f>O37-M37</f>
        <v>0</v>
      </c>
      <c r="O37" s="333">
        <f t="shared" si="1"/>
        <v>10212.58291367635</v>
      </c>
    </row>
    <row r="38" spans="1:15" s="4" customFormat="1">
      <c r="A38" s="30"/>
      <c r="B38" s="31"/>
      <c r="C38" s="25"/>
      <c r="D38" s="552"/>
      <c r="E38" s="29"/>
      <c r="F38" s="29"/>
      <c r="G38" s="334"/>
      <c r="H38" s="552"/>
      <c r="I38" s="29"/>
      <c r="J38" s="29"/>
      <c r="K38" s="334"/>
      <c r="L38" s="335"/>
      <c r="M38" s="29"/>
      <c r="N38" s="29"/>
      <c r="O38" s="334"/>
    </row>
    <row r="39" spans="1:15" s="4" customFormat="1" ht="16.5" thickBot="1">
      <c r="A39" s="30"/>
      <c r="B39" s="14" t="s">
        <v>45</v>
      </c>
      <c r="C39" s="25"/>
      <c r="D39" s="552"/>
      <c r="E39" s="29"/>
      <c r="F39" s="29"/>
      <c r="G39" s="334"/>
      <c r="H39" s="552"/>
      <c r="I39" s="29"/>
      <c r="J39" s="29"/>
      <c r="K39" s="334"/>
      <c r="L39" s="335"/>
      <c r="M39" s="29"/>
      <c r="N39" s="29"/>
      <c r="O39" s="334"/>
    </row>
    <row r="40" spans="1:15">
      <c r="B40" s="67">
        <v>20</v>
      </c>
      <c r="C40" s="20" t="s">
        <v>32</v>
      </c>
      <c r="D40" s="427">
        <v>145.45911683262707</v>
      </c>
      <c r="E40" s="377">
        <f>145.459116832627+3.79</f>
        <v>149.24911683262698</v>
      </c>
      <c r="F40" s="444">
        <v>0</v>
      </c>
      <c r="G40" s="300">
        <f>E40+F40</f>
        <v>149.24911683262698</v>
      </c>
      <c r="H40" s="427">
        <v>141.07843110817137</v>
      </c>
      <c r="I40" s="377">
        <f>141.078431108171+3.13</f>
        <v>144.208431108171</v>
      </c>
      <c r="J40" s="444">
        <v>0</v>
      </c>
      <c r="K40" s="300">
        <f>I40+J40</f>
        <v>144.208431108171</v>
      </c>
      <c r="L40" s="322">
        <f t="shared" ref="L40:M43" si="2">D40+H40</f>
        <v>286.53754794079845</v>
      </c>
      <c r="M40" s="377">
        <f t="shared" si="2"/>
        <v>293.45754794079801</v>
      </c>
      <c r="N40" s="512">
        <f>O40-M40</f>
        <v>0</v>
      </c>
      <c r="O40" s="300">
        <f>G40+K40</f>
        <v>293.45754794079801</v>
      </c>
    </row>
    <row r="41" spans="1:15">
      <c r="B41" s="67">
        <v>21</v>
      </c>
      <c r="C41" s="85" t="s">
        <v>85</v>
      </c>
      <c r="D41" s="430">
        <v>253.25149018551281</v>
      </c>
      <c r="E41" s="400">
        <f>253.251490185513+13.9778500150271</f>
        <v>267.22934020054009</v>
      </c>
      <c r="F41" s="445">
        <v>0</v>
      </c>
      <c r="G41" s="309">
        <f>E41+F41</f>
        <v>267.22934020054009</v>
      </c>
      <c r="H41" s="430">
        <v>269.54028325460223</v>
      </c>
      <c r="I41" s="400">
        <f>269.540283254602+11.2589635476647</f>
        <v>280.79924680226668</v>
      </c>
      <c r="J41" s="445">
        <v>0</v>
      </c>
      <c r="K41" s="309">
        <f>I41+J41</f>
        <v>280.79924680226668</v>
      </c>
      <c r="L41" s="325">
        <f t="shared" si="2"/>
        <v>522.79177344011509</v>
      </c>
      <c r="M41" s="400">
        <f t="shared" si="2"/>
        <v>548.02858700280672</v>
      </c>
      <c r="N41" s="513">
        <f>O41-M41</f>
        <v>0</v>
      </c>
      <c r="O41" s="309">
        <f>G41+K41</f>
        <v>548.02858700280672</v>
      </c>
    </row>
    <row r="42" spans="1:15">
      <c r="B42" s="67">
        <v>22</v>
      </c>
      <c r="C42" s="85" t="s">
        <v>68</v>
      </c>
      <c r="D42" s="430">
        <v>82.051238318380328</v>
      </c>
      <c r="E42" s="400">
        <v>82.051238318380328</v>
      </c>
      <c r="F42" s="445">
        <v>0</v>
      </c>
      <c r="G42" s="309">
        <f>E42+F42</f>
        <v>82.051238318380328</v>
      </c>
      <c r="H42" s="430">
        <v>81.939909081497532</v>
      </c>
      <c r="I42" s="400">
        <v>81.939909081497532</v>
      </c>
      <c r="J42" s="445">
        <v>0</v>
      </c>
      <c r="K42" s="309">
        <f>I42+J42</f>
        <v>81.939909081497532</v>
      </c>
      <c r="L42" s="325">
        <f t="shared" si="2"/>
        <v>163.99114739987786</v>
      </c>
      <c r="M42" s="400">
        <f t="shared" si="2"/>
        <v>163.99114739987786</v>
      </c>
      <c r="N42" s="513">
        <f>O42-M42</f>
        <v>0</v>
      </c>
      <c r="O42" s="309">
        <f>G42+K42</f>
        <v>163.99114739987786</v>
      </c>
    </row>
    <row r="43" spans="1:15">
      <c r="B43" s="67">
        <v>23</v>
      </c>
      <c r="C43" s="20" t="s">
        <v>34</v>
      </c>
      <c r="D43" s="553">
        <v>0.30000000000000004</v>
      </c>
      <c r="E43" s="403">
        <v>0.30000000000000004</v>
      </c>
      <c r="F43" s="449">
        <v>0</v>
      </c>
      <c r="G43" s="316">
        <f>E43+F43</f>
        <v>0.30000000000000004</v>
      </c>
      <c r="H43" s="553">
        <v>0.30000000000000004</v>
      </c>
      <c r="I43" s="403">
        <v>0.30000000000000004</v>
      </c>
      <c r="J43" s="449">
        <v>0</v>
      </c>
      <c r="K43" s="316">
        <f>I43+J43</f>
        <v>0.30000000000000004</v>
      </c>
      <c r="L43" s="338">
        <f t="shared" si="2"/>
        <v>0.60000000000000009</v>
      </c>
      <c r="M43" s="403">
        <f t="shared" si="2"/>
        <v>0.60000000000000009</v>
      </c>
      <c r="N43" s="514">
        <f>O43-M43</f>
        <v>0</v>
      </c>
      <c r="O43" s="316">
        <f>G43+K43</f>
        <v>0.60000000000000009</v>
      </c>
    </row>
    <row r="44" spans="1:15" ht="16.5" thickBot="1">
      <c r="B44" s="67">
        <v>24</v>
      </c>
      <c r="C44" s="17" t="s">
        <v>0</v>
      </c>
      <c r="D44" s="313">
        <f>SUM(D40:D43)</f>
        <v>481.06184533652021</v>
      </c>
      <c r="E44" s="402">
        <f>SUM(E40:E43)</f>
        <v>498.8296953515474</v>
      </c>
      <c r="F44" s="341">
        <f>G44-E44</f>
        <v>0</v>
      </c>
      <c r="G44" s="315">
        <f>SUM(G40:G43)</f>
        <v>498.8296953515474</v>
      </c>
      <c r="H44" s="313">
        <f>SUM(H40:H43)</f>
        <v>492.85862344427119</v>
      </c>
      <c r="I44" s="402">
        <f>SUM(I40:I43)</f>
        <v>507.24758699193524</v>
      </c>
      <c r="J44" s="341">
        <f>K44-I44</f>
        <v>0</v>
      </c>
      <c r="K44" s="315">
        <f>SUM(K40:K43)</f>
        <v>507.24758699193524</v>
      </c>
      <c r="L44" s="313">
        <f>SUM(L40:L43)</f>
        <v>973.92046878079145</v>
      </c>
      <c r="M44" s="402">
        <f>SUM(M40:M43)</f>
        <v>1006.0772823434826</v>
      </c>
      <c r="N44" s="341">
        <f>O44-M44</f>
        <v>0</v>
      </c>
      <c r="O44" s="315">
        <f t="shared" ref="O44" si="3">SUM(O40:O43)</f>
        <v>1006.0772823434826</v>
      </c>
    </row>
    <row r="45" spans="1:15" s="4" customFormat="1">
      <c r="A45" s="30"/>
      <c r="B45" s="31"/>
      <c r="C45" s="25"/>
      <c r="D45" s="552"/>
      <c r="E45" s="29"/>
      <c r="F45" s="29"/>
      <c r="G45" s="334"/>
      <c r="H45" s="552"/>
      <c r="I45" s="29"/>
      <c r="J45" s="29"/>
      <c r="K45" s="334"/>
      <c r="L45" s="335"/>
      <c r="M45" s="29"/>
      <c r="N45" s="29"/>
      <c r="O45" s="334"/>
    </row>
    <row r="46" spans="1:15" ht="15.75">
      <c r="B46" s="21" t="s">
        <v>44</v>
      </c>
      <c r="C46" s="20"/>
      <c r="D46" s="107"/>
      <c r="E46" s="18"/>
      <c r="F46" s="18"/>
      <c r="G46" s="343"/>
      <c r="H46" s="107"/>
      <c r="I46" s="18"/>
      <c r="J46" s="18"/>
      <c r="K46" s="343"/>
      <c r="L46" s="555"/>
      <c r="M46" s="18"/>
      <c r="N46" s="18"/>
      <c r="O46" s="343"/>
    </row>
    <row r="47" spans="1:15" ht="15.75" thickBot="1">
      <c r="B47" s="67">
        <v>25</v>
      </c>
      <c r="C47" s="20" t="s">
        <v>35</v>
      </c>
      <c r="D47" s="554" t="s">
        <v>17</v>
      </c>
      <c r="E47" s="115" t="s">
        <v>17</v>
      </c>
      <c r="F47" s="115" t="s">
        <v>17</v>
      </c>
      <c r="G47" s="346" t="s">
        <v>17</v>
      </c>
      <c r="H47" s="554" t="s">
        <v>17</v>
      </c>
      <c r="I47" s="115" t="s">
        <v>17</v>
      </c>
      <c r="J47" s="115" t="s">
        <v>17</v>
      </c>
      <c r="K47" s="346" t="s">
        <v>17</v>
      </c>
      <c r="L47" s="347" t="s">
        <v>17</v>
      </c>
      <c r="M47" s="115" t="s">
        <v>17</v>
      </c>
      <c r="N47" s="115" t="s">
        <v>17</v>
      </c>
      <c r="O47" s="346" t="s">
        <v>17</v>
      </c>
    </row>
    <row r="48" spans="1:15">
      <c r="B48" s="67">
        <v>26</v>
      </c>
      <c r="C48" s="20" t="s">
        <v>36</v>
      </c>
      <c r="D48" s="461">
        <v>19.850682924358257</v>
      </c>
      <c r="E48" s="502">
        <f>19.8506829243583+14.1232928506252</f>
        <v>33.973975774983501</v>
      </c>
      <c r="F48" s="450">
        <v>0</v>
      </c>
      <c r="G48" s="348">
        <f>E48+F48</f>
        <v>33.973975774983501</v>
      </c>
      <c r="H48" s="461">
        <v>20.212682924358255</v>
      </c>
      <c r="I48" s="502">
        <f>20.2126829243583+14.4063387076377</f>
        <v>34.619021631995999</v>
      </c>
      <c r="J48" s="450">
        <v>0</v>
      </c>
      <c r="K48" s="348">
        <f>I48+J48</f>
        <v>34.619021631995999</v>
      </c>
      <c r="L48" s="349">
        <f>D48+H48</f>
        <v>40.063365848716515</v>
      </c>
      <c r="M48" s="502">
        <f>E48+I48</f>
        <v>68.592997406979492</v>
      </c>
      <c r="N48" s="515">
        <f>O48-M48</f>
        <v>0</v>
      </c>
      <c r="O48" s="348">
        <f>G48+K48</f>
        <v>68.592997406979492</v>
      </c>
    </row>
    <row r="49" spans="1:15" ht="16.5" thickBot="1">
      <c r="B49" s="67">
        <v>27</v>
      </c>
      <c r="C49" s="17" t="s">
        <v>0</v>
      </c>
      <c r="D49" s="313">
        <f>D48</f>
        <v>19.850682924358257</v>
      </c>
      <c r="E49" s="402">
        <f>E48</f>
        <v>33.973975774983501</v>
      </c>
      <c r="F49" s="341">
        <f>G49-E49</f>
        <v>0</v>
      </c>
      <c r="G49" s="315">
        <f>G48</f>
        <v>33.973975774983501</v>
      </c>
      <c r="H49" s="313">
        <f>H48</f>
        <v>20.212682924358255</v>
      </c>
      <c r="I49" s="402">
        <f>I48</f>
        <v>34.619021631995999</v>
      </c>
      <c r="J49" s="341">
        <f>K49-I49</f>
        <v>0</v>
      </c>
      <c r="K49" s="315">
        <f>K48</f>
        <v>34.619021631995999</v>
      </c>
      <c r="L49" s="350">
        <f>D49+H49</f>
        <v>40.063365848716515</v>
      </c>
      <c r="M49" s="402">
        <f>E49+I49</f>
        <v>68.592997406979492</v>
      </c>
      <c r="N49" s="341">
        <f>O49-M49</f>
        <v>0</v>
      </c>
      <c r="O49" s="315">
        <f>G49+K49</f>
        <v>68.592997406979492</v>
      </c>
    </row>
    <row r="50" spans="1:15" ht="15.75" thickBot="1">
      <c r="B50" s="67"/>
      <c r="C50" s="20"/>
      <c r="D50" s="107"/>
      <c r="E50" s="18"/>
      <c r="F50" s="18"/>
      <c r="G50" s="343"/>
      <c r="H50" s="107"/>
      <c r="I50" s="18"/>
      <c r="J50" s="18"/>
      <c r="K50" s="343"/>
      <c r="L50" s="335"/>
      <c r="M50" s="18"/>
      <c r="N50" s="18"/>
      <c r="O50" s="343"/>
    </row>
    <row r="51" spans="1:15" ht="16.5" thickBot="1">
      <c r="B51" s="68">
        <v>28</v>
      </c>
      <c r="C51" s="150" t="s">
        <v>87</v>
      </c>
      <c r="D51" s="352">
        <v>19.057863671196486</v>
      </c>
      <c r="E51" s="503">
        <v>20.085000000000001</v>
      </c>
      <c r="F51" s="451">
        <v>0</v>
      </c>
      <c r="G51" s="353">
        <f>E51+F51</f>
        <v>20.085000000000001</v>
      </c>
      <c r="H51" s="352">
        <v>20.224191497424044</v>
      </c>
      <c r="I51" s="503">
        <v>21.029</v>
      </c>
      <c r="J51" s="451">
        <v>0</v>
      </c>
      <c r="K51" s="353">
        <f>I51+J51</f>
        <v>21.029</v>
      </c>
      <c r="L51" s="355">
        <f>D51+H51</f>
        <v>39.282055168620531</v>
      </c>
      <c r="M51" s="503">
        <f>E51+I51</f>
        <v>41.114000000000004</v>
      </c>
      <c r="N51" s="516">
        <f>O51-M51</f>
        <v>0</v>
      </c>
      <c r="O51" s="353">
        <f>G51+K51</f>
        <v>41.114000000000004</v>
      </c>
    </row>
    <row r="52" spans="1:15" s="4" customFormat="1" ht="16.5" thickBot="1">
      <c r="A52" s="30"/>
      <c r="B52" s="162"/>
      <c r="C52" s="86"/>
      <c r="D52" s="86"/>
      <c r="E52" s="358"/>
      <c r="F52" s="358"/>
      <c r="G52" s="358"/>
      <c r="H52" s="358"/>
      <c r="I52" s="358"/>
      <c r="J52" s="358"/>
      <c r="K52" s="358"/>
      <c r="L52" s="358"/>
      <c r="M52" s="359"/>
      <c r="N52" s="359"/>
      <c r="O52" s="359"/>
    </row>
    <row r="53" spans="1:15" ht="16.5" customHeight="1" thickBot="1">
      <c r="C53" s="205"/>
      <c r="D53" s="634" t="s">
        <v>63</v>
      </c>
      <c r="E53" s="635"/>
      <c r="F53" s="635"/>
      <c r="G53" s="635"/>
      <c r="H53" s="635"/>
      <c r="I53" s="635"/>
      <c r="J53" s="635"/>
      <c r="K53" s="635"/>
      <c r="L53" s="635"/>
      <c r="M53" s="635"/>
      <c r="N53" s="635"/>
      <c r="O53" s="636"/>
    </row>
    <row r="54" spans="1:15" ht="16.5" thickBot="1">
      <c r="B54" s="94"/>
      <c r="C54" s="92"/>
      <c r="D54" s="631">
        <v>2014</v>
      </c>
      <c r="E54" s="632"/>
      <c r="F54" s="632"/>
      <c r="G54" s="633"/>
      <c r="H54" s="631">
        <v>2015</v>
      </c>
      <c r="I54" s="632"/>
      <c r="J54" s="632"/>
      <c r="K54" s="633"/>
      <c r="L54" s="631" t="s">
        <v>0</v>
      </c>
      <c r="M54" s="632"/>
      <c r="N54" s="632"/>
      <c r="O54" s="633"/>
    </row>
    <row r="55" spans="1:15" ht="15.75">
      <c r="B55" s="87" t="s">
        <v>2</v>
      </c>
      <c r="C55" s="93"/>
      <c r="D55" s="88" t="s">
        <v>238</v>
      </c>
      <c r="E55" s="491" t="s">
        <v>238</v>
      </c>
      <c r="F55" s="507" t="s">
        <v>21</v>
      </c>
      <c r="G55" s="176" t="s">
        <v>21</v>
      </c>
      <c r="H55" s="9" t="s">
        <v>238</v>
      </c>
      <c r="I55" s="159" t="s">
        <v>238</v>
      </c>
      <c r="J55" s="498" t="s">
        <v>21</v>
      </c>
      <c r="K55" s="11" t="s">
        <v>21</v>
      </c>
      <c r="L55" s="9" t="s">
        <v>238</v>
      </c>
      <c r="M55" s="159" t="s">
        <v>238</v>
      </c>
      <c r="N55" s="498" t="s">
        <v>21</v>
      </c>
      <c r="O55" s="11" t="s">
        <v>21</v>
      </c>
    </row>
    <row r="56" spans="1:15" ht="16.5" thickBot="1">
      <c r="B56" s="54" t="s">
        <v>3</v>
      </c>
      <c r="C56" s="53" t="s">
        <v>1</v>
      </c>
      <c r="D56" s="468" t="s">
        <v>239</v>
      </c>
      <c r="E56" s="500">
        <v>41437</v>
      </c>
      <c r="F56" s="499" t="s">
        <v>15</v>
      </c>
      <c r="G56" s="13" t="s">
        <v>12</v>
      </c>
      <c r="H56" s="468" t="s">
        <v>239</v>
      </c>
      <c r="I56" s="500">
        <v>41437</v>
      </c>
      <c r="J56" s="499" t="s">
        <v>15</v>
      </c>
      <c r="K56" s="13" t="s">
        <v>12</v>
      </c>
      <c r="L56" s="468" t="s">
        <v>239</v>
      </c>
      <c r="M56" s="500">
        <v>41437</v>
      </c>
      <c r="N56" s="499" t="s">
        <v>15</v>
      </c>
      <c r="O56" s="13" t="s">
        <v>12</v>
      </c>
    </row>
    <row r="57" spans="1:15">
      <c r="B57" s="16"/>
      <c r="C57" s="20"/>
      <c r="D57" s="508" t="s">
        <v>4</v>
      </c>
      <c r="E57" s="509" t="s">
        <v>5</v>
      </c>
      <c r="F57" s="509" t="s">
        <v>6</v>
      </c>
      <c r="G57" s="510" t="s">
        <v>7</v>
      </c>
      <c r="H57" s="508" t="s">
        <v>8</v>
      </c>
      <c r="I57" s="509" t="s">
        <v>9</v>
      </c>
      <c r="J57" s="509" t="s">
        <v>11</v>
      </c>
      <c r="K57" s="510" t="s">
        <v>13</v>
      </c>
      <c r="L57" s="508" t="s">
        <v>14</v>
      </c>
      <c r="M57" s="509" t="s">
        <v>240</v>
      </c>
      <c r="N57" s="509" t="s">
        <v>241</v>
      </c>
      <c r="O57" s="510" t="s">
        <v>242</v>
      </c>
    </row>
    <row r="58" spans="1:15" ht="18" thickBot="1">
      <c r="B58" s="21" t="s">
        <v>37</v>
      </c>
      <c r="C58" s="20"/>
      <c r="D58" s="16"/>
      <c r="E58" s="27"/>
      <c r="F58" s="27"/>
      <c r="G58" s="28"/>
      <c r="H58" s="16"/>
      <c r="I58" s="27"/>
      <c r="J58" s="27"/>
      <c r="K58" s="28"/>
      <c r="L58" s="16"/>
      <c r="M58" s="27"/>
      <c r="N58" s="27"/>
      <c r="O58" s="28"/>
    </row>
    <row r="59" spans="1:15">
      <c r="B59" s="67">
        <v>29</v>
      </c>
      <c r="C59" s="20" t="s">
        <v>39</v>
      </c>
      <c r="D59" s="427">
        <v>3275.1333999999997</v>
      </c>
      <c r="E59" s="377">
        <v>3275.1333999999997</v>
      </c>
      <c r="F59" s="444">
        <v>0</v>
      </c>
      <c r="G59" s="300">
        <f>E59+F59</f>
        <v>3275.1333999999997</v>
      </c>
      <c r="H59" s="427">
        <v>3347.7208999999993</v>
      </c>
      <c r="I59" s="377">
        <v>3347.7208999999993</v>
      </c>
      <c r="J59" s="444">
        <v>0</v>
      </c>
      <c r="K59" s="300">
        <f>I59+J59</f>
        <v>3347.7208999999993</v>
      </c>
      <c r="L59" s="322">
        <f t="shared" ref="L59:M62" si="4">D59+H59</f>
        <v>6622.8542999999991</v>
      </c>
      <c r="M59" s="377">
        <f t="shared" si="4"/>
        <v>6622.8542999999991</v>
      </c>
      <c r="N59" s="512">
        <f>O59-M59</f>
        <v>0</v>
      </c>
      <c r="O59" s="300">
        <f>G59+K59</f>
        <v>6622.8542999999991</v>
      </c>
    </row>
    <row r="60" spans="1:15">
      <c r="B60" s="67">
        <v>30</v>
      </c>
      <c r="C60" s="85" t="s">
        <v>67</v>
      </c>
      <c r="D60" s="430">
        <v>772.61578959022199</v>
      </c>
      <c r="E60" s="400">
        <v>772.61578959022199</v>
      </c>
      <c r="F60" s="445">
        <v>0</v>
      </c>
      <c r="G60" s="309">
        <f>E60+F60</f>
        <v>772.61578959022199</v>
      </c>
      <c r="H60" s="430">
        <v>828.5356761640536</v>
      </c>
      <c r="I60" s="400">
        <v>828.5356761640536</v>
      </c>
      <c r="J60" s="445">
        <v>0</v>
      </c>
      <c r="K60" s="309">
        <f>I60+J60</f>
        <v>828.5356761640536</v>
      </c>
      <c r="L60" s="325">
        <f t="shared" si="4"/>
        <v>1601.1514657542757</v>
      </c>
      <c r="M60" s="400">
        <f t="shared" si="4"/>
        <v>1601.1514657542757</v>
      </c>
      <c r="N60" s="513">
        <f>O60-M60</f>
        <v>0</v>
      </c>
      <c r="O60" s="309">
        <f>G60+K60</f>
        <v>1601.1514657542757</v>
      </c>
    </row>
    <row r="61" spans="1:15">
      <c r="B61" s="67">
        <v>31</v>
      </c>
      <c r="C61" s="20" t="s">
        <v>43</v>
      </c>
      <c r="D61" s="430">
        <v>8.2747000000000011</v>
      </c>
      <c r="E61" s="400">
        <v>8.2747000000000011</v>
      </c>
      <c r="F61" s="445">
        <v>0</v>
      </c>
      <c r="G61" s="309">
        <f>E61+F61</f>
        <v>8.2747000000000011</v>
      </c>
      <c r="H61" s="430">
        <v>8.2747000000000011</v>
      </c>
      <c r="I61" s="400">
        <v>8.2747000000000011</v>
      </c>
      <c r="J61" s="445">
        <v>0</v>
      </c>
      <c r="K61" s="309">
        <f>I61+J61</f>
        <v>8.2747000000000011</v>
      </c>
      <c r="L61" s="325">
        <f t="shared" si="4"/>
        <v>16.549400000000002</v>
      </c>
      <c r="M61" s="400">
        <f t="shared" si="4"/>
        <v>16.549400000000002</v>
      </c>
      <c r="N61" s="513">
        <f>O61-M61</f>
        <v>0</v>
      </c>
      <c r="O61" s="309">
        <f>G61+K61</f>
        <v>16.549400000000002</v>
      </c>
    </row>
    <row r="62" spans="1:15">
      <c r="B62" s="67">
        <v>32</v>
      </c>
      <c r="C62" s="85" t="s">
        <v>69</v>
      </c>
      <c r="D62" s="430">
        <v>0.7</v>
      </c>
      <c r="E62" s="400">
        <v>0.7</v>
      </c>
      <c r="F62" s="445">
        <v>0</v>
      </c>
      <c r="G62" s="309">
        <f>E62+F62</f>
        <v>0.7</v>
      </c>
      <c r="H62" s="430">
        <v>0.7</v>
      </c>
      <c r="I62" s="400">
        <v>0.7</v>
      </c>
      <c r="J62" s="445">
        <v>0</v>
      </c>
      <c r="K62" s="309">
        <f>I62+J62</f>
        <v>0.7</v>
      </c>
      <c r="L62" s="325">
        <f t="shared" si="4"/>
        <v>1.4</v>
      </c>
      <c r="M62" s="400">
        <f t="shared" si="4"/>
        <v>1.4</v>
      </c>
      <c r="N62" s="513">
        <f>O62-M62</f>
        <v>0</v>
      </c>
      <c r="O62" s="309">
        <f>G62+K62</f>
        <v>1.4</v>
      </c>
    </row>
    <row r="63" spans="1:15">
      <c r="B63" s="67">
        <v>33</v>
      </c>
      <c r="C63" s="20" t="s">
        <v>31</v>
      </c>
      <c r="D63" s="556" t="s">
        <v>17</v>
      </c>
      <c r="E63" s="328" t="s">
        <v>17</v>
      </c>
      <c r="F63" s="328" t="s">
        <v>17</v>
      </c>
      <c r="G63" s="329" t="s">
        <v>17</v>
      </c>
      <c r="H63" s="556" t="s">
        <v>17</v>
      </c>
      <c r="I63" s="328" t="s">
        <v>17</v>
      </c>
      <c r="J63" s="328" t="s">
        <v>17</v>
      </c>
      <c r="K63" s="329" t="s">
        <v>17</v>
      </c>
      <c r="L63" s="330" t="s">
        <v>17</v>
      </c>
      <c r="M63" s="328" t="s">
        <v>17</v>
      </c>
      <c r="N63" s="328" t="s">
        <v>17</v>
      </c>
      <c r="O63" s="329" t="s">
        <v>17</v>
      </c>
    </row>
    <row r="64" spans="1:15" ht="16.5" thickBot="1">
      <c r="B64" s="67">
        <v>34</v>
      </c>
      <c r="C64" s="17" t="s">
        <v>0</v>
      </c>
      <c r="D64" s="331">
        <f>D59-D60+D61+D62</f>
        <v>2511.4923104097775</v>
      </c>
      <c r="E64" s="501">
        <f>E59-E60+E61+E62</f>
        <v>2511.4923104097775</v>
      </c>
      <c r="F64" s="332">
        <f>G64-E64</f>
        <v>0</v>
      </c>
      <c r="G64" s="333">
        <f>G59-G60+G61+G62</f>
        <v>2511.4923104097775</v>
      </c>
      <c r="H64" s="331">
        <f>H59-H60+H61+H62</f>
        <v>2528.1599238359454</v>
      </c>
      <c r="I64" s="501">
        <f>I59-I60+I61+I62</f>
        <v>2528.1599238359454</v>
      </c>
      <c r="J64" s="332">
        <f>K64-I64</f>
        <v>0</v>
      </c>
      <c r="K64" s="333">
        <f>K59-K60+K61+K62</f>
        <v>2528.1599238359454</v>
      </c>
      <c r="L64" s="331">
        <f>L59-L60+L61+L62</f>
        <v>5039.6522342457229</v>
      </c>
      <c r="M64" s="501">
        <f>M59-M60+M61+M62</f>
        <v>5039.6522342457229</v>
      </c>
      <c r="N64" s="332">
        <f>O64-M64</f>
        <v>0</v>
      </c>
      <c r="O64" s="333">
        <f t="shared" ref="O64" si="5">O59-O60+O61+O62</f>
        <v>5039.6522342457229</v>
      </c>
    </row>
    <row r="65" spans="2:15">
      <c r="B65" s="31"/>
      <c r="C65" s="25"/>
      <c r="D65" s="552"/>
      <c r="E65" s="29"/>
      <c r="F65" s="29"/>
      <c r="G65" s="334"/>
      <c r="H65" s="552"/>
      <c r="I65" s="29"/>
      <c r="J65" s="29"/>
      <c r="K65" s="334"/>
      <c r="L65" s="335"/>
      <c r="M65" s="29"/>
      <c r="N65" s="29"/>
      <c r="O65" s="334"/>
    </row>
    <row r="66" spans="2:15" ht="16.5" thickBot="1">
      <c r="B66" s="14" t="s">
        <v>45</v>
      </c>
      <c r="C66" s="25"/>
      <c r="D66" s="552"/>
      <c r="E66" s="29"/>
      <c r="F66" s="29"/>
      <c r="G66" s="334"/>
      <c r="H66" s="552"/>
      <c r="I66" s="29"/>
      <c r="J66" s="29"/>
      <c r="K66" s="334"/>
      <c r="L66" s="335"/>
      <c r="M66" s="29"/>
      <c r="N66" s="29"/>
      <c r="O66" s="334"/>
    </row>
    <row r="67" spans="2:15">
      <c r="B67" s="67">
        <v>35</v>
      </c>
      <c r="C67" s="20" t="s">
        <v>32</v>
      </c>
      <c r="D67" s="427">
        <v>232.48477964246206</v>
      </c>
      <c r="E67" s="377">
        <f>232.484779642462+6.86</f>
        <v>239.34477964246202</v>
      </c>
      <c r="F67" s="444">
        <v>0</v>
      </c>
      <c r="G67" s="300">
        <f>E67+F67</f>
        <v>239.34477964246202</v>
      </c>
      <c r="H67" s="427">
        <v>237.19576035289646</v>
      </c>
      <c r="I67" s="377">
        <f>237.195760352896+5.43</f>
        <v>242.62576035289601</v>
      </c>
      <c r="J67" s="444">
        <v>0</v>
      </c>
      <c r="K67" s="300">
        <f>I67+J67</f>
        <v>242.62576035289601</v>
      </c>
      <c r="L67" s="322">
        <f t="shared" ref="L67:M70" si="6">D67+H67</f>
        <v>469.68053999535852</v>
      </c>
      <c r="M67" s="377">
        <f t="shared" si="6"/>
        <v>481.97053999535802</v>
      </c>
      <c r="N67" s="512">
        <f>O67-M67</f>
        <v>0</v>
      </c>
      <c r="O67" s="300">
        <f>G67+K67</f>
        <v>481.97053999535802</v>
      </c>
    </row>
    <row r="68" spans="2:15">
      <c r="B68" s="67">
        <v>36</v>
      </c>
      <c r="C68" s="85" t="s">
        <v>85</v>
      </c>
      <c r="D68" s="430">
        <v>75.605453275348623</v>
      </c>
      <c r="E68" s="400">
        <v>75.605453275348623</v>
      </c>
      <c r="F68" s="445">
        <v>0</v>
      </c>
      <c r="G68" s="309">
        <f>E68+F68</f>
        <v>75.605453275348623</v>
      </c>
      <c r="H68" s="430">
        <v>77.524984658154779</v>
      </c>
      <c r="I68" s="400">
        <v>77.524984658154779</v>
      </c>
      <c r="J68" s="445">
        <v>0</v>
      </c>
      <c r="K68" s="309">
        <f>I68+J68</f>
        <v>77.524984658154779</v>
      </c>
      <c r="L68" s="325">
        <f t="shared" si="6"/>
        <v>153.1304379335034</v>
      </c>
      <c r="M68" s="400">
        <f t="shared" si="6"/>
        <v>153.1304379335034</v>
      </c>
      <c r="N68" s="513">
        <f>O68-M68</f>
        <v>0</v>
      </c>
      <c r="O68" s="309">
        <f>G68+K68</f>
        <v>153.1304379335034</v>
      </c>
    </row>
    <row r="69" spans="2:15">
      <c r="B69" s="67">
        <v>37</v>
      </c>
      <c r="C69" s="85" t="s">
        <v>68</v>
      </c>
      <c r="D69" s="430">
        <v>62.223053145958438</v>
      </c>
      <c r="E69" s="400">
        <v>62.223053145958438</v>
      </c>
      <c r="F69" s="445">
        <v>0</v>
      </c>
      <c r="G69" s="309">
        <f>E69+F69</f>
        <v>62.223053145958438</v>
      </c>
      <c r="H69" s="430">
        <v>63.081720001704937</v>
      </c>
      <c r="I69" s="400">
        <v>63.081720001704937</v>
      </c>
      <c r="J69" s="445">
        <v>0</v>
      </c>
      <c r="K69" s="309">
        <f>I69+J69</f>
        <v>63.081720001704937</v>
      </c>
      <c r="L69" s="325">
        <f t="shared" si="6"/>
        <v>125.30477314766338</v>
      </c>
      <c r="M69" s="400">
        <f t="shared" si="6"/>
        <v>125.30477314766338</v>
      </c>
      <c r="N69" s="513">
        <f>O69-M69</f>
        <v>0</v>
      </c>
      <c r="O69" s="309">
        <f>G69+K69</f>
        <v>125.30477314766338</v>
      </c>
    </row>
    <row r="70" spans="2:15">
      <c r="B70" s="67">
        <v>38</v>
      </c>
      <c r="C70" s="20" t="s">
        <v>34</v>
      </c>
      <c r="D70" s="553">
        <v>0.1</v>
      </c>
      <c r="E70" s="403">
        <v>0.1</v>
      </c>
      <c r="F70" s="449">
        <v>0</v>
      </c>
      <c r="G70" s="316">
        <f>E70+F70</f>
        <v>0.1</v>
      </c>
      <c r="H70" s="553">
        <v>0.1</v>
      </c>
      <c r="I70" s="403">
        <v>0.1</v>
      </c>
      <c r="J70" s="449">
        <v>0</v>
      </c>
      <c r="K70" s="316">
        <f>I70+J70</f>
        <v>0.1</v>
      </c>
      <c r="L70" s="338">
        <f t="shared" si="6"/>
        <v>0.2</v>
      </c>
      <c r="M70" s="403">
        <f t="shared" si="6"/>
        <v>0.2</v>
      </c>
      <c r="N70" s="514">
        <f>O70-M70</f>
        <v>0</v>
      </c>
      <c r="O70" s="316">
        <f>G70+K70</f>
        <v>0.2</v>
      </c>
    </row>
    <row r="71" spans="2:15" ht="16.5" thickBot="1">
      <c r="B71" s="67">
        <v>39</v>
      </c>
      <c r="C71" s="17" t="s">
        <v>0</v>
      </c>
      <c r="D71" s="313">
        <f>SUM(D67:D70)</f>
        <v>370.41328606376914</v>
      </c>
      <c r="E71" s="402">
        <f>SUM(E67:E70)</f>
        <v>377.27328606376909</v>
      </c>
      <c r="F71" s="341">
        <f>G71-E71</f>
        <v>0</v>
      </c>
      <c r="G71" s="315">
        <f>SUM(G67:G70)</f>
        <v>377.27328606376909</v>
      </c>
      <c r="H71" s="313">
        <f>SUM(H67:H70)</f>
        <v>377.90246501275618</v>
      </c>
      <c r="I71" s="402">
        <f>SUM(I67:I70)</f>
        <v>383.33246501275573</v>
      </c>
      <c r="J71" s="341">
        <f>K71-I71</f>
        <v>0</v>
      </c>
      <c r="K71" s="315">
        <f>SUM(K67:K70)</f>
        <v>383.33246501275573</v>
      </c>
      <c r="L71" s="313">
        <f>SUM(L67:L70)</f>
        <v>748.31575107652532</v>
      </c>
      <c r="M71" s="402">
        <f>SUM(M67:M70)</f>
        <v>760.60575107652483</v>
      </c>
      <c r="N71" s="341">
        <f>O71-M71</f>
        <v>0</v>
      </c>
      <c r="O71" s="315">
        <f t="shared" ref="O71" si="7">SUM(O67:O70)</f>
        <v>760.60575107652483</v>
      </c>
    </row>
    <row r="72" spans="2:15">
      <c r="B72" s="31"/>
      <c r="C72" s="25"/>
      <c r="D72" s="552"/>
      <c r="E72" s="29"/>
      <c r="F72" s="29"/>
      <c r="G72" s="334"/>
      <c r="H72" s="552"/>
      <c r="I72" s="29"/>
      <c r="J72" s="29"/>
      <c r="K72" s="334"/>
      <c r="L72" s="335"/>
      <c r="M72" s="29"/>
      <c r="N72" s="29"/>
      <c r="O72" s="334"/>
    </row>
    <row r="73" spans="2:15" ht="15.75">
      <c r="B73" s="21" t="s">
        <v>44</v>
      </c>
      <c r="C73" s="20"/>
      <c r="D73" s="107"/>
      <c r="E73" s="18"/>
      <c r="F73" s="18"/>
      <c r="G73" s="343"/>
      <c r="H73" s="107"/>
      <c r="I73" s="18"/>
      <c r="J73" s="18"/>
      <c r="K73" s="343"/>
      <c r="L73" s="555"/>
      <c r="M73" s="18"/>
      <c r="N73" s="18"/>
      <c r="O73" s="343"/>
    </row>
    <row r="74" spans="2:15" ht="15.75" thickBot="1">
      <c r="B74" s="67">
        <v>40</v>
      </c>
      <c r="C74" s="20" t="s">
        <v>35</v>
      </c>
      <c r="D74" s="552" t="s">
        <v>17</v>
      </c>
      <c r="E74" s="115" t="s">
        <v>17</v>
      </c>
      <c r="F74" s="115" t="s">
        <v>17</v>
      </c>
      <c r="G74" s="346" t="s">
        <v>17</v>
      </c>
      <c r="H74" s="552" t="s">
        <v>17</v>
      </c>
      <c r="I74" s="115" t="s">
        <v>17</v>
      </c>
      <c r="J74" s="115" t="s">
        <v>17</v>
      </c>
      <c r="K74" s="346" t="s">
        <v>17</v>
      </c>
      <c r="L74" s="347" t="s">
        <v>17</v>
      </c>
      <c r="M74" s="115" t="s">
        <v>17</v>
      </c>
      <c r="N74" s="115" t="s">
        <v>17</v>
      </c>
      <c r="O74" s="346" t="s">
        <v>17</v>
      </c>
    </row>
    <row r="75" spans="2:15">
      <c r="B75" s="67">
        <v>41</v>
      </c>
      <c r="C75" s="20" t="s">
        <v>36</v>
      </c>
      <c r="D75" s="461">
        <v>22.655823199490698</v>
      </c>
      <c r="E75" s="502">
        <v>22.655823199490698</v>
      </c>
      <c r="F75" s="450">
        <v>0</v>
      </c>
      <c r="G75" s="348">
        <f>E75+F75</f>
        <v>22.655823199490698</v>
      </c>
      <c r="H75" s="461">
        <v>23.1088861834805</v>
      </c>
      <c r="I75" s="502">
        <v>23.1088861834805</v>
      </c>
      <c r="J75" s="450">
        <v>0</v>
      </c>
      <c r="K75" s="348">
        <f>I75+J75</f>
        <v>23.1088861834805</v>
      </c>
      <c r="L75" s="349">
        <f>D75+H75</f>
        <v>45.764709382971198</v>
      </c>
      <c r="M75" s="502">
        <f>E75+I75</f>
        <v>45.764709382971198</v>
      </c>
      <c r="N75" s="515">
        <f>O75-M75</f>
        <v>0</v>
      </c>
      <c r="O75" s="348">
        <f>G75+K75</f>
        <v>45.764709382971198</v>
      </c>
    </row>
    <row r="76" spans="2:15" ht="16.5" thickBot="1">
      <c r="B76" s="67">
        <v>42</v>
      </c>
      <c r="C76" s="17" t="s">
        <v>0</v>
      </c>
      <c r="D76" s="313">
        <f>D75</f>
        <v>22.655823199490698</v>
      </c>
      <c r="E76" s="402">
        <f>E75</f>
        <v>22.655823199490698</v>
      </c>
      <c r="F76" s="341">
        <f>G76-E76</f>
        <v>0</v>
      </c>
      <c r="G76" s="315">
        <f>G75</f>
        <v>22.655823199490698</v>
      </c>
      <c r="H76" s="313">
        <f>H75</f>
        <v>23.1088861834805</v>
      </c>
      <c r="I76" s="402">
        <f>I75</f>
        <v>23.1088861834805</v>
      </c>
      <c r="J76" s="341">
        <f>K76-I76</f>
        <v>0</v>
      </c>
      <c r="K76" s="315">
        <f>K75</f>
        <v>23.1088861834805</v>
      </c>
      <c r="L76" s="350">
        <f>D76+H76</f>
        <v>45.764709382971198</v>
      </c>
      <c r="M76" s="402">
        <f>E76+I76</f>
        <v>45.764709382971198</v>
      </c>
      <c r="N76" s="341">
        <f>O76-M76</f>
        <v>0</v>
      </c>
      <c r="O76" s="315">
        <f>G76+K76</f>
        <v>45.764709382971198</v>
      </c>
    </row>
    <row r="77" spans="2:15" ht="15.75" thickBot="1">
      <c r="B77" s="67"/>
      <c r="C77" s="20"/>
      <c r="D77" s="107"/>
      <c r="E77" s="18"/>
      <c r="F77" s="18"/>
      <c r="G77" s="343"/>
      <c r="H77" s="107"/>
      <c r="I77" s="18"/>
      <c r="J77" s="18"/>
      <c r="K77" s="343"/>
      <c r="L77" s="335"/>
      <c r="M77" s="18"/>
      <c r="N77" s="18"/>
      <c r="O77" s="343"/>
    </row>
    <row r="78" spans="2:15" ht="19.5" thickBot="1">
      <c r="B78" s="68">
        <v>43</v>
      </c>
      <c r="C78" s="150" t="s">
        <v>192</v>
      </c>
      <c r="D78" s="352">
        <v>5.475243315829494</v>
      </c>
      <c r="E78" s="503">
        <v>5.475243315829494</v>
      </c>
      <c r="F78" s="451">
        <v>0</v>
      </c>
      <c r="G78" s="353">
        <f>E78+F78</f>
        <v>5.475243315829494</v>
      </c>
      <c r="H78" s="352">
        <v>12.458714155258324</v>
      </c>
      <c r="I78" s="503">
        <v>12.458714155258324</v>
      </c>
      <c r="J78" s="451">
        <v>0</v>
      </c>
      <c r="K78" s="353">
        <f>I78+J78</f>
        <v>12.458714155258324</v>
      </c>
      <c r="L78" s="355">
        <f>D78+H78</f>
        <v>17.933957471087819</v>
      </c>
      <c r="M78" s="503">
        <f>E78+I78</f>
        <v>17.933957471087819</v>
      </c>
      <c r="N78" s="516">
        <f>O78-M78</f>
        <v>0</v>
      </c>
      <c r="O78" s="353">
        <f>G78+K78</f>
        <v>17.933957471087819</v>
      </c>
    </row>
    <row r="79" spans="2:15" ht="15.75" thickBot="1">
      <c r="B79" s="111"/>
      <c r="C79" s="189"/>
      <c r="D79" s="189"/>
      <c r="E79" s="18"/>
      <c r="F79" s="112"/>
      <c r="G79" s="18"/>
      <c r="H79" s="18"/>
      <c r="I79" s="18"/>
      <c r="J79" s="18"/>
      <c r="K79" s="18"/>
      <c r="L79" s="18"/>
      <c r="M79" s="4"/>
      <c r="N79" s="4"/>
      <c r="O79" s="4"/>
    </row>
    <row r="80" spans="2:15" ht="16.5" customHeight="1" thickBot="1">
      <c r="C80" s="20"/>
      <c r="D80" s="634" t="s">
        <v>23</v>
      </c>
      <c r="E80" s="635"/>
      <c r="F80" s="635"/>
      <c r="G80" s="635"/>
      <c r="H80" s="635"/>
      <c r="I80" s="635"/>
      <c r="J80" s="635"/>
      <c r="K80" s="635"/>
      <c r="L80" s="635"/>
      <c r="M80" s="635"/>
      <c r="N80" s="635"/>
      <c r="O80" s="636"/>
    </row>
    <row r="81" spans="2:15" ht="16.5" thickBot="1">
      <c r="B81" s="94"/>
      <c r="C81" s="92"/>
      <c r="D81" s="631">
        <v>2014</v>
      </c>
      <c r="E81" s="632"/>
      <c r="F81" s="632"/>
      <c r="G81" s="633"/>
      <c r="H81" s="631">
        <v>2015</v>
      </c>
      <c r="I81" s="632"/>
      <c r="J81" s="632"/>
      <c r="K81" s="633"/>
      <c r="L81" s="631" t="s">
        <v>0</v>
      </c>
      <c r="M81" s="632"/>
      <c r="N81" s="632"/>
      <c r="O81" s="633"/>
    </row>
    <row r="82" spans="2:15" ht="15.75">
      <c r="B82" s="87" t="s">
        <v>2</v>
      </c>
      <c r="C82" s="93"/>
      <c r="D82" s="88" t="s">
        <v>238</v>
      </c>
      <c r="E82" s="491" t="s">
        <v>238</v>
      </c>
      <c r="F82" s="507" t="s">
        <v>21</v>
      </c>
      <c r="G82" s="176" t="s">
        <v>21</v>
      </c>
      <c r="H82" s="9" t="s">
        <v>238</v>
      </c>
      <c r="I82" s="159" t="s">
        <v>238</v>
      </c>
      <c r="J82" s="498" t="s">
        <v>21</v>
      </c>
      <c r="K82" s="11" t="s">
        <v>21</v>
      </c>
      <c r="L82" s="9" t="s">
        <v>238</v>
      </c>
      <c r="M82" s="159" t="s">
        <v>238</v>
      </c>
      <c r="N82" s="498" t="s">
        <v>21</v>
      </c>
      <c r="O82" s="11" t="s">
        <v>21</v>
      </c>
    </row>
    <row r="83" spans="2:15" ht="16.5" thickBot="1">
      <c r="B83" s="54" t="s">
        <v>3</v>
      </c>
      <c r="C83" s="53" t="s">
        <v>1</v>
      </c>
      <c r="D83" s="468" t="s">
        <v>239</v>
      </c>
      <c r="E83" s="500">
        <v>41437</v>
      </c>
      <c r="F83" s="499" t="s">
        <v>15</v>
      </c>
      <c r="G83" s="13" t="s">
        <v>12</v>
      </c>
      <c r="H83" s="468" t="s">
        <v>239</v>
      </c>
      <c r="I83" s="500">
        <v>41437</v>
      </c>
      <c r="J83" s="499" t="s">
        <v>15</v>
      </c>
      <c r="K83" s="13" t="s">
        <v>12</v>
      </c>
      <c r="L83" s="468" t="s">
        <v>239</v>
      </c>
      <c r="M83" s="500">
        <v>41437</v>
      </c>
      <c r="N83" s="499" t="s">
        <v>15</v>
      </c>
      <c r="O83" s="13" t="s">
        <v>12</v>
      </c>
    </row>
    <row r="84" spans="2:15">
      <c r="B84" s="16"/>
      <c r="C84" s="20"/>
      <c r="D84" s="508" t="s">
        <v>4</v>
      </c>
      <c r="E84" s="509" t="s">
        <v>5</v>
      </c>
      <c r="F84" s="509" t="s">
        <v>6</v>
      </c>
      <c r="G84" s="510" t="s">
        <v>7</v>
      </c>
      <c r="H84" s="508" t="s">
        <v>8</v>
      </c>
      <c r="I84" s="509" t="s">
        <v>9</v>
      </c>
      <c r="J84" s="509" t="s">
        <v>11</v>
      </c>
      <c r="K84" s="510" t="s">
        <v>13</v>
      </c>
      <c r="L84" s="508" t="s">
        <v>14</v>
      </c>
      <c r="M84" s="509" t="s">
        <v>240</v>
      </c>
      <c r="N84" s="509" t="s">
        <v>241</v>
      </c>
      <c r="O84" s="510" t="s">
        <v>242</v>
      </c>
    </row>
    <row r="85" spans="2:15" ht="18" thickBot="1">
      <c r="B85" s="21" t="s">
        <v>37</v>
      </c>
      <c r="C85" s="20"/>
      <c r="D85" s="16"/>
      <c r="E85" s="27"/>
      <c r="F85" s="27"/>
      <c r="G85" s="28"/>
      <c r="H85" s="16"/>
      <c r="I85" s="27"/>
      <c r="J85" s="27"/>
      <c r="K85" s="28"/>
      <c r="L85" s="16"/>
      <c r="M85" s="27"/>
      <c r="N85" s="27"/>
      <c r="O85" s="28"/>
    </row>
    <row r="86" spans="2:15">
      <c r="B86" s="67">
        <v>44</v>
      </c>
      <c r="C86" s="20" t="s">
        <v>39</v>
      </c>
      <c r="D86" s="427">
        <v>6262.800506821709</v>
      </c>
      <c r="E86" s="377">
        <v>6262.800506821709</v>
      </c>
      <c r="F86" s="444">
        <v>0</v>
      </c>
      <c r="G86" s="300">
        <f>E86+F86</f>
        <v>6262.800506821709</v>
      </c>
      <c r="H86" s="427">
        <v>6510.7233145704085</v>
      </c>
      <c r="I86" s="377">
        <v>6510.7233145704085</v>
      </c>
      <c r="J86" s="444">
        <v>0</v>
      </c>
      <c r="K86" s="300">
        <f>I86+J86</f>
        <v>6510.7233145704085</v>
      </c>
      <c r="L86" s="322">
        <f t="shared" ref="L86:M90" si="8">D86+H86</f>
        <v>12773.523821392118</v>
      </c>
      <c r="M86" s="377">
        <f t="shared" si="8"/>
        <v>12773.523821392118</v>
      </c>
      <c r="N86" s="512">
        <f t="shared" ref="N86:N91" si="9">O86-M86</f>
        <v>0</v>
      </c>
      <c r="O86" s="300">
        <f>G86+K86</f>
        <v>12773.523821392118</v>
      </c>
    </row>
    <row r="87" spans="2:15">
      <c r="B87" s="67">
        <v>45</v>
      </c>
      <c r="C87" s="85" t="s">
        <v>67</v>
      </c>
      <c r="D87" s="430">
        <v>3298.9619532734409</v>
      </c>
      <c r="E87" s="400">
        <v>3298.9619532734409</v>
      </c>
      <c r="F87" s="445">
        <v>0</v>
      </c>
      <c r="G87" s="309">
        <f>E87+F87</f>
        <v>3298.9619532734409</v>
      </c>
      <c r="H87" s="430">
        <v>3580.1030315998487</v>
      </c>
      <c r="I87" s="400">
        <v>3580.1030315998487</v>
      </c>
      <c r="J87" s="445">
        <v>0</v>
      </c>
      <c r="K87" s="309">
        <f>I87+J87</f>
        <v>3580.1030315998487</v>
      </c>
      <c r="L87" s="325">
        <f t="shared" si="8"/>
        <v>6879.0649848732901</v>
      </c>
      <c r="M87" s="400">
        <f t="shared" si="8"/>
        <v>6879.0649848732901</v>
      </c>
      <c r="N87" s="513">
        <f t="shared" si="9"/>
        <v>0</v>
      </c>
      <c r="O87" s="309">
        <f>G87+K87</f>
        <v>6879.0649848732901</v>
      </c>
    </row>
    <row r="88" spans="2:15">
      <c r="B88" s="67">
        <v>46</v>
      </c>
      <c r="C88" s="20" t="s">
        <v>43</v>
      </c>
      <c r="D88" s="430">
        <v>32</v>
      </c>
      <c r="E88" s="400">
        <v>32</v>
      </c>
      <c r="F88" s="445">
        <v>0</v>
      </c>
      <c r="G88" s="309">
        <f>E88+F88</f>
        <v>32</v>
      </c>
      <c r="H88" s="430">
        <v>32</v>
      </c>
      <c r="I88" s="400">
        <v>32</v>
      </c>
      <c r="J88" s="445">
        <v>0</v>
      </c>
      <c r="K88" s="309">
        <f>I88+J88</f>
        <v>32</v>
      </c>
      <c r="L88" s="325">
        <f t="shared" si="8"/>
        <v>64</v>
      </c>
      <c r="M88" s="400">
        <f t="shared" si="8"/>
        <v>64</v>
      </c>
      <c r="N88" s="513">
        <f t="shared" si="9"/>
        <v>0</v>
      </c>
      <c r="O88" s="309">
        <f>G88+K88</f>
        <v>64</v>
      </c>
    </row>
    <row r="89" spans="2:15">
      <c r="B89" s="67">
        <v>47</v>
      </c>
      <c r="C89" s="85" t="s">
        <v>69</v>
      </c>
      <c r="D89" s="430">
        <v>427.23812653742965</v>
      </c>
      <c r="E89" s="400">
        <v>427.23812653742965</v>
      </c>
      <c r="F89" s="445">
        <v>0</v>
      </c>
      <c r="G89" s="309">
        <f>E89+F89</f>
        <v>427.23812653742965</v>
      </c>
      <c r="H89" s="430">
        <v>422.00696884964702</v>
      </c>
      <c r="I89" s="400">
        <v>422.00696884964702</v>
      </c>
      <c r="J89" s="445">
        <v>0</v>
      </c>
      <c r="K89" s="309">
        <f>I89+J89</f>
        <v>422.00696884964702</v>
      </c>
      <c r="L89" s="325">
        <f t="shared" si="8"/>
        <v>849.24509538707662</v>
      </c>
      <c r="M89" s="400">
        <f t="shared" si="8"/>
        <v>849.24509538707662</v>
      </c>
      <c r="N89" s="513">
        <f t="shared" si="9"/>
        <v>0</v>
      </c>
      <c r="O89" s="309">
        <f>G89+K89</f>
        <v>849.24509538707662</v>
      </c>
    </row>
    <row r="90" spans="2:15">
      <c r="B90" s="67">
        <v>48</v>
      </c>
      <c r="C90" s="20" t="s">
        <v>31</v>
      </c>
      <c r="D90" s="553">
        <v>283.59782170415178</v>
      </c>
      <c r="E90" s="517">
        <v>283.59782170415178</v>
      </c>
      <c r="F90" s="518">
        <v>0</v>
      </c>
      <c r="G90" s="519">
        <f>E90+F90</f>
        <v>283.59782170415178</v>
      </c>
      <c r="H90" s="553">
        <v>274.37152851701137</v>
      </c>
      <c r="I90" s="517">
        <v>274.37152851701137</v>
      </c>
      <c r="J90" s="518">
        <v>0</v>
      </c>
      <c r="K90" s="519">
        <f>I90+J90</f>
        <v>274.37152851701137</v>
      </c>
      <c r="L90" s="338">
        <f t="shared" si="8"/>
        <v>557.96935022116315</v>
      </c>
      <c r="M90" s="517">
        <f t="shared" si="8"/>
        <v>557.96935022116315</v>
      </c>
      <c r="N90" s="520">
        <f t="shared" si="9"/>
        <v>0</v>
      </c>
      <c r="O90" s="519">
        <f>G90+K90</f>
        <v>557.96935022116315</v>
      </c>
    </row>
    <row r="91" spans="2:15" ht="16.5" thickBot="1">
      <c r="B91" s="67">
        <v>49</v>
      </c>
      <c r="C91" s="17" t="s">
        <v>0</v>
      </c>
      <c r="D91" s="313">
        <f>D86-D87+D88+D89+D90</f>
        <v>3706.6745017898493</v>
      </c>
      <c r="E91" s="501">
        <f>E86-E87+E88+E89+E90</f>
        <v>3706.6745017898493</v>
      </c>
      <c r="F91" s="332">
        <f>G91-E91</f>
        <v>0</v>
      </c>
      <c r="G91" s="333">
        <f>G86-G87+G88+G89+G90</f>
        <v>3706.6745017898493</v>
      </c>
      <c r="H91" s="313">
        <f>H86-H87+H88+H89+H90</f>
        <v>3658.9987803372182</v>
      </c>
      <c r="I91" s="501">
        <f>I86-I87+I88+I89+I90</f>
        <v>3658.9987803372182</v>
      </c>
      <c r="J91" s="332">
        <f>K91-I91</f>
        <v>0</v>
      </c>
      <c r="K91" s="333">
        <f>K86-K87+K88+K89+K90</f>
        <v>3658.9987803372182</v>
      </c>
      <c r="L91" s="331">
        <f>L86-L87+L88+L89+L90</f>
        <v>7365.673282127068</v>
      </c>
      <c r="M91" s="501">
        <f>M86-M87+M88+M89+M90</f>
        <v>7365.673282127068</v>
      </c>
      <c r="N91" s="332">
        <f t="shared" si="9"/>
        <v>0</v>
      </c>
      <c r="O91" s="333">
        <f>O86-O87+O88+O89+O90</f>
        <v>7365.673282127068</v>
      </c>
    </row>
    <row r="92" spans="2:15">
      <c r="B92" s="31"/>
      <c r="C92" s="25"/>
      <c r="D92" s="107"/>
      <c r="E92" s="29"/>
      <c r="F92" s="29"/>
      <c r="G92" s="334"/>
      <c r="H92" s="107"/>
      <c r="I92" s="29"/>
      <c r="J92" s="29"/>
      <c r="K92" s="334"/>
      <c r="L92" s="335"/>
      <c r="M92" s="29"/>
      <c r="N92" s="29"/>
      <c r="O92" s="334"/>
    </row>
    <row r="93" spans="2:15" ht="16.5" thickBot="1">
      <c r="B93" s="14" t="s">
        <v>45</v>
      </c>
      <c r="C93" s="25"/>
      <c r="D93" s="107"/>
      <c r="E93" s="29"/>
      <c r="F93" s="29"/>
      <c r="G93" s="334"/>
      <c r="H93" s="107"/>
      <c r="I93" s="29"/>
      <c r="J93" s="29"/>
      <c r="K93" s="334"/>
      <c r="L93" s="335"/>
      <c r="M93" s="29"/>
      <c r="N93" s="29"/>
      <c r="O93" s="334"/>
    </row>
    <row r="94" spans="2:15">
      <c r="B94" s="67">
        <v>50</v>
      </c>
      <c r="C94" s="20" t="s">
        <v>32</v>
      </c>
      <c r="D94" s="427">
        <v>2422.69240416</v>
      </c>
      <c r="E94" s="377">
        <f>2422.69240416+69.06</f>
        <v>2491.75240416</v>
      </c>
      <c r="F94" s="444">
        <v>0</v>
      </c>
      <c r="G94" s="300">
        <f>E94+F94</f>
        <v>2491.75240416</v>
      </c>
      <c r="H94" s="427">
        <v>2473.3378142399997</v>
      </c>
      <c r="I94" s="377">
        <f>2473.33781424+57.92</f>
        <v>2531.2578142400002</v>
      </c>
      <c r="J94" s="444">
        <v>0</v>
      </c>
      <c r="K94" s="300">
        <f>I94+J94</f>
        <v>2531.2578142400002</v>
      </c>
      <c r="L94" s="322">
        <f t="shared" ref="L94:M97" si="10">D94+H94</f>
        <v>4896.0302183999993</v>
      </c>
      <c r="M94" s="377">
        <f t="shared" si="10"/>
        <v>5023.0102184000007</v>
      </c>
      <c r="N94" s="512">
        <f>O94-M94</f>
        <v>0</v>
      </c>
      <c r="O94" s="300">
        <f>G94+K94</f>
        <v>5023.0102184000007</v>
      </c>
    </row>
    <row r="95" spans="2:15">
      <c r="B95" s="67">
        <v>51</v>
      </c>
      <c r="C95" s="85" t="s">
        <v>86</v>
      </c>
      <c r="D95" s="430">
        <v>280.45453278427163</v>
      </c>
      <c r="E95" s="400">
        <f>280.454532784272-11.876</f>
        <v>268.578532784272</v>
      </c>
      <c r="F95" s="445">
        <v>0</v>
      </c>
      <c r="G95" s="309">
        <f>E95+F95</f>
        <v>268.578532784272</v>
      </c>
      <c r="H95" s="430">
        <v>267.9349758853545</v>
      </c>
      <c r="I95" s="400">
        <f>267.934975885355-7.473</f>
        <v>260.461975885355</v>
      </c>
      <c r="J95" s="445">
        <v>0</v>
      </c>
      <c r="K95" s="309">
        <f>I95+J95</f>
        <v>260.461975885355</v>
      </c>
      <c r="L95" s="325">
        <f t="shared" si="10"/>
        <v>548.38950866962614</v>
      </c>
      <c r="M95" s="400">
        <f t="shared" si="10"/>
        <v>529.040508669627</v>
      </c>
      <c r="N95" s="513">
        <f>O95-M95</f>
        <v>0</v>
      </c>
      <c r="O95" s="309">
        <f>G95+K95</f>
        <v>529.040508669627</v>
      </c>
    </row>
    <row r="96" spans="2:15">
      <c r="B96" s="67">
        <v>52</v>
      </c>
      <c r="C96" s="85" t="s">
        <v>68</v>
      </c>
      <c r="D96" s="430">
        <v>273.73343896622492</v>
      </c>
      <c r="E96" s="400">
        <v>273.73343896622492</v>
      </c>
      <c r="F96" s="445">
        <v>0</v>
      </c>
      <c r="G96" s="309">
        <f>E96+F96</f>
        <v>273.73343896622492</v>
      </c>
      <c r="H96" s="430">
        <v>288.54871768659086</v>
      </c>
      <c r="I96" s="400">
        <v>288.54871768659086</v>
      </c>
      <c r="J96" s="445">
        <v>0</v>
      </c>
      <c r="K96" s="309">
        <f>I96+J96</f>
        <v>288.54871768659086</v>
      </c>
      <c r="L96" s="325">
        <f t="shared" si="10"/>
        <v>562.28215665281573</v>
      </c>
      <c r="M96" s="400">
        <f t="shared" si="10"/>
        <v>562.28215665281573</v>
      </c>
      <c r="N96" s="513">
        <f>O96-M96</f>
        <v>0</v>
      </c>
      <c r="O96" s="309">
        <f>G96+K96</f>
        <v>562.28215665281573</v>
      </c>
    </row>
    <row r="97" spans="2:15">
      <c r="B97" s="67">
        <v>53</v>
      </c>
      <c r="C97" s="20" t="s">
        <v>34</v>
      </c>
      <c r="D97" s="553">
        <v>15.927</v>
      </c>
      <c r="E97" s="403">
        <v>15.927</v>
      </c>
      <c r="F97" s="449">
        <v>0</v>
      </c>
      <c r="G97" s="316">
        <f>E97+F97</f>
        <v>15.927</v>
      </c>
      <c r="H97" s="553">
        <v>16.431000000000001</v>
      </c>
      <c r="I97" s="403">
        <v>16.431000000000001</v>
      </c>
      <c r="J97" s="449">
        <v>0</v>
      </c>
      <c r="K97" s="316">
        <f>I97+J97</f>
        <v>16.431000000000001</v>
      </c>
      <c r="L97" s="338">
        <f t="shared" si="10"/>
        <v>32.358000000000004</v>
      </c>
      <c r="M97" s="403">
        <f t="shared" si="10"/>
        <v>32.358000000000004</v>
      </c>
      <c r="N97" s="514">
        <f>O97-M97</f>
        <v>0</v>
      </c>
      <c r="O97" s="316">
        <f>G97+K97</f>
        <v>32.358000000000004</v>
      </c>
    </row>
    <row r="98" spans="2:15" ht="16.5" thickBot="1">
      <c r="B98" s="67">
        <v>54</v>
      </c>
      <c r="C98" s="17" t="s">
        <v>0</v>
      </c>
      <c r="D98" s="313">
        <f>SUM(D94:D97)</f>
        <v>2992.8073759104968</v>
      </c>
      <c r="E98" s="402">
        <f>SUM(E94:E97)</f>
        <v>3049.991375910497</v>
      </c>
      <c r="F98" s="341">
        <f>G98-E98</f>
        <v>0</v>
      </c>
      <c r="G98" s="315">
        <f>SUM(G94:G97)</f>
        <v>3049.991375910497</v>
      </c>
      <c r="H98" s="313">
        <f>SUM(H94:H97)</f>
        <v>3046.2525078119452</v>
      </c>
      <c r="I98" s="402">
        <f>SUM(I94:I97)</f>
        <v>3096.6995078119462</v>
      </c>
      <c r="J98" s="341">
        <f>K98-I98</f>
        <v>0</v>
      </c>
      <c r="K98" s="315">
        <f>SUM(K94:K97)</f>
        <v>3096.6995078119462</v>
      </c>
      <c r="L98" s="313">
        <f>SUM(L94:L97)</f>
        <v>6039.0598837224416</v>
      </c>
      <c r="M98" s="402">
        <f>SUM(M94:M97)</f>
        <v>6146.6908837224437</v>
      </c>
      <c r="N98" s="341">
        <f>O98-M98</f>
        <v>0</v>
      </c>
      <c r="O98" s="315">
        <f t="shared" ref="O98" si="11">SUM(O94:O97)</f>
        <v>6146.6908837224437</v>
      </c>
    </row>
    <row r="99" spans="2:15">
      <c r="B99" s="31"/>
      <c r="C99" s="25"/>
      <c r="D99" s="107"/>
      <c r="E99" s="29"/>
      <c r="F99" s="29"/>
      <c r="G99" s="334"/>
      <c r="H99" s="107"/>
      <c r="I99" s="29"/>
      <c r="J99" s="29"/>
      <c r="K99" s="334"/>
      <c r="L99" s="335"/>
      <c r="M99" s="29"/>
      <c r="N99" s="29"/>
      <c r="O99" s="334"/>
    </row>
    <row r="100" spans="2:15" ht="16.5" thickBot="1">
      <c r="B100" s="21" t="s">
        <v>44</v>
      </c>
      <c r="C100" s="20"/>
      <c r="D100" s="107"/>
      <c r="E100" s="18"/>
      <c r="F100" s="18"/>
      <c r="G100" s="343"/>
      <c r="H100" s="107"/>
      <c r="I100" s="18"/>
      <c r="J100" s="18"/>
      <c r="K100" s="343"/>
      <c r="L100" s="555"/>
      <c r="M100" s="18"/>
      <c r="N100" s="18"/>
      <c r="O100" s="343"/>
    </row>
    <row r="101" spans="2:15">
      <c r="B101" s="67">
        <v>55</v>
      </c>
      <c r="C101" s="20" t="s">
        <v>35</v>
      </c>
      <c r="D101" s="427">
        <v>39.683878533892937</v>
      </c>
      <c r="E101" s="524">
        <v>39.683878533892937</v>
      </c>
      <c r="F101" s="525">
        <v>0</v>
      </c>
      <c r="G101" s="523">
        <f>E101+F101</f>
        <v>39.683878533892937</v>
      </c>
      <c r="H101" s="427">
        <v>40.616954321576657</v>
      </c>
      <c r="I101" s="524">
        <v>40.616954321576657</v>
      </c>
      <c r="J101" s="525">
        <v>0</v>
      </c>
      <c r="K101" s="522">
        <f>I101+J101</f>
        <v>40.616954321576657</v>
      </c>
      <c r="L101" s="322">
        <f t="shared" ref="L101:M103" si="12">D101+H101</f>
        <v>80.300832855469594</v>
      </c>
      <c r="M101" s="524">
        <f t="shared" si="12"/>
        <v>80.300832855469594</v>
      </c>
      <c r="N101" s="522">
        <f>O101-M101</f>
        <v>0</v>
      </c>
      <c r="O101" s="523">
        <f>G101+K101</f>
        <v>80.300832855469594</v>
      </c>
    </row>
    <row r="102" spans="2:15">
      <c r="B102" s="67">
        <v>56</v>
      </c>
      <c r="C102" s="20" t="s">
        <v>36</v>
      </c>
      <c r="D102" s="553">
        <v>33.169075272191833</v>
      </c>
      <c r="E102" s="521">
        <v>33.169075272191833</v>
      </c>
      <c r="F102" s="449">
        <v>0</v>
      </c>
      <c r="G102" s="316">
        <f>E102+F102</f>
        <v>33.169075272191833</v>
      </c>
      <c r="H102" s="553">
        <v>30.502794777635671</v>
      </c>
      <c r="I102" s="521">
        <v>30.502794777635671</v>
      </c>
      <c r="J102" s="449">
        <v>0</v>
      </c>
      <c r="K102" s="337">
        <f>I102+J102</f>
        <v>30.502794777635671</v>
      </c>
      <c r="L102" s="338">
        <f t="shared" si="12"/>
        <v>63.671870049827504</v>
      </c>
      <c r="M102" s="521">
        <f t="shared" si="12"/>
        <v>63.671870049827504</v>
      </c>
      <c r="N102" s="514">
        <f>O102-M102</f>
        <v>0</v>
      </c>
      <c r="O102" s="316">
        <f>G102+K102</f>
        <v>63.671870049827504</v>
      </c>
    </row>
    <row r="103" spans="2:15" ht="16.5" thickBot="1">
      <c r="B103" s="67">
        <v>57</v>
      </c>
      <c r="C103" s="17" t="s">
        <v>0</v>
      </c>
      <c r="D103" s="313">
        <f>SUM(D101:D102)</f>
        <v>72.85295380608477</v>
      </c>
      <c r="E103" s="402">
        <f>SUM(E101:E102)</f>
        <v>72.85295380608477</v>
      </c>
      <c r="F103" s="341">
        <f>G103-E103</f>
        <v>0</v>
      </c>
      <c r="G103" s="315">
        <f>SUM(G101:G102)</f>
        <v>72.85295380608477</v>
      </c>
      <c r="H103" s="313">
        <f>SUM(H101:H102)</f>
        <v>71.119749099212328</v>
      </c>
      <c r="I103" s="402">
        <f>SUM(I101:I102)</f>
        <v>71.119749099212328</v>
      </c>
      <c r="J103" s="341">
        <f>K103-I103</f>
        <v>0</v>
      </c>
      <c r="K103" s="341">
        <f>SUM(K101:K102)</f>
        <v>71.119749099212328</v>
      </c>
      <c r="L103" s="350">
        <f t="shared" si="12"/>
        <v>143.9727029052971</v>
      </c>
      <c r="M103" s="402">
        <f t="shared" si="12"/>
        <v>143.9727029052971</v>
      </c>
      <c r="N103" s="341">
        <f>O103-M103</f>
        <v>0</v>
      </c>
      <c r="O103" s="315">
        <f>G103+K103</f>
        <v>143.9727029052971</v>
      </c>
    </row>
    <row r="104" spans="2:15" ht="15.75" thickBot="1">
      <c r="B104" s="67"/>
      <c r="C104" s="20"/>
      <c r="D104" s="107"/>
      <c r="E104" s="18"/>
      <c r="F104" s="18"/>
      <c r="G104" s="343"/>
      <c r="H104" s="107"/>
      <c r="I104" s="18"/>
      <c r="J104" s="18"/>
      <c r="K104" s="343"/>
      <c r="L104" s="335"/>
      <c r="M104" s="18"/>
      <c r="N104" s="18"/>
      <c r="O104" s="343"/>
    </row>
    <row r="105" spans="2:15" ht="16.5" thickBot="1">
      <c r="B105" s="68">
        <v>58</v>
      </c>
      <c r="C105" s="150" t="s">
        <v>87</v>
      </c>
      <c r="D105" s="352">
        <v>49.699991999999995</v>
      </c>
      <c r="E105" s="503">
        <v>49.045000000000002</v>
      </c>
      <c r="F105" s="451">
        <v>0</v>
      </c>
      <c r="G105" s="353">
        <f>E105+F105</f>
        <v>49.045000000000002</v>
      </c>
      <c r="H105" s="352">
        <v>47.999980000000008</v>
      </c>
      <c r="I105" s="503">
        <v>46.067</v>
      </c>
      <c r="J105" s="451">
        <v>0</v>
      </c>
      <c r="K105" s="353">
        <f>I105+J105</f>
        <v>46.067</v>
      </c>
      <c r="L105" s="355">
        <f>D105+H105</f>
        <v>97.699972000000002</v>
      </c>
      <c r="M105" s="503">
        <f>E105+I105</f>
        <v>95.111999999999995</v>
      </c>
      <c r="N105" s="516">
        <f>O105-M105</f>
        <v>0</v>
      </c>
      <c r="O105" s="353">
        <f>G105+K105</f>
        <v>95.111999999999995</v>
      </c>
    </row>
    <row r="106" spans="2:15" ht="15.75" thickBot="1"/>
    <row r="107" spans="2:15" ht="16.5" customHeight="1" thickBot="1">
      <c r="C107" s="20"/>
      <c r="D107" s="634" t="s">
        <v>141</v>
      </c>
      <c r="E107" s="635"/>
      <c r="F107" s="635"/>
      <c r="G107" s="635"/>
      <c r="H107" s="635"/>
      <c r="I107" s="635"/>
      <c r="J107" s="635"/>
      <c r="K107" s="635"/>
      <c r="L107" s="635"/>
      <c r="M107" s="635"/>
      <c r="N107" s="635"/>
      <c r="O107" s="636"/>
    </row>
    <row r="108" spans="2:15" ht="16.5" thickBot="1">
      <c r="B108" s="94"/>
      <c r="C108" s="92"/>
      <c r="D108" s="631">
        <v>2014</v>
      </c>
      <c r="E108" s="632"/>
      <c r="F108" s="632"/>
      <c r="G108" s="633"/>
      <c r="H108" s="631">
        <v>2015</v>
      </c>
      <c r="I108" s="632"/>
      <c r="J108" s="632"/>
      <c r="K108" s="633"/>
      <c r="L108" s="631" t="s">
        <v>0</v>
      </c>
      <c r="M108" s="632"/>
      <c r="N108" s="632"/>
      <c r="O108" s="633"/>
    </row>
    <row r="109" spans="2:15" ht="15.75">
      <c r="B109" s="87" t="s">
        <v>2</v>
      </c>
      <c r="C109" s="93"/>
      <c r="D109" s="88" t="s">
        <v>238</v>
      </c>
      <c r="E109" s="491" t="s">
        <v>238</v>
      </c>
      <c r="F109" s="507" t="s">
        <v>21</v>
      </c>
      <c r="G109" s="176" t="s">
        <v>21</v>
      </c>
      <c r="H109" s="9" t="s">
        <v>238</v>
      </c>
      <c r="I109" s="159" t="s">
        <v>238</v>
      </c>
      <c r="J109" s="498" t="s">
        <v>21</v>
      </c>
      <c r="K109" s="11" t="s">
        <v>21</v>
      </c>
      <c r="L109" s="9" t="s">
        <v>238</v>
      </c>
      <c r="M109" s="159" t="s">
        <v>238</v>
      </c>
      <c r="N109" s="498" t="s">
        <v>21</v>
      </c>
      <c r="O109" s="11" t="s">
        <v>21</v>
      </c>
    </row>
    <row r="110" spans="2:15" ht="16.5" thickBot="1">
      <c r="B110" s="54" t="s">
        <v>3</v>
      </c>
      <c r="C110" s="53" t="s">
        <v>1</v>
      </c>
      <c r="D110" s="506" t="s">
        <v>239</v>
      </c>
      <c r="E110" s="526">
        <v>41437</v>
      </c>
      <c r="F110" s="498" t="s">
        <v>15</v>
      </c>
      <c r="G110" s="11" t="s">
        <v>12</v>
      </c>
      <c r="H110" s="506" t="s">
        <v>239</v>
      </c>
      <c r="I110" s="526">
        <v>41437</v>
      </c>
      <c r="J110" s="498" t="s">
        <v>15</v>
      </c>
      <c r="K110" s="11" t="s">
        <v>12</v>
      </c>
      <c r="L110" s="506" t="s">
        <v>239</v>
      </c>
      <c r="M110" s="526">
        <v>41437</v>
      </c>
      <c r="N110" s="498" t="s">
        <v>15</v>
      </c>
      <c r="O110" s="11" t="s">
        <v>12</v>
      </c>
    </row>
    <row r="111" spans="2:15">
      <c r="B111" s="16"/>
      <c r="C111" s="20"/>
      <c r="D111" s="508" t="s">
        <v>4</v>
      </c>
      <c r="E111" s="509" t="s">
        <v>5</v>
      </c>
      <c r="F111" s="509" t="s">
        <v>6</v>
      </c>
      <c r="G111" s="509" t="s">
        <v>7</v>
      </c>
      <c r="H111" s="528" t="s">
        <v>8</v>
      </c>
      <c r="I111" s="509" t="s">
        <v>9</v>
      </c>
      <c r="J111" s="509" t="s">
        <v>11</v>
      </c>
      <c r="K111" s="509" t="s">
        <v>13</v>
      </c>
      <c r="L111" s="528" t="s">
        <v>14</v>
      </c>
      <c r="M111" s="509" t="s">
        <v>240</v>
      </c>
      <c r="N111" s="509" t="s">
        <v>241</v>
      </c>
      <c r="O111" s="510" t="s">
        <v>242</v>
      </c>
    </row>
    <row r="112" spans="2:15" ht="18" thickBot="1">
      <c r="B112" s="21" t="s">
        <v>37</v>
      </c>
      <c r="C112" s="20"/>
      <c r="D112" s="16"/>
      <c r="E112" s="27"/>
      <c r="F112" s="27"/>
      <c r="G112" s="27"/>
      <c r="H112" s="27"/>
      <c r="I112" s="18"/>
      <c r="J112" s="18"/>
      <c r="K112" s="18"/>
      <c r="L112" s="18"/>
      <c r="M112" s="20"/>
      <c r="N112" s="20"/>
      <c r="O112" s="34"/>
    </row>
    <row r="113" spans="2:15">
      <c r="B113" s="67">
        <v>59</v>
      </c>
      <c r="C113" s="20" t="s">
        <v>39</v>
      </c>
      <c r="D113" s="427">
        <f t="shared" ref="D113:D116" si="13">D32+D59+D86</f>
        <v>15617.807906821708</v>
      </c>
      <c r="E113" s="377">
        <f t="shared" ref="E113:K116" si="14">E32+E59+E86</f>
        <v>15617.807906821708</v>
      </c>
      <c r="F113" s="321">
        <f t="shared" si="14"/>
        <v>0</v>
      </c>
      <c r="G113" s="300">
        <f t="shared" si="14"/>
        <v>15617.807906821708</v>
      </c>
      <c r="H113" s="427">
        <f t="shared" si="14"/>
        <v>15976.863714570409</v>
      </c>
      <c r="I113" s="377">
        <f t="shared" si="14"/>
        <v>15976.863714570409</v>
      </c>
      <c r="J113" s="321">
        <f t="shared" si="14"/>
        <v>0</v>
      </c>
      <c r="K113" s="300">
        <f t="shared" si="14"/>
        <v>15976.863714570409</v>
      </c>
      <c r="L113" s="322">
        <f t="shared" ref="L113:M117" si="15">D113+H113</f>
        <v>31594.671621392117</v>
      </c>
      <c r="M113" s="532">
        <f t="shared" si="15"/>
        <v>31594.671621392117</v>
      </c>
      <c r="N113" s="323">
        <f t="shared" ref="N113:N118" si="16">O113-M113</f>
        <v>0</v>
      </c>
      <c r="O113" s="324">
        <f>G113+K113</f>
        <v>31594.671621392117</v>
      </c>
    </row>
    <row r="114" spans="2:15">
      <c r="B114" s="67">
        <v>60</v>
      </c>
      <c r="C114" s="85" t="s">
        <v>67</v>
      </c>
      <c r="D114" s="430">
        <f t="shared" si="13"/>
        <v>5045.8852491755188</v>
      </c>
      <c r="E114" s="400">
        <f t="shared" si="14"/>
        <v>5045.8852491755188</v>
      </c>
      <c r="F114" s="319">
        <f t="shared" si="14"/>
        <v>0</v>
      </c>
      <c r="G114" s="309">
        <f t="shared" si="14"/>
        <v>5045.8852491755188</v>
      </c>
      <c r="H114" s="430">
        <f t="shared" si="14"/>
        <v>5464.8417877756965</v>
      </c>
      <c r="I114" s="400">
        <f t="shared" si="14"/>
        <v>5464.8417877756965</v>
      </c>
      <c r="J114" s="319">
        <f t="shared" si="14"/>
        <v>0</v>
      </c>
      <c r="K114" s="309">
        <f t="shared" si="14"/>
        <v>5464.8417877756965</v>
      </c>
      <c r="L114" s="325">
        <f t="shared" si="15"/>
        <v>10510.727036951215</v>
      </c>
      <c r="M114" s="505">
        <f t="shared" si="15"/>
        <v>10510.727036951215</v>
      </c>
      <c r="N114" s="326">
        <f t="shared" si="16"/>
        <v>0</v>
      </c>
      <c r="O114" s="327">
        <f>G114+K114</f>
        <v>10510.727036951215</v>
      </c>
    </row>
    <row r="115" spans="2:15">
      <c r="B115" s="67">
        <v>61</v>
      </c>
      <c r="C115" s="20" t="s">
        <v>43</v>
      </c>
      <c r="D115" s="430">
        <f t="shared" si="13"/>
        <v>61.974699999999999</v>
      </c>
      <c r="E115" s="400">
        <f t="shared" si="14"/>
        <v>61.974699999999999</v>
      </c>
      <c r="F115" s="319">
        <f t="shared" si="14"/>
        <v>0</v>
      </c>
      <c r="G115" s="309">
        <f t="shared" si="14"/>
        <v>61.974699999999999</v>
      </c>
      <c r="H115" s="430">
        <f t="shared" si="14"/>
        <v>61.974699999999999</v>
      </c>
      <c r="I115" s="400">
        <f t="shared" si="14"/>
        <v>61.974699999999999</v>
      </c>
      <c r="J115" s="319">
        <f t="shared" si="14"/>
        <v>0</v>
      </c>
      <c r="K115" s="309">
        <f t="shared" si="14"/>
        <v>61.974699999999999</v>
      </c>
      <c r="L115" s="325">
        <f t="shared" si="15"/>
        <v>123.9494</v>
      </c>
      <c r="M115" s="505">
        <f t="shared" si="15"/>
        <v>123.9494</v>
      </c>
      <c r="N115" s="326">
        <f t="shared" si="16"/>
        <v>0</v>
      </c>
      <c r="O115" s="327">
        <f>G115+K115</f>
        <v>123.9494</v>
      </c>
    </row>
    <row r="116" spans="2:15">
      <c r="B116" s="67">
        <v>62</v>
      </c>
      <c r="C116" s="85" t="s">
        <v>69</v>
      </c>
      <c r="D116" s="430">
        <f t="shared" si="13"/>
        <v>428.63812653742963</v>
      </c>
      <c r="E116" s="400">
        <f t="shared" si="14"/>
        <v>428.63812653742963</v>
      </c>
      <c r="F116" s="319">
        <f t="shared" si="14"/>
        <v>0</v>
      </c>
      <c r="G116" s="309">
        <f t="shared" si="14"/>
        <v>428.63812653742963</v>
      </c>
      <c r="H116" s="430">
        <f t="shared" si="14"/>
        <v>423.406968849647</v>
      </c>
      <c r="I116" s="400">
        <f t="shared" si="14"/>
        <v>423.406968849647</v>
      </c>
      <c r="J116" s="319">
        <f t="shared" si="14"/>
        <v>0</v>
      </c>
      <c r="K116" s="309">
        <f t="shared" si="14"/>
        <v>423.406968849647</v>
      </c>
      <c r="L116" s="325">
        <f t="shared" si="15"/>
        <v>852.04509538707657</v>
      </c>
      <c r="M116" s="505">
        <f t="shared" si="15"/>
        <v>852.04509538707657</v>
      </c>
      <c r="N116" s="326">
        <f t="shared" si="16"/>
        <v>0</v>
      </c>
      <c r="O116" s="327">
        <f>G116+K116</f>
        <v>852.04509538707657</v>
      </c>
    </row>
    <row r="117" spans="2:15">
      <c r="B117" s="67">
        <v>63</v>
      </c>
      <c r="C117" s="20" t="s">
        <v>31</v>
      </c>
      <c r="D117" s="553">
        <f>D90</f>
        <v>283.59782170415178</v>
      </c>
      <c r="E117" s="403">
        <f>E90</f>
        <v>283.59782170415178</v>
      </c>
      <c r="F117" s="337">
        <f t="shared" ref="F117:G117" si="17">F90</f>
        <v>0</v>
      </c>
      <c r="G117" s="316">
        <f t="shared" si="17"/>
        <v>283.59782170415178</v>
      </c>
      <c r="H117" s="553">
        <f>H90</f>
        <v>274.37152851701137</v>
      </c>
      <c r="I117" s="403">
        <f>I90</f>
        <v>274.37152851701137</v>
      </c>
      <c r="J117" s="337">
        <f t="shared" ref="J117:K117" si="18">J90</f>
        <v>0</v>
      </c>
      <c r="K117" s="316">
        <f t="shared" si="18"/>
        <v>274.37152851701137</v>
      </c>
      <c r="L117" s="338">
        <f t="shared" si="15"/>
        <v>557.96935022116315</v>
      </c>
      <c r="M117" s="535">
        <f t="shared" si="15"/>
        <v>557.96935022116315</v>
      </c>
      <c r="N117" s="360">
        <f t="shared" si="16"/>
        <v>0</v>
      </c>
      <c r="O117" s="361">
        <f>G117+K117</f>
        <v>557.96935022116315</v>
      </c>
    </row>
    <row r="118" spans="2:15" ht="16.5" thickBot="1">
      <c r="B118" s="67">
        <v>64</v>
      </c>
      <c r="C118" s="17" t="s">
        <v>0</v>
      </c>
      <c r="D118" s="313">
        <f>D113-D114+D115+D116+D117</f>
        <v>11346.133305887772</v>
      </c>
      <c r="E118" s="402">
        <f>E113-E114+E115+E116+E117</f>
        <v>11346.133305887772</v>
      </c>
      <c r="F118" s="341">
        <f>G118-E118</f>
        <v>0</v>
      </c>
      <c r="G118" s="315">
        <f>G113-G114+G115+G116+G117</f>
        <v>11346.133305887772</v>
      </c>
      <c r="H118" s="313">
        <f>H113-H114+H115+H116+H117</f>
        <v>11271.775124161371</v>
      </c>
      <c r="I118" s="402">
        <f>I113-I114+I115+I116+I117</f>
        <v>11271.775124161371</v>
      </c>
      <c r="J118" s="341">
        <f>K118-I118</f>
        <v>0</v>
      </c>
      <c r="K118" s="315">
        <f>K113-K114+K115+K116+K117</f>
        <v>11271.775124161371</v>
      </c>
      <c r="L118" s="331">
        <f>L113-L114+L115+L116+L117</f>
        <v>22617.908430049141</v>
      </c>
      <c r="M118" s="501">
        <f>M113-M114+M115+M116+M117</f>
        <v>22617.908430049141</v>
      </c>
      <c r="N118" s="332">
        <f t="shared" si="16"/>
        <v>0</v>
      </c>
      <c r="O118" s="333">
        <f>O113-O114+O115+O116+O117</f>
        <v>22617.908430049141</v>
      </c>
    </row>
    <row r="119" spans="2:15">
      <c r="B119" s="31"/>
      <c r="C119" s="25"/>
      <c r="D119" s="107"/>
      <c r="E119" s="18"/>
      <c r="F119" s="18"/>
      <c r="G119" s="334"/>
      <c r="H119" s="107"/>
      <c r="I119" s="18"/>
      <c r="J119" s="18"/>
      <c r="K119" s="19"/>
      <c r="L119" s="335"/>
      <c r="M119" s="527"/>
      <c r="N119" s="35"/>
      <c r="O119" s="334"/>
    </row>
    <row r="120" spans="2:15" ht="16.5" thickBot="1">
      <c r="B120" s="14" t="s">
        <v>45</v>
      </c>
      <c r="C120" s="25"/>
      <c r="D120" s="107"/>
      <c r="E120" s="18"/>
      <c r="F120" s="18"/>
      <c r="G120" s="334"/>
      <c r="H120" s="107"/>
      <c r="I120" s="18"/>
      <c r="J120" s="18"/>
      <c r="K120" s="19"/>
      <c r="L120" s="335"/>
      <c r="M120" s="35"/>
      <c r="N120" s="35"/>
      <c r="O120" s="334"/>
    </row>
    <row r="121" spans="2:15">
      <c r="B121" s="67">
        <v>65</v>
      </c>
      <c r="C121" s="20" t="s">
        <v>32</v>
      </c>
      <c r="D121" s="427">
        <f t="shared" ref="D121:D124" si="19">D40+D67+D94</f>
        <v>2800.6363006350894</v>
      </c>
      <c r="E121" s="377">
        <f t="shared" ref="E121:K124" si="20">E40+E67+E94</f>
        <v>2880.3463006350889</v>
      </c>
      <c r="F121" s="321">
        <f t="shared" si="20"/>
        <v>0</v>
      </c>
      <c r="G121" s="300">
        <f t="shared" si="20"/>
        <v>2880.3463006350889</v>
      </c>
      <c r="H121" s="427">
        <f t="shared" si="20"/>
        <v>2851.6120057010676</v>
      </c>
      <c r="I121" s="377">
        <f t="shared" si="20"/>
        <v>2918.0920057010671</v>
      </c>
      <c r="J121" s="321">
        <f t="shared" si="20"/>
        <v>0</v>
      </c>
      <c r="K121" s="300">
        <f t="shared" si="20"/>
        <v>2918.0920057010671</v>
      </c>
      <c r="L121" s="322">
        <f t="shared" ref="L121:M124" si="21">D121+H121</f>
        <v>5652.2483063361569</v>
      </c>
      <c r="M121" s="532">
        <f t="shared" si="21"/>
        <v>5798.4383063361565</v>
      </c>
      <c r="N121" s="323">
        <f>O121-M121</f>
        <v>0</v>
      </c>
      <c r="O121" s="324">
        <f>G121+K121</f>
        <v>5798.4383063361565</v>
      </c>
    </row>
    <row r="122" spans="2:15">
      <c r="B122" s="67">
        <v>66</v>
      </c>
      <c r="C122" s="20" t="s">
        <v>33</v>
      </c>
      <c r="D122" s="430">
        <f t="shared" si="19"/>
        <v>609.31147624513301</v>
      </c>
      <c r="E122" s="400">
        <f t="shared" si="20"/>
        <v>611.41332626016072</v>
      </c>
      <c r="F122" s="319">
        <f t="shared" si="20"/>
        <v>0</v>
      </c>
      <c r="G122" s="309">
        <f t="shared" si="20"/>
        <v>611.41332626016072</v>
      </c>
      <c r="H122" s="430">
        <f t="shared" si="20"/>
        <v>615.00024379811157</v>
      </c>
      <c r="I122" s="400">
        <f t="shared" si="20"/>
        <v>618.78620734577646</v>
      </c>
      <c r="J122" s="319">
        <f t="shared" si="20"/>
        <v>0</v>
      </c>
      <c r="K122" s="309">
        <f t="shared" si="20"/>
        <v>618.78620734577646</v>
      </c>
      <c r="L122" s="325">
        <f t="shared" si="21"/>
        <v>1224.3117200432446</v>
      </c>
      <c r="M122" s="505">
        <f t="shared" si="21"/>
        <v>1230.1995336059372</v>
      </c>
      <c r="N122" s="326">
        <f>O122-M122</f>
        <v>0</v>
      </c>
      <c r="O122" s="327">
        <f>G122+K122</f>
        <v>1230.1995336059372</v>
      </c>
    </row>
    <row r="123" spans="2:15">
      <c r="B123" s="67">
        <v>67</v>
      </c>
      <c r="C123" s="85" t="s">
        <v>68</v>
      </c>
      <c r="D123" s="430">
        <f t="shared" si="19"/>
        <v>418.0077304305637</v>
      </c>
      <c r="E123" s="400">
        <f t="shared" si="20"/>
        <v>418.0077304305637</v>
      </c>
      <c r="F123" s="319">
        <f t="shared" si="20"/>
        <v>0</v>
      </c>
      <c r="G123" s="309">
        <f t="shared" si="20"/>
        <v>418.0077304305637</v>
      </c>
      <c r="H123" s="430">
        <f t="shared" si="20"/>
        <v>433.57034676979333</v>
      </c>
      <c r="I123" s="400">
        <f t="shared" si="20"/>
        <v>433.57034676979333</v>
      </c>
      <c r="J123" s="319">
        <f t="shared" si="20"/>
        <v>0</v>
      </c>
      <c r="K123" s="309">
        <f t="shared" si="20"/>
        <v>433.57034676979333</v>
      </c>
      <c r="L123" s="325">
        <f t="shared" si="21"/>
        <v>851.57807720035703</v>
      </c>
      <c r="M123" s="505">
        <f t="shared" si="21"/>
        <v>851.57807720035703</v>
      </c>
      <c r="N123" s="326">
        <f>O123-M123</f>
        <v>0</v>
      </c>
      <c r="O123" s="327">
        <f>G123+K123</f>
        <v>851.57807720035703</v>
      </c>
    </row>
    <row r="124" spans="2:15">
      <c r="B124" s="67">
        <v>68</v>
      </c>
      <c r="C124" s="20" t="s">
        <v>34</v>
      </c>
      <c r="D124" s="553">
        <f t="shared" si="19"/>
        <v>16.326999999999998</v>
      </c>
      <c r="E124" s="403">
        <f t="shared" si="20"/>
        <v>16.326999999999998</v>
      </c>
      <c r="F124" s="337">
        <f t="shared" si="20"/>
        <v>0</v>
      </c>
      <c r="G124" s="316">
        <f t="shared" si="20"/>
        <v>16.326999999999998</v>
      </c>
      <c r="H124" s="553">
        <f t="shared" si="20"/>
        <v>16.831</v>
      </c>
      <c r="I124" s="403">
        <f t="shared" si="20"/>
        <v>16.831</v>
      </c>
      <c r="J124" s="337">
        <f t="shared" si="20"/>
        <v>0</v>
      </c>
      <c r="K124" s="316">
        <f t="shared" si="20"/>
        <v>16.831</v>
      </c>
      <c r="L124" s="338">
        <f t="shared" si="21"/>
        <v>33.158000000000001</v>
      </c>
      <c r="M124" s="521">
        <f t="shared" si="21"/>
        <v>33.158000000000001</v>
      </c>
      <c r="N124" s="339">
        <f>O124-M124</f>
        <v>0</v>
      </c>
      <c r="O124" s="340">
        <f>G124+K124</f>
        <v>33.158000000000001</v>
      </c>
    </row>
    <row r="125" spans="2:15" ht="16.5" thickBot="1">
      <c r="B125" s="67">
        <v>69</v>
      </c>
      <c r="C125" s="17" t="s">
        <v>0</v>
      </c>
      <c r="D125" s="313">
        <f>SUM(D121:D124)</f>
        <v>3844.2825073107861</v>
      </c>
      <c r="E125" s="402">
        <f>SUM(E121:E124)</f>
        <v>3926.0943573258137</v>
      </c>
      <c r="F125" s="341">
        <f>G125-E125</f>
        <v>0</v>
      </c>
      <c r="G125" s="315">
        <f>SUM(G121:G124)</f>
        <v>3926.0943573258137</v>
      </c>
      <c r="H125" s="313">
        <f>SUM(H121:H124)</f>
        <v>3917.0135962689728</v>
      </c>
      <c r="I125" s="402">
        <f>SUM(I121:I124)</f>
        <v>3987.2795598166367</v>
      </c>
      <c r="J125" s="341">
        <f>K125-I125</f>
        <v>0</v>
      </c>
      <c r="K125" s="315">
        <f>SUM(K121:K124)</f>
        <v>3987.2795598166367</v>
      </c>
      <c r="L125" s="313">
        <f>SUM(L121:L124)</f>
        <v>7761.2961035797589</v>
      </c>
      <c r="M125" s="402">
        <f>SUM(M121:M124)</f>
        <v>7913.3739171424513</v>
      </c>
      <c r="N125" s="342">
        <f>O125-M125</f>
        <v>0</v>
      </c>
      <c r="O125" s="315">
        <f t="shared" ref="O125" si="22">SUM(O121:O124)</f>
        <v>7913.3739171424513</v>
      </c>
    </row>
    <row r="126" spans="2:15">
      <c r="B126" s="31"/>
      <c r="C126" s="25"/>
      <c r="D126" s="107"/>
      <c r="E126" s="18"/>
      <c r="F126" s="18"/>
      <c r="G126" s="334"/>
      <c r="H126" s="107"/>
      <c r="I126" s="18"/>
      <c r="J126" s="18"/>
      <c r="K126" s="19"/>
      <c r="L126" s="335"/>
      <c r="M126" s="527"/>
      <c r="N126" s="35"/>
      <c r="O126" s="334"/>
    </row>
    <row r="127" spans="2:15" ht="16.5" thickBot="1">
      <c r="B127" s="21" t="s">
        <v>44</v>
      </c>
      <c r="C127" s="20"/>
      <c r="D127" s="107"/>
      <c r="E127" s="18"/>
      <c r="F127" s="18"/>
      <c r="G127" s="345"/>
      <c r="H127" s="107"/>
      <c r="I127" s="18"/>
      <c r="J127" s="18"/>
      <c r="K127" s="19"/>
      <c r="L127" s="555"/>
      <c r="M127" s="344"/>
      <c r="N127" s="344"/>
      <c r="O127" s="345"/>
    </row>
    <row r="128" spans="2:15">
      <c r="B128" s="67">
        <v>70</v>
      </c>
      <c r="C128" s="20" t="s">
        <v>35</v>
      </c>
      <c r="D128" s="427">
        <f>D101</f>
        <v>39.683878533892937</v>
      </c>
      <c r="E128" s="377">
        <f>E101</f>
        <v>39.683878533892937</v>
      </c>
      <c r="F128" s="321">
        <f t="shared" ref="F128:J128" si="23">F101</f>
        <v>0</v>
      </c>
      <c r="G128" s="300">
        <f t="shared" si="23"/>
        <v>39.683878533892937</v>
      </c>
      <c r="H128" s="427">
        <f t="shared" si="23"/>
        <v>40.616954321576657</v>
      </c>
      <c r="I128" s="377">
        <f t="shared" si="23"/>
        <v>40.616954321576657</v>
      </c>
      <c r="J128" s="321">
        <f t="shared" si="23"/>
        <v>0</v>
      </c>
      <c r="K128" s="300">
        <f>K101</f>
        <v>40.616954321576657</v>
      </c>
      <c r="L128" s="322">
        <f t="shared" ref="L128:M130" si="24">D128+H128</f>
        <v>80.300832855469594</v>
      </c>
      <c r="M128" s="533">
        <f t="shared" si="24"/>
        <v>80.300832855469594</v>
      </c>
      <c r="N128" s="362">
        <f>O128-M128</f>
        <v>0</v>
      </c>
      <c r="O128" s="363">
        <f>G128+K128</f>
        <v>80.300832855469594</v>
      </c>
    </row>
    <row r="129" spans="2:15">
      <c r="B129" s="67">
        <v>71</v>
      </c>
      <c r="C129" s="20" t="s">
        <v>36</v>
      </c>
      <c r="D129" s="553">
        <f t="shared" ref="D129" si="25">D48+D75+D102</f>
        <v>75.675581396040783</v>
      </c>
      <c r="E129" s="403">
        <f t="shared" ref="E129:K129" si="26">E48+E75+E102</f>
        <v>89.798874246666031</v>
      </c>
      <c r="F129" s="337">
        <f t="shared" si="26"/>
        <v>0</v>
      </c>
      <c r="G129" s="316">
        <f t="shared" si="26"/>
        <v>89.798874246666031</v>
      </c>
      <c r="H129" s="553">
        <f t="shared" si="26"/>
        <v>73.824363885474426</v>
      </c>
      <c r="I129" s="403">
        <f t="shared" si="26"/>
        <v>88.23070259311217</v>
      </c>
      <c r="J129" s="337">
        <f t="shared" si="26"/>
        <v>0</v>
      </c>
      <c r="K129" s="316">
        <f t="shared" si="26"/>
        <v>88.23070259311217</v>
      </c>
      <c r="L129" s="338">
        <f t="shared" si="24"/>
        <v>149.49994528151521</v>
      </c>
      <c r="M129" s="521">
        <f t="shared" si="24"/>
        <v>178.0295768397782</v>
      </c>
      <c r="N129" s="339">
        <f>O129-M129</f>
        <v>0</v>
      </c>
      <c r="O129" s="340">
        <f>G129+K129</f>
        <v>178.0295768397782</v>
      </c>
    </row>
    <row r="130" spans="2:15" ht="16.5" thickBot="1">
      <c r="B130" s="67">
        <v>72</v>
      </c>
      <c r="C130" s="17" t="s">
        <v>0</v>
      </c>
      <c r="D130" s="313">
        <f>SUM(D128:D129)</f>
        <v>115.35945992993372</v>
      </c>
      <c r="E130" s="402">
        <f>SUM(E128:E129)</f>
        <v>129.48275278055897</v>
      </c>
      <c r="F130" s="341">
        <f>G130-E130</f>
        <v>0</v>
      </c>
      <c r="G130" s="315">
        <f>SUM(G128:G129)</f>
        <v>129.48275278055897</v>
      </c>
      <c r="H130" s="313">
        <f>SUM(H128:H129)</f>
        <v>114.44131820705108</v>
      </c>
      <c r="I130" s="402">
        <f>SUM(I128:I129)</f>
        <v>128.84765691468883</v>
      </c>
      <c r="J130" s="341">
        <f>K130-I130</f>
        <v>0</v>
      </c>
      <c r="K130" s="315">
        <f>SUM(K128:K129)</f>
        <v>128.84765691468883</v>
      </c>
      <c r="L130" s="350">
        <f t="shared" si="24"/>
        <v>229.8007781369848</v>
      </c>
      <c r="M130" s="531">
        <f t="shared" si="24"/>
        <v>258.33040969524779</v>
      </c>
      <c r="N130" s="342">
        <f>O130-M130</f>
        <v>0</v>
      </c>
      <c r="O130" s="351">
        <f>G130+K130</f>
        <v>258.33040969524779</v>
      </c>
    </row>
    <row r="131" spans="2:15" ht="15.75" thickBot="1">
      <c r="B131" s="67"/>
      <c r="C131" s="20"/>
      <c r="D131" s="107"/>
      <c r="E131" s="18"/>
      <c r="F131" s="18"/>
      <c r="G131" s="345"/>
      <c r="H131" s="107"/>
      <c r="I131" s="18"/>
      <c r="J131" s="18"/>
      <c r="K131" s="19"/>
      <c r="L131" s="335"/>
      <c r="M131" s="527"/>
      <c r="N131" s="344"/>
      <c r="O131" s="345"/>
    </row>
    <row r="132" spans="2:15" ht="16.5" thickBot="1">
      <c r="B132" s="68">
        <v>73</v>
      </c>
      <c r="C132" s="150" t="s">
        <v>87</v>
      </c>
      <c r="D132" s="352">
        <f>D51+D78+D105</f>
        <v>74.233098987025983</v>
      </c>
      <c r="E132" s="534">
        <f t="shared" ref="E132:K132" si="27">E51+E78+E105</f>
        <v>74.605243315829497</v>
      </c>
      <c r="F132" s="354">
        <f t="shared" si="27"/>
        <v>0</v>
      </c>
      <c r="G132" s="353">
        <f t="shared" si="27"/>
        <v>74.605243315829497</v>
      </c>
      <c r="H132" s="352">
        <f t="shared" si="27"/>
        <v>80.682885652682373</v>
      </c>
      <c r="I132" s="534">
        <f t="shared" si="27"/>
        <v>79.554714155258324</v>
      </c>
      <c r="J132" s="354">
        <f t="shared" si="27"/>
        <v>0</v>
      </c>
      <c r="K132" s="353">
        <f t="shared" si="27"/>
        <v>79.554714155258324</v>
      </c>
      <c r="L132" s="355">
        <f>D132+H132</f>
        <v>154.91598463970837</v>
      </c>
      <c r="M132" s="503">
        <f>E132+I132</f>
        <v>154.15995747108781</v>
      </c>
      <c r="N132" s="356">
        <f>O132-M132</f>
        <v>0</v>
      </c>
      <c r="O132" s="357">
        <f>G132+K132</f>
        <v>154.15995747108781</v>
      </c>
    </row>
    <row r="133" spans="2:15" ht="15.75" thickBot="1"/>
    <row r="134" spans="2:15" ht="16.5" thickBot="1">
      <c r="D134" s="634" t="s">
        <v>115</v>
      </c>
      <c r="E134" s="635"/>
      <c r="F134" s="635"/>
      <c r="G134" s="635"/>
      <c r="H134" s="635"/>
      <c r="I134" s="635"/>
      <c r="J134" s="635"/>
      <c r="K134" s="636"/>
      <c r="L134" s="492"/>
    </row>
    <row r="135" spans="2:15" ht="16.5" thickBot="1">
      <c r="B135" s="94"/>
      <c r="C135" s="92"/>
      <c r="D135" s="631">
        <v>2014</v>
      </c>
      <c r="E135" s="632"/>
      <c r="F135" s="632"/>
      <c r="G135" s="633"/>
      <c r="H135" s="632">
        <v>2015</v>
      </c>
      <c r="I135" s="632"/>
      <c r="J135" s="632"/>
      <c r="K135" s="633"/>
      <c r="L135" s="219"/>
    </row>
    <row r="136" spans="2:15" ht="15.75">
      <c r="B136" s="87" t="s">
        <v>2</v>
      </c>
      <c r="C136" s="93"/>
      <c r="D136" s="88" t="s">
        <v>238</v>
      </c>
      <c r="E136" s="491" t="s">
        <v>238</v>
      </c>
      <c r="F136" s="507" t="s">
        <v>21</v>
      </c>
      <c r="G136" s="176" t="s">
        <v>21</v>
      </c>
      <c r="H136" s="92" t="s">
        <v>238</v>
      </c>
      <c r="I136" s="491" t="s">
        <v>238</v>
      </c>
      <c r="J136" s="507" t="s">
        <v>21</v>
      </c>
      <c r="K136" s="176" t="s">
        <v>21</v>
      </c>
      <c r="L136" s="219"/>
      <c r="M136" s="243"/>
    </row>
    <row r="137" spans="2:15" ht="16.5" thickBot="1">
      <c r="B137" s="54" t="s">
        <v>3</v>
      </c>
      <c r="C137" s="53" t="s">
        <v>1</v>
      </c>
      <c r="D137" s="506" t="s">
        <v>239</v>
      </c>
      <c r="E137" s="526">
        <v>41437</v>
      </c>
      <c r="F137" s="498" t="s">
        <v>15</v>
      </c>
      <c r="G137" s="11" t="s">
        <v>12</v>
      </c>
      <c r="H137" s="544" t="s">
        <v>239</v>
      </c>
      <c r="I137" s="526">
        <v>41437</v>
      </c>
      <c r="J137" s="498" t="s">
        <v>15</v>
      </c>
      <c r="K137" s="11" t="s">
        <v>12</v>
      </c>
      <c r="L137" s="219"/>
    </row>
    <row r="138" spans="2:15" ht="15.75">
      <c r="B138" s="237"/>
      <c r="C138" s="466"/>
      <c r="D138" s="508" t="s">
        <v>4</v>
      </c>
      <c r="E138" s="509" t="s">
        <v>5</v>
      </c>
      <c r="F138" s="509" t="s">
        <v>6</v>
      </c>
      <c r="G138" s="510" t="s">
        <v>7</v>
      </c>
      <c r="H138" s="528" t="s">
        <v>8</v>
      </c>
      <c r="I138" s="509" t="s">
        <v>9</v>
      </c>
      <c r="J138" s="509" t="s">
        <v>11</v>
      </c>
      <c r="K138" s="510" t="s">
        <v>13</v>
      </c>
      <c r="L138" s="26"/>
    </row>
    <row r="139" spans="2:15" ht="16.5" thickBot="1">
      <c r="B139" s="21" t="s">
        <v>75</v>
      </c>
      <c r="C139" s="17"/>
      <c r="D139" s="21"/>
      <c r="E139" s="168"/>
      <c r="F139" s="168"/>
      <c r="G139" s="229"/>
      <c r="H139" s="168"/>
      <c r="I139" s="112"/>
      <c r="J139" s="112"/>
      <c r="K139" s="128"/>
      <c r="L139" s="112"/>
    </row>
    <row r="140" spans="2:15">
      <c r="B140" s="170">
        <v>74</v>
      </c>
      <c r="C140" s="85" t="s">
        <v>80</v>
      </c>
      <c r="D140" s="557">
        <v>0.15</v>
      </c>
      <c r="E140" s="188">
        <v>0.15</v>
      </c>
      <c r="F140" s="452">
        <v>0</v>
      </c>
      <c r="G140" s="166">
        <f>E140+F140</f>
        <v>0.15</v>
      </c>
      <c r="H140" s="557">
        <v>0.15</v>
      </c>
      <c r="I140" s="188">
        <v>0.15</v>
      </c>
      <c r="J140" s="452">
        <v>0</v>
      </c>
      <c r="K140" s="166">
        <f>I140+J140</f>
        <v>0.15</v>
      </c>
      <c r="L140" s="163"/>
    </row>
    <row r="141" spans="2:15">
      <c r="B141" s="170">
        <v>75</v>
      </c>
      <c r="C141" s="85" t="s">
        <v>81</v>
      </c>
      <c r="D141" s="135">
        <v>0.11</v>
      </c>
      <c r="E141" s="180">
        <v>0.11</v>
      </c>
      <c r="F141" s="446">
        <v>0</v>
      </c>
      <c r="G141" s="165">
        <f>E141+F141</f>
        <v>0.11</v>
      </c>
      <c r="H141" s="135">
        <v>0.11</v>
      </c>
      <c r="I141" s="180">
        <v>0.11</v>
      </c>
      <c r="J141" s="446">
        <v>0</v>
      </c>
      <c r="K141" s="165">
        <f>I141+J141</f>
        <v>0.11</v>
      </c>
      <c r="L141" s="163"/>
    </row>
    <row r="142" spans="2:15">
      <c r="B142" s="170">
        <v>76</v>
      </c>
      <c r="C142" s="85" t="s">
        <v>82</v>
      </c>
      <c r="D142" s="558">
        <v>-0.01</v>
      </c>
      <c r="E142" s="181">
        <v>-0.01</v>
      </c>
      <c r="F142" s="453">
        <v>0</v>
      </c>
      <c r="G142" s="230">
        <f>E142+F142</f>
        <v>-0.01</v>
      </c>
      <c r="H142" s="558">
        <v>-0.01</v>
      </c>
      <c r="I142" s="181">
        <v>-0.01</v>
      </c>
      <c r="J142" s="453">
        <v>0</v>
      </c>
      <c r="K142" s="230">
        <f>I142+J142</f>
        <v>-0.01</v>
      </c>
      <c r="L142" s="163"/>
    </row>
    <row r="143" spans="2:15" ht="16.5" thickBot="1">
      <c r="B143" s="170">
        <v>77</v>
      </c>
      <c r="C143" s="17" t="s">
        <v>78</v>
      </c>
      <c r="D143" s="81">
        <f>SUM(D140:D142)</f>
        <v>0.25</v>
      </c>
      <c r="E143" s="79">
        <f>SUM(E140:E142)</f>
        <v>0.25</v>
      </c>
      <c r="F143" s="109">
        <f>G143-E143</f>
        <v>0</v>
      </c>
      <c r="G143" s="273">
        <f>SUM(G140:G142)</f>
        <v>0.25</v>
      </c>
      <c r="H143" s="81">
        <f>SUM(H140:H142)</f>
        <v>0.25</v>
      </c>
      <c r="I143" s="79">
        <f>SUM(I140:I142)</f>
        <v>0.25</v>
      </c>
      <c r="J143" s="109">
        <f>K143-I143</f>
        <v>0</v>
      </c>
      <c r="K143" s="273">
        <f>SUM(K140:K142)</f>
        <v>0.25</v>
      </c>
      <c r="L143" s="493"/>
    </row>
    <row r="144" spans="2:15" ht="15.75">
      <c r="B144" s="170"/>
      <c r="C144" s="17"/>
      <c r="D144" s="228"/>
      <c r="E144" s="168"/>
      <c r="F144" s="168"/>
      <c r="G144" s="229"/>
      <c r="H144" s="194"/>
      <c r="I144" s="112"/>
      <c r="J144" s="112"/>
      <c r="K144" s="128"/>
      <c r="L144" s="112"/>
    </row>
    <row r="145" spans="2:13" ht="16.5" thickBot="1">
      <c r="B145" s="21" t="s">
        <v>153</v>
      </c>
      <c r="C145" s="17"/>
      <c r="D145" s="228"/>
      <c r="E145" s="168"/>
      <c r="F145" s="168"/>
      <c r="G145" s="229"/>
      <c r="H145" s="194"/>
      <c r="I145" s="112"/>
      <c r="J145" s="112"/>
      <c r="K145" s="128"/>
      <c r="L145" s="112"/>
    </row>
    <row r="146" spans="2:13">
      <c r="B146" s="170">
        <v>78</v>
      </c>
      <c r="C146" s="209" t="s">
        <v>152</v>
      </c>
      <c r="D146" s="427">
        <v>-10.399999999999999</v>
      </c>
      <c r="E146" s="377">
        <v>-10.399999999999999</v>
      </c>
      <c r="F146" s="454">
        <v>0</v>
      </c>
      <c r="G146" s="300">
        <f>E146+F146</f>
        <v>-10.399999999999999</v>
      </c>
      <c r="H146" s="427">
        <v>-10.399999999999999</v>
      </c>
      <c r="I146" s="377">
        <v>-10.399999999999999</v>
      </c>
      <c r="J146" s="454">
        <v>0</v>
      </c>
      <c r="K146" s="301">
        <f>I146+J146</f>
        <v>-10.399999999999999</v>
      </c>
      <c r="L146" s="494"/>
    </row>
    <row r="147" spans="2:13" ht="15.75" thickBot="1">
      <c r="B147" s="170">
        <v>79</v>
      </c>
      <c r="C147" s="209" t="s">
        <v>93</v>
      </c>
      <c r="D147" s="550">
        <v>12.3</v>
      </c>
      <c r="E147" s="490">
        <v>12.3</v>
      </c>
      <c r="F147" s="448">
        <v>0</v>
      </c>
      <c r="G147" s="302">
        <f>E147+F147</f>
        <v>12.3</v>
      </c>
      <c r="H147" s="550">
        <v>-12.3</v>
      </c>
      <c r="I147" s="490">
        <v>-12.3</v>
      </c>
      <c r="J147" s="448">
        <v>0</v>
      </c>
      <c r="K147" s="303">
        <f>I147+J147</f>
        <v>-12.3</v>
      </c>
      <c r="L147" s="494"/>
    </row>
    <row r="148" spans="2:13" ht="15.75">
      <c r="B148" s="170"/>
      <c r="C148" s="17"/>
      <c r="D148" s="228"/>
      <c r="E148" s="168"/>
      <c r="F148" s="168"/>
      <c r="G148" s="229"/>
      <c r="H148" s="194"/>
      <c r="I148" s="112"/>
      <c r="J148" s="112"/>
      <c r="K148" s="128"/>
      <c r="L148" s="112"/>
    </row>
    <row r="149" spans="2:13" ht="15.75">
      <c r="B149" s="138" t="s">
        <v>134</v>
      </c>
      <c r="C149" s="207"/>
      <c r="D149" s="559"/>
      <c r="E149" s="24"/>
      <c r="F149" s="24"/>
      <c r="G149" s="212"/>
      <c r="H149" s="559"/>
      <c r="I149" s="24"/>
      <c r="J149" s="24"/>
      <c r="K149" s="210"/>
      <c r="L149" s="164"/>
    </row>
    <row r="150" spans="2:13" ht="16.5" thickBot="1">
      <c r="B150" s="69"/>
      <c r="C150" s="208" t="s">
        <v>96</v>
      </c>
      <c r="D150" s="559"/>
      <c r="E150" s="24"/>
      <c r="F150" s="24"/>
      <c r="G150" s="212"/>
      <c r="H150" s="559"/>
      <c r="I150" s="24"/>
      <c r="J150" s="24"/>
      <c r="K150" s="210"/>
      <c r="L150" s="164"/>
    </row>
    <row r="151" spans="2:13">
      <c r="B151" s="170">
        <v>80</v>
      </c>
      <c r="C151" s="209" t="s">
        <v>97</v>
      </c>
      <c r="D151" s="427">
        <f>D123</f>
        <v>418.0077304305637</v>
      </c>
      <c r="E151" s="377">
        <v>418.0077304305637</v>
      </c>
      <c r="F151" s="304">
        <f>G151-E151</f>
        <v>0</v>
      </c>
      <c r="G151" s="300">
        <f>G123</f>
        <v>418.0077304305637</v>
      </c>
      <c r="H151" s="427">
        <f>H123</f>
        <v>433.57034676979333</v>
      </c>
      <c r="I151" s="377">
        <v>433.57034676979333</v>
      </c>
      <c r="J151" s="304">
        <f>K151-I151</f>
        <v>0</v>
      </c>
      <c r="K151" s="301">
        <f>K123</f>
        <v>433.57034676979333</v>
      </c>
      <c r="L151" s="494"/>
    </row>
    <row r="152" spans="2:13">
      <c r="B152" s="170">
        <v>81</v>
      </c>
      <c r="C152" s="209" t="s">
        <v>98</v>
      </c>
      <c r="D152" s="430">
        <v>59.260469603080523</v>
      </c>
      <c r="E152" s="400">
        <v>59.260469603080523</v>
      </c>
      <c r="F152" s="445">
        <v>0</v>
      </c>
      <c r="G152" s="306">
        <f>E152+F152</f>
        <v>59.260469603080523</v>
      </c>
      <c r="H152" s="430">
        <v>62.175748549348178</v>
      </c>
      <c r="I152" s="400">
        <v>62.175748549348178</v>
      </c>
      <c r="J152" s="445">
        <v>0</v>
      </c>
      <c r="K152" s="307">
        <f>I152+J152</f>
        <v>62.175748549348178</v>
      </c>
      <c r="L152" s="494"/>
    </row>
    <row r="153" spans="2:13">
      <c r="B153" s="170">
        <v>82</v>
      </c>
      <c r="C153" s="209" t="s">
        <v>99</v>
      </c>
      <c r="D153" s="430">
        <v>62.632625982601645</v>
      </c>
      <c r="E153" s="400">
        <v>62.632625982601645</v>
      </c>
      <c r="F153" s="445">
        <v>0</v>
      </c>
      <c r="G153" s="306">
        <f>E153+F153</f>
        <v>62.632625982601645</v>
      </c>
      <c r="H153" s="430">
        <v>116.49271543185633</v>
      </c>
      <c r="I153" s="400">
        <v>116.49271543185633</v>
      </c>
      <c r="J153" s="445">
        <v>0</v>
      </c>
      <c r="K153" s="307">
        <f>I153+J153</f>
        <v>116.49271543185633</v>
      </c>
      <c r="L153" s="494"/>
    </row>
    <row r="154" spans="2:13">
      <c r="B154" s="170">
        <v>83</v>
      </c>
      <c r="C154" s="209" t="s">
        <v>100</v>
      </c>
      <c r="D154" s="430">
        <v>682</v>
      </c>
      <c r="E154" s="400">
        <v>761.7</v>
      </c>
      <c r="F154" s="445">
        <v>0</v>
      </c>
      <c r="G154" s="306">
        <f>E154+F154</f>
        <v>761.7</v>
      </c>
      <c r="H154" s="430">
        <v>672.69999999999993</v>
      </c>
      <c r="I154" s="400">
        <v>739.14</v>
      </c>
      <c r="J154" s="445">
        <v>0</v>
      </c>
      <c r="K154" s="307">
        <f>I154+J154</f>
        <v>739.14</v>
      </c>
      <c r="L154" s="494"/>
    </row>
    <row r="155" spans="2:13">
      <c r="B155" s="170">
        <v>84</v>
      </c>
      <c r="C155" s="209" t="s">
        <v>104</v>
      </c>
      <c r="D155" s="430">
        <v>41.932302390847298</v>
      </c>
      <c r="E155" s="400">
        <v>41.932302390847298</v>
      </c>
      <c r="F155" s="445">
        <v>0</v>
      </c>
      <c r="G155" s="306">
        <f>E155+F155</f>
        <v>41.932302390847298</v>
      </c>
      <c r="H155" s="430">
        <v>0</v>
      </c>
      <c r="I155" s="400">
        <v>0</v>
      </c>
      <c r="J155" s="445">
        <v>0</v>
      </c>
      <c r="K155" s="307">
        <f>I155+J155</f>
        <v>0</v>
      </c>
      <c r="L155" s="494"/>
    </row>
    <row r="156" spans="2:13">
      <c r="B156" s="170">
        <v>85</v>
      </c>
      <c r="C156" s="209" t="s">
        <v>105</v>
      </c>
      <c r="D156" s="430">
        <v>-12.44</v>
      </c>
      <c r="E156" s="400">
        <v>-12.44</v>
      </c>
      <c r="F156" s="445">
        <v>0</v>
      </c>
      <c r="G156" s="306">
        <f>E156+F156</f>
        <v>-12.44</v>
      </c>
      <c r="H156" s="430">
        <v>0</v>
      </c>
      <c r="I156" s="400">
        <v>0</v>
      </c>
      <c r="J156" s="445">
        <v>0</v>
      </c>
      <c r="K156" s="307">
        <f>I156+J156</f>
        <v>0</v>
      </c>
      <c r="L156" s="494"/>
    </row>
    <row r="157" spans="2:13">
      <c r="B157" s="170">
        <v>86</v>
      </c>
      <c r="C157" s="209" t="s">
        <v>101</v>
      </c>
      <c r="D157" s="430">
        <f>'5. Rate_Base_&amp;_Cost_of_Capital'!D108</f>
        <v>74.614428604314043</v>
      </c>
      <c r="E157" s="400">
        <f>'5. Rate_Base_&amp;_Cost_of_Capital'!E108</f>
        <v>74.614428604314043</v>
      </c>
      <c r="F157" s="308">
        <f>G157-E157</f>
        <v>0</v>
      </c>
      <c r="G157" s="309">
        <f>'5. Rate_Base_&amp;_Cost_of_Capital'!G108</f>
        <v>74.614428604314043</v>
      </c>
      <c r="H157" s="430">
        <f>'5. Rate_Base_&amp;_Cost_of_Capital'!H108</f>
        <v>70.280838604314056</v>
      </c>
      <c r="I157" s="400">
        <f>'5. Rate_Base_&amp;_Cost_of_Capital'!I108</f>
        <v>70.280838604314056</v>
      </c>
      <c r="J157" s="308">
        <f>K157-I157</f>
        <v>0</v>
      </c>
      <c r="K157" s="309">
        <f>'5. Rate_Base_&amp;_Cost_of_Capital'!K108</f>
        <v>70.280838604314056</v>
      </c>
      <c r="L157" s="18"/>
      <c r="M157" s="205"/>
    </row>
    <row r="158" spans="2:13">
      <c r="B158" s="170">
        <v>87</v>
      </c>
      <c r="C158" s="209" t="s">
        <v>102</v>
      </c>
      <c r="D158" s="430">
        <v>14.8</v>
      </c>
      <c r="E158" s="400">
        <v>14.8</v>
      </c>
      <c r="F158" s="445">
        <v>0</v>
      </c>
      <c r="G158" s="306">
        <f>E158+F158</f>
        <v>14.8</v>
      </c>
      <c r="H158" s="430">
        <v>10.399999999999999</v>
      </c>
      <c r="I158" s="400">
        <v>10.399999999999999</v>
      </c>
      <c r="J158" s="445">
        <v>0</v>
      </c>
      <c r="K158" s="307">
        <f>I158+J158</f>
        <v>10.399999999999999</v>
      </c>
      <c r="L158" s="494"/>
    </row>
    <row r="159" spans="2:13">
      <c r="B159" s="170">
        <v>88</v>
      </c>
      <c r="C159" s="209" t="s">
        <v>103</v>
      </c>
      <c r="D159" s="553">
        <v>45.911501552755347</v>
      </c>
      <c r="E159" s="403">
        <v>45.911501552755347</v>
      </c>
      <c r="F159" s="449">
        <v>0</v>
      </c>
      <c r="G159" s="311">
        <f>E159+F159</f>
        <v>45.911501552755347</v>
      </c>
      <c r="H159" s="553">
        <v>49.748430879716956</v>
      </c>
      <c r="I159" s="403">
        <v>49.748430879716956</v>
      </c>
      <c r="J159" s="449">
        <v>0</v>
      </c>
      <c r="K159" s="312">
        <f>I159+J159</f>
        <v>49.748430879716956</v>
      </c>
      <c r="L159" s="494"/>
    </row>
    <row r="160" spans="2:13" ht="16.5" thickBot="1">
      <c r="B160" s="170">
        <v>89</v>
      </c>
      <c r="C160" s="208" t="s">
        <v>106</v>
      </c>
      <c r="D160" s="313">
        <f>SUM(D151:D159)</f>
        <v>1386.7190585641627</v>
      </c>
      <c r="E160" s="402">
        <f>SUM(E151:E159)</f>
        <v>1466.4190585641627</v>
      </c>
      <c r="F160" s="314">
        <f>G160-E160</f>
        <v>0</v>
      </c>
      <c r="G160" s="315">
        <f>SUM(G151:G159)</f>
        <v>1466.4190585641627</v>
      </c>
      <c r="H160" s="313">
        <f>SUM(H151:H159)</f>
        <v>1415.3680802350289</v>
      </c>
      <c r="I160" s="402">
        <f>SUM(I151:I159)</f>
        <v>1481.8080802350289</v>
      </c>
      <c r="J160" s="314">
        <f>K160-I160</f>
        <v>0</v>
      </c>
      <c r="K160" s="315">
        <f>SUM(K151:K159)</f>
        <v>1481.8080802350289</v>
      </c>
      <c r="L160" s="358"/>
    </row>
    <row r="161" spans="2:12">
      <c r="B161" s="69"/>
      <c r="C161" s="209"/>
      <c r="D161" s="559"/>
      <c r="E161" s="24"/>
      <c r="F161" s="24"/>
      <c r="G161" s="212"/>
      <c r="H161" s="559"/>
      <c r="I161" s="24"/>
      <c r="J161" s="24"/>
      <c r="K161" s="210"/>
      <c r="L161" s="164"/>
    </row>
    <row r="162" spans="2:12" ht="16.5" thickBot="1">
      <c r="B162" s="69"/>
      <c r="C162" s="208" t="s">
        <v>107</v>
      </c>
      <c r="D162" s="559"/>
      <c r="E162" s="24"/>
      <c r="F162" s="24"/>
      <c r="G162" s="212"/>
      <c r="H162" s="559"/>
      <c r="I162" s="24"/>
      <c r="J162" s="24"/>
      <c r="K162" s="210"/>
      <c r="L162" s="164"/>
    </row>
    <row r="163" spans="2:12">
      <c r="B163" s="170">
        <v>90</v>
      </c>
      <c r="C163" s="209" t="s">
        <v>108</v>
      </c>
      <c r="D163" s="427">
        <v>419.00489579058075</v>
      </c>
      <c r="E163" s="377">
        <v>419.00489579058075</v>
      </c>
      <c r="F163" s="444">
        <v>0</v>
      </c>
      <c r="G163" s="300">
        <f t="shared" ref="G163:G168" si="28">E163+F163</f>
        <v>419.00489579058075</v>
      </c>
      <c r="H163" s="427">
        <v>467.04733320203496</v>
      </c>
      <c r="I163" s="377">
        <v>467.04733320203496</v>
      </c>
      <c r="J163" s="444">
        <v>0</v>
      </c>
      <c r="K163" s="301">
        <f t="shared" ref="K163:K168" si="29">I163+J163</f>
        <v>467.04733320203496</v>
      </c>
      <c r="L163" s="494"/>
    </row>
    <row r="164" spans="2:12">
      <c r="B164" s="170">
        <v>91</v>
      </c>
      <c r="C164" s="209" t="s">
        <v>109</v>
      </c>
      <c r="D164" s="430">
        <v>148.8420818585692</v>
      </c>
      <c r="E164" s="400">
        <v>148.8420818585692</v>
      </c>
      <c r="F164" s="445">
        <v>0</v>
      </c>
      <c r="G164" s="309">
        <f t="shared" si="28"/>
        <v>148.8420818585692</v>
      </c>
      <c r="H164" s="430">
        <v>197.57021728728165</v>
      </c>
      <c r="I164" s="400">
        <v>197.57021728728165</v>
      </c>
      <c r="J164" s="445">
        <v>0</v>
      </c>
      <c r="K164" s="307">
        <f t="shared" si="29"/>
        <v>197.57021728728165</v>
      </c>
      <c r="L164" s="494"/>
    </row>
    <row r="165" spans="2:12">
      <c r="B165" s="170">
        <v>92</v>
      </c>
      <c r="C165" s="209" t="s">
        <v>110</v>
      </c>
      <c r="D165" s="430">
        <v>170.07701378756204</v>
      </c>
      <c r="E165" s="400">
        <v>170.07701378756204</v>
      </c>
      <c r="F165" s="445">
        <v>0</v>
      </c>
      <c r="G165" s="309">
        <f t="shared" si="28"/>
        <v>170.07701378756204</v>
      </c>
      <c r="H165" s="430">
        <v>172.76994507096285</v>
      </c>
      <c r="I165" s="400">
        <v>172.76994507096285</v>
      </c>
      <c r="J165" s="445">
        <v>0</v>
      </c>
      <c r="K165" s="307">
        <f t="shared" si="29"/>
        <v>172.76994507096285</v>
      </c>
      <c r="L165" s="494"/>
    </row>
    <row r="166" spans="2:12">
      <c r="B166" s="170">
        <v>93</v>
      </c>
      <c r="C166" s="209" t="s">
        <v>111</v>
      </c>
      <c r="D166" s="430">
        <v>238</v>
      </c>
      <c r="E166" s="400">
        <v>355.3</v>
      </c>
      <c r="F166" s="445">
        <v>0</v>
      </c>
      <c r="G166" s="309">
        <f t="shared" si="28"/>
        <v>355.3</v>
      </c>
      <c r="H166" s="430">
        <v>340.2</v>
      </c>
      <c r="I166" s="400">
        <v>401.76</v>
      </c>
      <c r="J166" s="445">
        <v>0</v>
      </c>
      <c r="K166" s="307">
        <f t="shared" si="29"/>
        <v>401.76</v>
      </c>
      <c r="L166" s="494"/>
    </row>
    <row r="167" spans="2:12">
      <c r="B167" s="170">
        <v>94</v>
      </c>
      <c r="C167" s="209" t="s">
        <v>112</v>
      </c>
      <c r="D167" s="430">
        <v>99.7</v>
      </c>
      <c r="E167" s="400">
        <v>89.3</v>
      </c>
      <c r="F167" s="445">
        <v>0</v>
      </c>
      <c r="G167" s="309">
        <f t="shared" si="28"/>
        <v>89.3</v>
      </c>
      <c r="H167" s="430">
        <v>106.5</v>
      </c>
      <c r="I167" s="400">
        <v>95.76</v>
      </c>
      <c r="J167" s="445">
        <v>0</v>
      </c>
      <c r="K167" s="307">
        <f t="shared" si="29"/>
        <v>95.76</v>
      </c>
      <c r="L167" s="494"/>
    </row>
    <row r="168" spans="2:12">
      <c r="B168" s="170">
        <v>95</v>
      </c>
      <c r="C168" s="209" t="s">
        <v>103</v>
      </c>
      <c r="D168" s="553">
        <v>0.5</v>
      </c>
      <c r="E168" s="403">
        <v>0.5</v>
      </c>
      <c r="F168" s="449">
        <v>0</v>
      </c>
      <c r="G168" s="316">
        <f t="shared" si="28"/>
        <v>0.5</v>
      </c>
      <c r="H168" s="553">
        <v>0.5</v>
      </c>
      <c r="I168" s="403">
        <v>0.5</v>
      </c>
      <c r="J168" s="449">
        <v>0</v>
      </c>
      <c r="K168" s="312">
        <f t="shared" si="29"/>
        <v>0.5</v>
      </c>
      <c r="L168" s="494"/>
    </row>
    <row r="169" spans="2:12" ht="16.5" thickBot="1">
      <c r="B169" s="185">
        <v>96</v>
      </c>
      <c r="C169" s="211" t="s">
        <v>113</v>
      </c>
      <c r="D169" s="313">
        <f>SUM(D163:D168)</f>
        <v>1076.123991436712</v>
      </c>
      <c r="E169" s="402">
        <f>SUM(E163:E168)</f>
        <v>1183.0239914367119</v>
      </c>
      <c r="F169" s="314">
        <f>G169-E169</f>
        <v>0</v>
      </c>
      <c r="G169" s="315">
        <f>SUM(G163:G168)</f>
        <v>1183.0239914367119</v>
      </c>
      <c r="H169" s="313">
        <f>SUM(H163:H168)</f>
        <v>1284.5874955602794</v>
      </c>
      <c r="I169" s="402">
        <f>SUM(I163:I168)</f>
        <v>1335.4074955602794</v>
      </c>
      <c r="J169" s="314">
        <f>K169-I169</f>
        <v>0</v>
      </c>
      <c r="K169" s="315">
        <f>SUM(K163:K168)</f>
        <v>1335.4074955602794</v>
      </c>
      <c r="L169" s="358"/>
    </row>
    <row r="170" spans="2:12" ht="15.75" thickBot="1">
      <c r="B170" s="191"/>
      <c r="C170" s="203"/>
      <c r="D170" s="203"/>
      <c r="E170" s="191"/>
      <c r="F170" s="203"/>
      <c r="G170" s="191"/>
      <c r="H170" s="191"/>
      <c r="L170" s="495"/>
    </row>
    <row r="171" spans="2:12" ht="16.5" thickBot="1">
      <c r="B171" s="162"/>
      <c r="C171" s="85"/>
      <c r="D171" s="634" t="s">
        <v>235</v>
      </c>
      <c r="E171" s="635"/>
      <c r="F171" s="635"/>
      <c r="G171" s="635"/>
      <c r="H171" s="635"/>
      <c r="I171" s="635"/>
      <c r="J171" s="635"/>
      <c r="K171" s="636"/>
      <c r="L171" s="492"/>
    </row>
    <row r="172" spans="2:12" ht="16.5" thickBot="1">
      <c r="B172" s="94"/>
      <c r="C172" s="92"/>
      <c r="D172" s="634" t="s">
        <v>191</v>
      </c>
      <c r="E172" s="635"/>
      <c r="F172" s="635"/>
      <c r="G172" s="636"/>
      <c r="H172" s="635" t="s">
        <v>187</v>
      </c>
      <c r="I172" s="635"/>
      <c r="J172" s="635"/>
      <c r="K172" s="636"/>
      <c r="L172" s="492"/>
    </row>
    <row r="173" spans="2:12" ht="15.75">
      <c r="B173" s="87" t="s">
        <v>2</v>
      </c>
      <c r="C173" s="93"/>
      <c r="D173" s="88" t="s">
        <v>238</v>
      </c>
      <c r="E173" s="491" t="s">
        <v>238</v>
      </c>
      <c r="F173" s="507" t="s">
        <v>21</v>
      </c>
      <c r="G173" s="176" t="s">
        <v>21</v>
      </c>
      <c r="H173" s="92" t="s">
        <v>238</v>
      </c>
      <c r="I173" s="491" t="s">
        <v>238</v>
      </c>
      <c r="J173" s="507" t="s">
        <v>21</v>
      </c>
      <c r="K173" s="176" t="s">
        <v>21</v>
      </c>
      <c r="L173" s="219"/>
    </row>
    <row r="174" spans="2:12" ht="16.5" thickBot="1">
      <c r="B174" s="54" t="s">
        <v>3</v>
      </c>
      <c r="C174" s="53" t="s">
        <v>1</v>
      </c>
      <c r="D174" s="506" t="s">
        <v>239</v>
      </c>
      <c r="E174" s="526">
        <v>41437</v>
      </c>
      <c r="F174" s="498" t="s">
        <v>15</v>
      </c>
      <c r="G174" s="11" t="s">
        <v>12</v>
      </c>
      <c r="H174" s="544" t="s">
        <v>239</v>
      </c>
      <c r="I174" s="526">
        <v>41437</v>
      </c>
      <c r="J174" s="498" t="s">
        <v>15</v>
      </c>
      <c r="K174" s="11" t="s">
        <v>12</v>
      </c>
      <c r="L174" s="219"/>
    </row>
    <row r="175" spans="2:12" ht="15.75">
      <c r="B175" s="237"/>
      <c r="C175" s="466"/>
      <c r="D175" s="508" t="s">
        <v>4</v>
      </c>
      <c r="E175" s="509" t="s">
        <v>5</v>
      </c>
      <c r="F175" s="509" t="s">
        <v>6</v>
      </c>
      <c r="G175" s="510" t="s">
        <v>7</v>
      </c>
      <c r="H175" s="528" t="s">
        <v>8</v>
      </c>
      <c r="I175" s="509" t="s">
        <v>9</v>
      </c>
      <c r="J175" s="509" t="s">
        <v>11</v>
      </c>
      <c r="K175" s="510" t="s">
        <v>13</v>
      </c>
      <c r="L175" s="26"/>
    </row>
    <row r="176" spans="2:12" ht="16.5" thickBot="1">
      <c r="B176" s="138" t="s">
        <v>159</v>
      </c>
      <c r="C176" s="208"/>
      <c r="D176" s="539"/>
      <c r="E176" s="24"/>
      <c r="F176" s="24"/>
      <c r="G176" s="212"/>
      <c r="H176" s="163"/>
      <c r="I176" s="24"/>
      <c r="J176" s="24"/>
      <c r="K176" s="210"/>
      <c r="L176" s="164"/>
    </row>
    <row r="177" spans="2:12">
      <c r="B177" s="170">
        <v>97</v>
      </c>
      <c r="C177" s="85" t="s">
        <v>58</v>
      </c>
      <c r="D177" s="289">
        <v>114.38507812682717</v>
      </c>
      <c r="E177" s="545">
        <v>114.38507812682717</v>
      </c>
      <c r="F177" s="455">
        <v>0</v>
      </c>
      <c r="G177" s="290">
        <f>E177+F177</f>
        <v>114.38507812682717</v>
      </c>
      <c r="H177" s="560">
        <v>24</v>
      </c>
      <c r="I177" s="276">
        <v>24</v>
      </c>
      <c r="J177" s="458">
        <v>0</v>
      </c>
      <c r="K177" s="277">
        <f>I177+J177</f>
        <v>24</v>
      </c>
      <c r="L177" s="496"/>
    </row>
    <row r="178" spans="2:12">
      <c r="B178" s="170">
        <v>98</v>
      </c>
      <c r="C178" s="85" t="s">
        <v>117</v>
      </c>
      <c r="D178" s="291">
        <v>-2.3899999999999997</v>
      </c>
      <c r="E178" s="541">
        <v>-2.3899999999999997</v>
      </c>
      <c r="F178" s="456">
        <v>0</v>
      </c>
      <c r="G178" s="292">
        <f>E178+F178</f>
        <v>-2.3899999999999997</v>
      </c>
      <c r="H178" s="561">
        <v>12</v>
      </c>
      <c r="I178" s="278">
        <v>12</v>
      </c>
      <c r="J178" s="459">
        <v>0</v>
      </c>
      <c r="K178" s="279">
        <f>I178+J178</f>
        <v>12</v>
      </c>
      <c r="L178" s="496"/>
    </row>
    <row r="179" spans="2:12">
      <c r="B179" s="170">
        <v>99</v>
      </c>
      <c r="C179" s="85" t="s">
        <v>57</v>
      </c>
      <c r="D179" s="293">
        <v>8.076448000000001</v>
      </c>
      <c r="E179" s="546">
        <v>8.076448000000001</v>
      </c>
      <c r="F179" s="457">
        <v>0</v>
      </c>
      <c r="G179" s="294">
        <f>E179+F179</f>
        <v>8.076448000000001</v>
      </c>
      <c r="H179" s="562">
        <v>12</v>
      </c>
      <c r="I179" s="280">
        <v>12</v>
      </c>
      <c r="J179" s="460">
        <v>0</v>
      </c>
      <c r="K179" s="281">
        <f>I179+J179</f>
        <v>12</v>
      </c>
      <c r="L179" s="496"/>
    </row>
    <row r="180" spans="2:12" ht="16.5" thickBot="1">
      <c r="B180" s="170">
        <v>100</v>
      </c>
      <c r="C180" s="17" t="s">
        <v>0</v>
      </c>
      <c r="D180" s="295">
        <f>SUM(D177:D179)</f>
        <v>120.07152612682717</v>
      </c>
      <c r="E180" s="543">
        <f>SUM(E177:E179)</f>
        <v>120.07152612682717</v>
      </c>
      <c r="F180" s="296">
        <f>G180-E180</f>
        <v>0</v>
      </c>
      <c r="G180" s="297">
        <f>SUM(G177:G179)</f>
        <v>120.07152612682717</v>
      </c>
      <c r="H180" s="227" t="s">
        <v>17</v>
      </c>
      <c r="I180" s="173" t="s">
        <v>17</v>
      </c>
      <c r="J180" s="173" t="s">
        <v>17</v>
      </c>
      <c r="K180" s="215" t="s">
        <v>17</v>
      </c>
      <c r="L180" s="168"/>
    </row>
    <row r="181" spans="2:12" ht="15.75">
      <c r="B181" s="170"/>
      <c r="C181" s="17"/>
      <c r="D181" s="554"/>
      <c r="E181" s="115"/>
      <c r="F181" s="115"/>
      <c r="G181" s="298"/>
      <c r="H181" s="133"/>
      <c r="I181" s="112"/>
      <c r="J181" s="112"/>
      <c r="K181" s="128"/>
      <c r="L181" s="112"/>
    </row>
    <row r="182" spans="2:12" ht="16.5" thickBot="1">
      <c r="B182" s="138" t="s">
        <v>160</v>
      </c>
      <c r="C182" s="208"/>
      <c r="D182" s="554"/>
      <c r="E182" s="115"/>
      <c r="F182" s="115"/>
      <c r="G182" s="298"/>
      <c r="H182" s="133"/>
      <c r="I182" s="112"/>
      <c r="J182" s="112"/>
      <c r="K182" s="128"/>
      <c r="L182" s="112"/>
    </row>
    <row r="183" spans="2:12">
      <c r="B183" s="170">
        <v>101</v>
      </c>
      <c r="C183" s="85" t="s">
        <v>154</v>
      </c>
      <c r="D183" s="289">
        <v>3.6692019007492793</v>
      </c>
      <c r="E183" s="545">
        <v>3.6692019007492793</v>
      </c>
      <c r="F183" s="455">
        <v>0</v>
      </c>
      <c r="G183" s="290">
        <f>E183+F183</f>
        <v>3.6692019007492793</v>
      </c>
      <c r="H183" s="560">
        <v>12</v>
      </c>
      <c r="I183" s="276">
        <v>12</v>
      </c>
      <c r="J183" s="458">
        <v>0</v>
      </c>
      <c r="K183" s="277">
        <f>I183+J183</f>
        <v>12</v>
      </c>
      <c r="L183" s="496"/>
    </row>
    <row r="184" spans="2:12">
      <c r="B184" s="170">
        <v>102</v>
      </c>
      <c r="C184" s="85" t="s">
        <v>120</v>
      </c>
      <c r="D184" s="293">
        <v>69.40056199</v>
      </c>
      <c r="E184" s="546">
        <v>69.40056199</v>
      </c>
      <c r="F184" s="457">
        <v>0</v>
      </c>
      <c r="G184" s="294">
        <f>E184+F184</f>
        <v>69.40056199</v>
      </c>
      <c r="H184" s="562">
        <v>12</v>
      </c>
      <c r="I184" s="280">
        <v>12</v>
      </c>
      <c r="J184" s="460">
        <v>0</v>
      </c>
      <c r="K184" s="281">
        <f>I184+J184</f>
        <v>12</v>
      </c>
      <c r="L184" s="496"/>
    </row>
    <row r="185" spans="2:12" ht="16.5" thickBot="1">
      <c r="B185" s="185">
        <v>103</v>
      </c>
      <c r="C185" s="108" t="s">
        <v>0</v>
      </c>
      <c r="D185" s="295">
        <f>SUM(D183:D184)</f>
        <v>73.069763890749286</v>
      </c>
      <c r="E185" s="543">
        <f>SUM(E183:E184)</f>
        <v>73.069763890749286</v>
      </c>
      <c r="F185" s="296">
        <f>G185-E185</f>
        <v>0</v>
      </c>
      <c r="G185" s="297">
        <f>SUM(G183:G184)</f>
        <v>73.069763890749286</v>
      </c>
      <c r="H185" s="227" t="s">
        <v>17</v>
      </c>
      <c r="I185" s="173" t="s">
        <v>17</v>
      </c>
      <c r="J185" s="173" t="s">
        <v>17</v>
      </c>
      <c r="K185" s="215" t="s">
        <v>17</v>
      </c>
      <c r="L185" s="168"/>
    </row>
    <row r="186" spans="2:12">
      <c r="B186" s="191"/>
      <c r="C186" s="203"/>
      <c r="D186" s="203"/>
      <c r="E186" s="244"/>
      <c r="F186" s="203"/>
      <c r="G186" s="244"/>
      <c r="H186" s="244"/>
      <c r="I186" s="467"/>
      <c r="J186" s="467"/>
      <c r="K186" s="467"/>
      <c r="L186" s="542"/>
    </row>
    <row r="187" spans="2:12">
      <c r="B187" s="191">
        <v>1</v>
      </c>
      <c r="C187" s="203" t="s">
        <v>193</v>
      </c>
      <c r="D187" s="203"/>
      <c r="E187" s="191"/>
      <c r="F187" s="203"/>
      <c r="G187" s="191"/>
      <c r="H187" s="191"/>
      <c r="I187" s="191"/>
      <c r="J187" s="203"/>
    </row>
    <row r="188" spans="2:12">
      <c r="B188" s="191"/>
      <c r="C188" s="203"/>
      <c r="D188" s="203"/>
      <c r="E188" s="191"/>
      <c r="F188" s="203"/>
      <c r="G188" s="191"/>
      <c r="H188" s="191"/>
    </row>
    <row r="189" spans="2:12" hidden="1">
      <c r="B189" s="191"/>
      <c r="C189" s="203"/>
      <c r="D189" s="203"/>
      <c r="E189" s="191"/>
      <c r="F189" s="203"/>
      <c r="G189" s="191"/>
      <c r="H189" s="191"/>
    </row>
    <row r="190" spans="2:12" hidden="1">
      <c r="B190" s="191"/>
      <c r="C190" s="203"/>
      <c r="D190" s="203"/>
      <c r="E190" s="191"/>
      <c r="F190" s="203"/>
      <c r="G190" s="191"/>
      <c r="H190" s="191"/>
    </row>
    <row r="191" spans="2:12" hidden="1">
      <c r="B191" s="191"/>
      <c r="C191" s="203"/>
      <c r="D191" s="203"/>
      <c r="E191" s="191"/>
      <c r="F191" s="203"/>
      <c r="G191" s="191"/>
      <c r="H191" s="191"/>
    </row>
    <row r="192" spans="2:12" hidden="1">
      <c r="B192" s="191"/>
      <c r="C192" s="203"/>
      <c r="D192" s="203"/>
      <c r="E192" s="191"/>
      <c r="F192" s="203"/>
      <c r="G192" s="191"/>
      <c r="H192" s="191"/>
    </row>
    <row r="193" spans="2:8" hidden="1">
      <c r="B193" s="191"/>
      <c r="C193" s="203"/>
      <c r="D193" s="203"/>
      <c r="E193" s="191"/>
      <c r="F193" s="203"/>
      <c r="G193" s="191"/>
      <c r="H193" s="191"/>
    </row>
    <row r="194" spans="2:8" hidden="1">
      <c r="B194" s="191"/>
      <c r="C194" s="203"/>
      <c r="D194" s="203"/>
      <c r="E194" s="191"/>
      <c r="F194" s="203"/>
      <c r="G194" s="191"/>
      <c r="H194" s="191"/>
    </row>
    <row r="195" spans="2:8" hidden="1">
      <c r="B195" s="191"/>
      <c r="C195" s="203"/>
      <c r="D195" s="203"/>
      <c r="E195" s="191"/>
      <c r="F195" s="203"/>
      <c r="G195" s="191"/>
      <c r="H195" s="191"/>
    </row>
    <row r="196" spans="2:8" hidden="1">
      <c r="B196" s="191"/>
      <c r="C196" s="203"/>
      <c r="D196" s="203"/>
      <c r="E196" s="191"/>
      <c r="F196" s="203"/>
      <c r="G196" s="191"/>
      <c r="H196" s="191"/>
    </row>
    <row r="197" spans="2:8" hidden="1">
      <c r="B197" s="191"/>
      <c r="C197" s="203"/>
      <c r="D197" s="203"/>
      <c r="E197" s="191"/>
      <c r="F197" s="203"/>
      <c r="G197" s="191"/>
      <c r="H197" s="191"/>
    </row>
    <row r="198" spans="2:8" hidden="1">
      <c r="B198" s="191"/>
      <c r="C198" s="203"/>
      <c r="D198" s="203"/>
      <c r="E198" s="191"/>
      <c r="F198" s="203"/>
      <c r="G198" s="191"/>
      <c r="H198" s="191"/>
    </row>
    <row r="199" spans="2:8" hidden="1">
      <c r="B199" s="191"/>
      <c r="C199" s="203"/>
      <c r="D199" s="203"/>
      <c r="E199" s="191"/>
      <c r="F199" s="203"/>
      <c r="G199" s="191"/>
      <c r="H199" s="191"/>
    </row>
    <row r="200" spans="2:8" hidden="1">
      <c r="B200" s="191"/>
      <c r="C200" s="203"/>
      <c r="D200" s="203"/>
      <c r="E200" s="191"/>
      <c r="F200" s="203"/>
      <c r="G200" s="191"/>
      <c r="H200" s="191"/>
    </row>
    <row r="201" spans="2:8" hidden="1">
      <c r="B201" s="191"/>
      <c r="C201" s="203"/>
      <c r="D201" s="203"/>
      <c r="E201" s="191"/>
      <c r="F201" s="203"/>
      <c r="G201" s="191"/>
      <c r="H201" s="191"/>
    </row>
    <row r="202" spans="2:8" hidden="1">
      <c r="B202" s="191"/>
      <c r="C202" s="203"/>
      <c r="D202" s="203"/>
      <c r="E202" s="191"/>
      <c r="F202" s="203"/>
      <c r="G202" s="191"/>
      <c r="H202" s="191"/>
    </row>
    <row r="203" spans="2:8" hidden="1">
      <c r="B203" s="191"/>
      <c r="C203" s="203"/>
      <c r="D203" s="203"/>
      <c r="E203" s="191"/>
      <c r="F203" s="203"/>
      <c r="G203" s="191"/>
      <c r="H203" s="191"/>
    </row>
    <row r="204" spans="2:8" hidden="1">
      <c r="B204" s="191"/>
      <c r="C204" s="203"/>
      <c r="D204" s="203"/>
      <c r="E204" s="191"/>
      <c r="F204" s="203"/>
      <c r="G204" s="191"/>
      <c r="H204" s="191"/>
    </row>
    <row r="205" spans="2:8" hidden="1">
      <c r="B205" s="191"/>
      <c r="C205" s="203"/>
      <c r="D205" s="203"/>
      <c r="E205" s="191"/>
      <c r="F205" s="203"/>
      <c r="G205" s="191"/>
      <c r="H205" s="191"/>
    </row>
    <row r="206" spans="2:8" hidden="1">
      <c r="B206" s="191"/>
      <c r="C206" s="203"/>
      <c r="D206" s="203"/>
      <c r="E206" s="191"/>
      <c r="F206" s="203"/>
      <c r="G206" s="191"/>
      <c r="H206" s="191"/>
    </row>
    <row r="207" spans="2:8" hidden="1">
      <c r="B207" s="191"/>
      <c r="C207" s="203"/>
      <c r="D207" s="203"/>
      <c r="E207" s="191"/>
      <c r="F207" s="203"/>
      <c r="G207" s="191"/>
      <c r="H207" s="191"/>
    </row>
    <row r="208" spans="2:8" hidden="1">
      <c r="B208" s="191"/>
      <c r="C208" s="203"/>
      <c r="D208" s="203"/>
      <c r="E208" s="191"/>
      <c r="F208" s="203"/>
      <c r="G208" s="191"/>
      <c r="H208" s="191"/>
    </row>
    <row r="209" spans="2:8" hidden="1">
      <c r="B209" s="191"/>
      <c r="C209" s="203"/>
      <c r="D209" s="203"/>
      <c r="E209" s="191"/>
      <c r="F209" s="203"/>
      <c r="G209" s="191"/>
      <c r="H209" s="191"/>
    </row>
    <row r="210" spans="2:8" hidden="1">
      <c r="B210" s="191"/>
      <c r="C210" s="203"/>
      <c r="D210" s="203"/>
      <c r="E210" s="191"/>
      <c r="F210" s="203"/>
      <c r="G210" s="191"/>
      <c r="H210" s="191"/>
    </row>
    <row r="211" spans="2:8" hidden="1">
      <c r="B211" s="191"/>
      <c r="C211" s="203"/>
      <c r="D211" s="203"/>
      <c r="E211" s="191"/>
      <c r="F211" s="203"/>
      <c r="G211" s="191"/>
      <c r="H211" s="191"/>
    </row>
    <row r="212" spans="2:8" hidden="1">
      <c r="B212" s="191"/>
      <c r="C212" s="203"/>
      <c r="D212" s="203"/>
      <c r="E212" s="191"/>
      <c r="F212" s="203"/>
      <c r="G212" s="191"/>
      <c r="H212" s="191"/>
    </row>
    <row r="213" spans="2:8" hidden="1">
      <c r="B213" s="191"/>
      <c r="C213" s="203"/>
      <c r="D213" s="203"/>
      <c r="E213" s="191"/>
      <c r="F213" s="203"/>
      <c r="G213" s="191"/>
      <c r="H213" s="191"/>
    </row>
    <row r="214" spans="2:8" hidden="1">
      <c r="B214" s="191"/>
      <c r="C214" s="203"/>
      <c r="D214" s="203"/>
      <c r="E214" s="191"/>
      <c r="F214" s="203"/>
      <c r="G214" s="191"/>
      <c r="H214" s="191"/>
    </row>
    <row r="215" spans="2:8" hidden="1">
      <c r="B215" s="191"/>
      <c r="C215" s="203"/>
      <c r="D215" s="203"/>
      <c r="E215" s="191"/>
      <c r="F215" s="203"/>
      <c r="G215" s="191"/>
      <c r="H215" s="191"/>
    </row>
    <row r="216" spans="2:8" hidden="1">
      <c r="B216" s="191"/>
      <c r="C216" s="203"/>
      <c r="D216" s="203"/>
      <c r="E216" s="191"/>
      <c r="F216" s="203"/>
      <c r="G216" s="191"/>
      <c r="H216" s="191"/>
    </row>
    <row r="217" spans="2:8" hidden="1">
      <c r="B217" s="191"/>
      <c r="C217" s="203"/>
      <c r="D217" s="203"/>
      <c r="E217" s="191"/>
      <c r="F217" s="203"/>
      <c r="G217" s="191"/>
      <c r="H217" s="191"/>
    </row>
    <row r="218" spans="2:8" hidden="1">
      <c r="B218" s="191"/>
      <c r="C218" s="203"/>
      <c r="D218" s="203"/>
      <c r="E218" s="191"/>
      <c r="F218" s="203"/>
      <c r="G218" s="191"/>
      <c r="H218" s="191"/>
    </row>
    <row r="219" spans="2:8" hidden="1">
      <c r="B219" s="191"/>
      <c r="C219" s="203"/>
      <c r="D219" s="203"/>
      <c r="E219" s="191"/>
      <c r="F219" s="203"/>
      <c r="G219" s="191"/>
      <c r="H219" s="191"/>
    </row>
    <row r="220" spans="2:8" hidden="1">
      <c r="B220" s="191"/>
      <c r="C220" s="203"/>
      <c r="D220" s="203"/>
      <c r="E220" s="191"/>
      <c r="F220" s="203"/>
      <c r="G220" s="191"/>
      <c r="H220" s="191"/>
    </row>
    <row r="221" spans="2:8" hidden="1">
      <c r="B221" s="191"/>
      <c r="C221" s="203"/>
      <c r="D221" s="203"/>
      <c r="E221" s="191"/>
      <c r="F221" s="203"/>
      <c r="G221" s="191"/>
      <c r="H221" s="191"/>
    </row>
    <row r="222" spans="2:8" hidden="1">
      <c r="B222" s="191"/>
      <c r="C222" s="203"/>
      <c r="D222" s="203"/>
      <c r="E222" s="191"/>
      <c r="F222" s="203"/>
      <c r="G222" s="191"/>
      <c r="H222" s="191"/>
    </row>
    <row r="223" spans="2:8" hidden="1">
      <c r="B223" s="191"/>
      <c r="C223" s="203"/>
      <c r="D223" s="203"/>
      <c r="E223" s="191"/>
      <c r="F223" s="203"/>
      <c r="G223" s="191"/>
      <c r="H223" s="191"/>
    </row>
    <row r="224" spans="2:8" hidden="1">
      <c r="B224" s="191"/>
      <c r="C224" s="203"/>
      <c r="D224" s="203"/>
      <c r="E224" s="191"/>
      <c r="F224" s="203"/>
      <c r="G224" s="191"/>
      <c r="H224" s="191"/>
    </row>
    <row r="225" spans="2:8" hidden="1">
      <c r="B225" s="191"/>
      <c r="C225" s="203"/>
      <c r="D225" s="203"/>
      <c r="E225" s="191"/>
      <c r="F225" s="203"/>
      <c r="G225" s="191"/>
      <c r="H225" s="191"/>
    </row>
    <row r="226" spans="2:8" hidden="1">
      <c r="B226" s="191"/>
      <c r="C226" s="203"/>
      <c r="D226" s="203"/>
      <c r="E226" s="191"/>
      <c r="F226" s="203"/>
      <c r="G226" s="191"/>
      <c r="H226" s="191"/>
    </row>
    <row r="227" spans="2:8" hidden="1">
      <c r="B227" s="191"/>
      <c r="C227" s="203"/>
      <c r="D227" s="203"/>
      <c r="E227" s="191"/>
      <c r="F227" s="203"/>
      <c r="G227" s="191"/>
      <c r="H227" s="191"/>
    </row>
    <row r="228" spans="2:8" hidden="1">
      <c r="B228" s="191"/>
      <c r="C228" s="203"/>
      <c r="D228" s="203"/>
      <c r="E228" s="191"/>
      <c r="F228" s="203"/>
      <c r="G228" s="191"/>
      <c r="H228" s="191"/>
    </row>
    <row r="229" spans="2:8" hidden="1">
      <c r="B229" s="191"/>
      <c r="C229" s="203"/>
      <c r="D229" s="203"/>
      <c r="E229" s="191"/>
      <c r="F229" s="203"/>
      <c r="G229" s="191"/>
      <c r="H229" s="191"/>
    </row>
    <row r="230" spans="2:8" hidden="1">
      <c r="B230" s="191"/>
      <c r="C230" s="203"/>
      <c r="D230" s="203"/>
      <c r="E230" s="191"/>
      <c r="F230" s="203"/>
      <c r="G230" s="191"/>
      <c r="H230" s="191"/>
    </row>
    <row r="231" spans="2:8" hidden="1">
      <c r="B231" s="191"/>
      <c r="C231" s="203"/>
      <c r="D231" s="203"/>
      <c r="E231" s="191"/>
      <c r="F231" s="203"/>
      <c r="G231" s="191"/>
      <c r="H231" s="191"/>
    </row>
    <row r="232" spans="2:8" hidden="1">
      <c r="B232" s="191"/>
      <c r="C232" s="203"/>
      <c r="D232" s="203"/>
      <c r="E232" s="191"/>
      <c r="F232" s="203"/>
      <c r="G232" s="191"/>
      <c r="H232" s="191"/>
    </row>
    <row r="233" spans="2:8" hidden="1">
      <c r="B233" s="191"/>
      <c r="C233" s="203"/>
      <c r="D233" s="203"/>
      <c r="E233" s="191"/>
      <c r="F233" s="203"/>
      <c r="G233" s="191"/>
      <c r="H233" s="191"/>
    </row>
    <row r="234" spans="2:8" hidden="1">
      <c r="B234" s="191"/>
      <c r="C234" s="203"/>
      <c r="D234" s="203"/>
      <c r="E234" s="191"/>
      <c r="F234" s="203"/>
      <c r="G234" s="191"/>
      <c r="H234" s="191"/>
    </row>
    <row r="235" spans="2:8" hidden="1">
      <c r="B235" s="191"/>
      <c r="C235" s="203"/>
      <c r="D235" s="203"/>
      <c r="E235" s="191"/>
      <c r="F235" s="203"/>
      <c r="G235" s="191"/>
      <c r="H235" s="191"/>
    </row>
    <row r="236" spans="2:8" hidden="1">
      <c r="B236" s="191"/>
      <c r="C236" s="203"/>
      <c r="D236" s="203"/>
      <c r="E236" s="191"/>
      <c r="F236" s="203"/>
      <c r="G236" s="191"/>
      <c r="H236" s="191"/>
    </row>
    <row r="237" spans="2:8" hidden="1">
      <c r="B237" s="191"/>
      <c r="C237" s="203"/>
      <c r="D237" s="203"/>
      <c r="E237" s="191"/>
      <c r="F237" s="203"/>
      <c r="G237" s="191"/>
      <c r="H237" s="191"/>
    </row>
    <row r="238" spans="2:8" hidden="1">
      <c r="B238" s="191"/>
      <c r="C238" s="203"/>
      <c r="D238" s="203"/>
      <c r="E238" s="191"/>
      <c r="F238" s="203"/>
      <c r="G238" s="191"/>
      <c r="H238" s="191"/>
    </row>
    <row r="239" spans="2:8" hidden="1">
      <c r="B239" s="191"/>
      <c r="C239" s="203"/>
      <c r="D239" s="203"/>
      <c r="E239" s="191"/>
      <c r="F239" s="203"/>
      <c r="G239" s="191"/>
      <c r="H239" s="191"/>
    </row>
    <row r="240" spans="2:8" hidden="1">
      <c r="B240" s="191"/>
      <c r="C240" s="203"/>
      <c r="D240" s="203"/>
      <c r="E240" s="191"/>
      <c r="F240" s="203"/>
      <c r="G240" s="191"/>
      <c r="H240" s="191"/>
    </row>
    <row r="241" spans="2:8" hidden="1">
      <c r="B241" s="191"/>
      <c r="C241" s="203"/>
      <c r="D241" s="203"/>
      <c r="E241" s="191"/>
      <c r="F241" s="203"/>
      <c r="G241" s="191"/>
      <c r="H241" s="191"/>
    </row>
    <row r="242" spans="2:8" hidden="1">
      <c r="B242" s="191"/>
      <c r="C242" s="203"/>
      <c r="D242" s="203"/>
      <c r="E242" s="191"/>
      <c r="F242" s="203"/>
      <c r="G242" s="191"/>
      <c r="H242" s="191"/>
    </row>
    <row r="243" spans="2:8" hidden="1">
      <c r="B243" s="191"/>
      <c r="C243" s="203"/>
      <c r="D243" s="203"/>
      <c r="E243" s="191"/>
      <c r="F243" s="203"/>
      <c r="G243" s="191"/>
      <c r="H243" s="191"/>
    </row>
    <row r="244" spans="2:8" hidden="1">
      <c r="B244" s="191"/>
      <c r="C244" s="203"/>
      <c r="D244" s="203"/>
      <c r="E244" s="191"/>
      <c r="F244" s="203"/>
      <c r="G244" s="191"/>
      <c r="H244" s="191"/>
    </row>
    <row r="245" spans="2:8" hidden="1">
      <c r="B245" s="191"/>
      <c r="C245" s="203"/>
      <c r="D245" s="203"/>
      <c r="E245" s="191"/>
      <c r="F245" s="203"/>
      <c r="G245" s="191"/>
      <c r="H245" s="191"/>
    </row>
    <row r="246" spans="2:8" hidden="1">
      <c r="B246" s="191"/>
      <c r="C246" s="203"/>
      <c r="D246" s="203"/>
      <c r="E246" s="191"/>
      <c r="F246" s="203"/>
      <c r="G246" s="191"/>
      <c r="H246" s="191"/>
    </row>
    <row r="247" spans="2:8" hidden="1">
      <c r="B247" s="191"/>
      <c r="C247" s="203"/>
      <c r="D247" s="203"/>
      <c r="E247" s="191"/>
      <c r="F247" s="203"/>
      <c r="G247" s="191"/>
      <c r="H247" s="191"/>
    </row>
    <row r="248" spans="2:8" hidden="1">
      <c r="B248" s="191"/>
      <c r="C248" s="203"/>
      <c r="D248" s="203"/>
      <c r="E248" s="191"/>
      <c r="F248" s="203"/>
      <c r="G248" s="191"/>
      <c r="H248" s="191"/>
    </row>
    <row r="249" spans="2:8" hidden="1">
      <c r="B249" s="191"/>
      <c r="C249" s="203"/>
      <c r="D249" s="203"/>
      <c r="E249" s="191"/>
      <c r="F249" s="203"/>
      <c r="G249" s="191"/>
      <c r="H249" s="191"/>
    </row>
    <row r="250" spans="2:8" hidden="1">
      <c r="B250" s="191"/>
      <c r="C250" s="203"/>
      <c r="D250" s="203"/>
      <c r="E250" s="191"/>
      <c r="F250" s="203"/>
      <c r="G250" s="191"/>
      <c r="H250" s="191"/>
    </row>
    <row r="251" spans="2:8" hidden="1">
      <c r="B251" s="191"/>
      <c r="C251" s="203"/>
      <c r="D251" s="203"/>
      <c r="E251" s="191"/>
      <c r="F251" s="203"/>
      <c r="G251" s="191"/>
      <c r="H251" s="191"/>
    </row>
    <row r="252" spans="2:8" hidden="1">
      <c r="B252" s="191"/>
      <c r="C252" s="203"/>
      <c r="D252" s="203"/>
      <c r="E252" s="191"/>
      <c r="F252" s="203"/>
      <c r="G252" s="191"/>
      <c r="H252" s="191"/>
    </row>
    <row r="253" spans="2:8" hidden="1">
      <c r="B253" s="191"/>
      <c r="C253" s="203"/>
      <c r="D253" s="203"/>
      <c r="E253" s="191"/>
      <c r="F253" s="203"/>
      <c r="G253" s="191"/>
      <c r="H253" s="191"/>
    </row>
    <row r="254" spans="2:8" hidden="1">
      <c r="B254" s="191"/>
      <c r="C254" s="203"/>
      <c r="D254" s="203"/>
      <c r="E254" s="191"/>
      <c r="F254" s="203"/>
      <c r="G254" s="191"/>
      <c r="H254" s="191"/>
    </row>
    <row r="255" spans="2:8" hidden="1">
      <c r="B255" s="191"/>
      <c r="C255" s="203"/>
      <c r="D255" s="203"/>
      <c r="E255" s="191"/>
      <c r="F255" s="203"/>
      <c r="G255" s="191"/>
      <c r="H255" s="191"/>
    </row>
    <row r="256" spans="2:8" hidden="1">
      <c r="B256" s="191"/>
      <c r="C256" s="203"/>
      <c r="D256" s="203"/>
      <c r="E256" s="191"/>
      <c r="F256" s="203"/>
      <c r="G256" s="191"/>
      <c r="H256" s="191"/>
    </row>
    <row r="257" spans="2:8" hidden="1">
      <c r="B257" s="191"/>
      <c r="C257" s="203"/>
      <c r="D257" s="203"/>
      <c r="E257" s="191"/>
      <c r="F257" s="203"/>
      <c r="G257" s="191"/>
      <c r="H257" s="191"/>
    </row>
    <row r="258" spans="2:8" hidden="1">
      <c r="B258" s="191"/>
      <c r="C258" s="203"/>
      <c r="D258" s="203"/>
      <c r="E258" s="191"/>
      <c r="F258" s="203"/>
      <c r="G258" s="191"/>
      <c r="H258" s="191"/>
    </row>
    <row r="259" spans="2:8" hidden="1">
      <c r="B259" s="191"/>
      <c r="C259" s="203"/>
      <c r="D259" s="203"/>
      <c r="E259" s="191"/>
      <c r="F259" s="203"/>
      <c r="G259" s="191"/>
      <c r="H259" s="191"/>
    </row>
    <row r="260" spans="2:8" hidden="1">
      <c r="B260" s="191"/>
      <c r="C260" s="203"/>
      <c r="D260" s="203"/>
      <c r="E260" s="191"/>
      <c r="F260" s="203"/>
      <c r="G260" s="191"/>
      <c r="H260" s="191"/>
    </row>
    <row r="261" spans="2:8" hidden="1">
      <c r="B261" s="191"/>
      <c r="C261" s="203"/>
      <c r="D261" s="203"/>
      <c r="E261" s="191"/>
      <c r="F261" s="203"/>
      <c r="G261" s="191"/>
      <c r="H261" s="191"/>
    </row>
    <row r="262" spans="2:8" hidden="1">
      <c r="B262" s="191"/>
      <c r="C262" s="203"/>
      <c r="D262" s="203"/>
      <c r="E262" s="191"/>
      <c r="F262" s="203"/>
      <c r="G262" s="191"/>
      <c r="H262" s="191"/>
    </row>
    <row r="263" spans="2:8" hidden="1">
      <c r="B263" s="191"/>
      <c r="C263" s="203"/>
      <c r="D263" s="203"/>
      <c r="E263" s="191"/>
      <c r="F263" s="203"/>
      <c r="G263" s="191"/>
      <c r="H263" s="191"/>
    </row>
    <row r="264" spans="2:8" hidden="1">
      <c r="B264" s="191"/>
      <c r="C264" s="203"/>
      <c r="D264" s="203"/>
      <c r="E264" s="191"/>
      <c r="F264" s="203"/>
      <c r="G264" s="191"/>
      <c r="H264" s="191"/>
    </row>
    <row r="265" spans="2:8" hidden="1">
      <c r="B265" s="191"/>
      <c r="C265" s="203"/>
      <c r="D265" s="203"/>
      <c r="E265" s="191"/>
      <c r="F265" s="203"/>
      <c r="G265" s="191"/>
      <c r="H265" s="191"/>
    </row>
    <row r="266" spans="2:8" hidden="1">
      <c r="B266" s="191"/>
      <c r="C266" s="203"/>
      <c r="D266" s="203"/>
      <c r="E266" s="191"/>
      <c r="F266" s="203"/>
      <c r="G266" s="191"/>
      <c r="H266" s="191"/>
    </row>
    <row r="267" spans="2:8" hidden="1">
      <c r="B267" s="191"/>
      <c r="C267" s="203"/>
      <c r="D267" s="203"/>
      <c r="E267" s="191"/>
      <c r="F267" s="203"/>
      <c r="G267" s="191"/>
      <c r="H267" s="191"/>
    </row>
    <row r="268" spans="2:8" hidden="1">
      <c r="B268" s="191"/>
      <c r="C268" s="203"/>
      <c r="D268" s="203"/>
      <c r="E268" s="191"/>
      <c r="F268" s="203"/>
      <c r="G268" s="191"/>
      <c r="H268" s="191"/>
    </row>
    <row r="269" spans="2:8" hidden="1">
      <c r="B269" s="191"/>
      <c r="C269" s="203"/>
      <c r="D269" s="203"/>
      <c r="E269" s="191"/>
      <c r="F269" s="203"/>
      <c r="G269" s="191"/>
      <c r="H269" s="191"/>
    </row>
    <row r="270" spans="2:8" hidden="1">
      <c r="B270" s="191"/>
      <c r="C270" s="203"/>
      <c r="D270" s="203"/>
      <c r="E270" s="191"/>
      <c r="F270" s="203"/>
      <c r="G270" s="191"/>
      <c r="H270" s="191"/>
    </row>
    <row r="271" spans="2:8" hidden="1">
      <c r="B271" s="191"/>
      <c r="C271" s="203"/>
      <c r="D271" s="203"/>
      <c r="E271" s="191"/>
      <c r="F271" s="203"/>
      <c r="G271" s="191"/>
      <c r="H271" s="191"/>
    </row>
    <row r="272" spans="2:8" hidden="1">
      <c r="B272" s="191"/>
      <c r="C272" s="203"/>
      <c r="D272" s="203"/>
      <c r="E272" s="191"/>
      <c r="F272" s="203"/>
      <c r="G272" s="191"/>
      <c r="H272" s="191"/>
    </row>
    <row r="273" spans="2:8" hidden="1">
      <c r="B273" s="191"/>
      <c r="C273" s="203"/>
      <c r="D273" s="203"/>
      <c r="E273" s="191"/>
      <c r="F273" s="203"/>
      <c r="G273" s="191"/>
      <c r="H273" s="191"/>
    </row>
    <row r="274" spans="2:8" hidden="1">
      <c r="B274" s="191"/>
      <c r="C274" s="203"/>
      <c r="D274" s="203"/>
      <c r="E274" s="191"/>
      <c r="F274" s="203"/>
      <c r="G274" s="191"/>
      <c r="H274" s="191"/>
    </row>
    <row r="275" spans="2:8" hidden="1">
      <c r="B275" s="191"/>
      <c r="C275" s="203"/>
      <c r="D275" s="203"/>
      <c r="E275" s="191"/>
      <c r="F275" s="203"/>
      <c r="G275" s="191"/>
      <c r="H275" s="191"/>
    </row>
    <row r="276" spans="2:8" hidden="1">
      <c r="B276" s="191"/>
      <c r="C276" s="203"/>
      <c r="D276" s="203"/>
      <c r="E276" s="191"/>
      <c r="F276" s="203"/>
      <c r="G276" s="191"/>
      <c r="H276" s="191"/>
    </row>
    <row r="277" spans="2:8" hidden="1">
      <c r="B277" s="191"/>
      <c r="C277" s="203"/>
      <c r="D277" s="203"/>
      <c r="E277" s="191"/>
      <c r="F277" s="203"/>
      <c r="G277" s="191"/>
      <c r="H277" s="191"/>
    </row>
    <row r="278" spans="2:8" hidden="1">
      <c r="B278" s="191"/>
      <c r="C278" s="203"/>
      <c r="D278" s="203"/>
      <c r="E278" s="191"/>
      <c r="F278" s="203"/>
      <c r="G278" s="191"/>
      <c r="H278" s="191"/>
    </row>
    <row r="279" spans="2:8" hidden="1">
      <c r="B279" s="191"/>
      <c r="C279" s="203"/>
      <c r="D279" s="203"/>
      <c r="E279" s="191"/>
      <c r="F279" s="203"/>
      <c r="G279" s="191"/>
      <c r="H279" s="191"/>
    </row>
    <row r="280" spans="2:8" hidden="1">
      <c r="B280" s="191"/>
      <c r="C280" s="203"/>
      <c r="D280" s="203"/>
      <c r="E280" s="191"/>
      <c r="F280" s="203"/>
      <c r="G280" s="191"/>
      <c r="H280" s="191"/>
    </row>
    <row r="281" spans="2:8" hidden="1">
      <c r="B281" s="191"/>
      <c r="C281" s="203"/>
      <c r="D281" s="203"/>
      <c r="E281" s="191"/>
      <c r="F281" s="203"/>
      <c r="G281" s="191"/>
      <c r="H281" s="191"/>
    </row>
    <row r="282" spans="2:8" hidden="1">
      <c r="B282" s="191"/>
      <c r="C282" s="203"/>
      <c r="D282" s="203"/>
      <c r="E282" s="191"/>
      <c r="F282" s="203"/>
      <c r="G282" s="191"/>
      <c r="H282" s="191"/>
    </row>
    <row r="283" spans="2:8" hidden="1">
      <c r="B283" s="191"/>
      <c r="C283" s="203"/>
      <c r="D283" s="203"/>
      <c r="E283" s="191"/>
      <c r="F283" s="203"/>
      <c r="G283" s="191"/>
      <c r="H283" s="191"/>
    </row>
    <row r="284" spans="2:8" hidden="1">
      <c r="B284" s="191"/>
      <c r="C284" s="203"/>
      <c r="D284" s="203"/>
      <c r="E284" s="191"/>
      <c r="F284" s="203"/>
      <c r="G284" s="191"/>
      <c r="H284" s="191"/>
    </row>
    <row r="285" spans="2:8" hidden="1">
      <c r="B285" s="191"/>
      <c r="C285" s="203"/>
      <c r="D285" s="203"/>
      <c r="E285" s="191"/>
      <c r="F285" s="203"/>
      <c r="G285" s="191"/>
      <c r="H285" s="191"/>
    </row>
    <row r="286" spans="2:8" hidden="1">
      <c r="B286" s="191"/>
      <c r="C286" s="203"/>
      <c r="D286" s="203"/>
      <c r="E286" s="191"/>
      <c r="F286" s="203"/>
      <c r="G286" s="191"/>
      <c r="H286" s="191"/>
    </row>
    <row r="287" spans="2:8" hidden="1">
      <c r="B287" s="191"/>
      <c r="C287" s="203"/>
      <c r="D287" s="203"/>
      <c r="E287" s="191"/>
      <c r="F287" s="203"/>
      <c r="G287" s="191"/>
      <c r="H287" s="191"/>
    </row>
    <row r="288" spans="2:8" hidden="1">
      <c r="B288" s="191"/>
      <c r="C288" s="203"/>
      <c r="D288" s="203"/>
      <c r="E288" s="191"/>
      <c r="F288" s="203"/>
      <c r="G288" s="191"/>
      <c r="H288" s="191"/>
    </row>
    <row r="289" spans="2:8" hidden="1">
      <c r="B289" s="191"/>
      <c r="C289" s="203"/>
      <c r="D289" s="203"/>
      <c r="E289" s="191"/>
      <c r="F289" s="203"/>
      <c r="G289" s="191"/>
      <c r="H289" s="191"/>
    </row>
    <row r="290" spans="2:8" hidden="1">
      <c r="B290" s="191"/>
      <c r="C290" s="203"/>
      <c r="D290" s="203"/>
      <c r="E290" s="191"/>
      <c r="F290" s="203"/>
      <c r="G290" s="191"/>
      <c r="H290" s="191"/>
    </row>
    <row r="291" spans="2:8" hidden="1">
      <c r="B291" s="191"/>
      <c r="C291" s="203"/>
      <c r="D291" s="203"/>
      <c r="E291" s="191"/>
      <c r="F291" s="203"/>
      <c r="G291" s="191"/>
      <c r="H291" s="191"/>
    </row>
    <row r="292" spans="2:8" hidden="1">
      <c r="B292" s="191"/>
      <c r="C292" s="203"/>
      <c r="D292" s="203"/>
      <c r="E292" s="191"/>
      <c r="F292" s="203"/>
      <c r="G292" s="191"/>
      <c r="H292" s="191"/>
    </row>
    <row r="293" spans="2:8" hidden="1">
      <c r="B293" s="191"/>
      <c r="C293" s="203"/>
      <c r="D293" s="203"/>
      <c r="E293" s="191"/>
      <c r="F293" s="203"/>
      <c r="G293" s="191"/>
      <c r="H293" s="191"/>
    </row>
    <row r="294" spans="2:8" hidden="1">
      <c r="B294" s="191"/>
      <c r="C294" s="203"/>
      <c r="D294" s="203"/>
      <c r="E294" s="191"/>
      <c r="F294" s="203"/>
      <c r="G294" s="191"/>
      <c r="H294" s="191"/>
    </row>
    <row r="295" spans="2:8" hidden="1">
      <c r="B295" s="191"/>
      <c r="C295" s="203"/>
      <c r="D295" s="203"/>
      <c r="E295" s="191"/>
      <c r="F295" s="203"/>
      <c r="G295" s="191"/>
      <c r="H295" s="191"/>
    </row>
    <row r="296" spans="2:8" hidden="1">
      <c r="B296" s="191"/>
      <c r="C296" s="203"/>
      <c r="D296" s="203"/>
      <c r="E296" s="191"/>
      <c r="F296" s="203"/>
      <c r="G296" s="191"/>
      <c r="H296" s="191"/>
    </row>
    <row r="297" spans="2:8" hidden="1">
      <c r="B297" s="191"/>
      <c r="C297" s="203"/>
      <c r="D297" s="203"/>
      <c r="E297" s="191"/>
      <c r="F297" s="203"/>
      <c r="G297" s="191"/>
      <c r="H297" s="191"/>
    </row>
    <row r="298" spans="2:8" hidden="1">
      <c r="B298" s="191"/>
      <c r="C298" s="203"/>
      <c r="D298" s="203"/>
      <c r="E298" s="191"/>
      <c r="F298" s="203"/>
      <c r="G298" s="191"/>
      <c r="H298" s="191"/>
    </row>
    <row r="299" spans="2:8" hidden="1">
      <c r="B299" s="191"/>
      <c r="C299" s="203"/>
      <c r="D299" s="203"/>
      <c r="E299" s="191"/>
      <c r="F299" s="203"/>
      <c r="G299" s="191"/>
      <c r="H299" s="191"/>
    </row>
    <row r="300" spans="2:8" hidden="1">
      <c r="B300" s="191"/>
      <c r="C300" s="203"/>
      <c r="D300" s="203"/>
      <c r="E300" s="191"/>
      <c r="F300" s="203"/>
      <c r="G300" s="191"/>
      <c r="H300" s="191"/>
    </row>
    <row r="301" spans="2:8" hidden="1">
      <c r="B301" s="191"/>
      <c r="C301" s="203"/>
      <c r="D301" s="203"/>
      <c r="E301" s="191"/>
      <c r="F301" s="203"/>
      <c r="G301" s="191"/>
      <c r="H301" s="191"/>
    </row>
    <row r="302" spans="2:8" hidden="1">
      <c r="B302" s="191"/>
      <c r="C302" s="203"/>
      <c r="D302" s="203"/>
      <c r="E302" s="191"/>
      <c r="F302" s="203"/>
      <c r="G302" s="191"/>
      <c r="H302" s="191"/>
    </row>
    <row r="303" spans="2:8" hidden="1">
      <c r="B303" s="191"/>
      <c r="C303" s="203"/>
      <c r="D303" s="203"/>
      <c r="E303" s="191"/>
      <c r="F303" s="203"/>
      <c r="G303" s="191"/>
      <c r="H303" s="191"/>
    </row>
    <row r="304" spans="2:8" hidden="1">
      <c r="B304" s="191"/>
      <c r="C304" s="203"/>
      <c r="D304" s="203"/>
      <c r="E304" s="191"/>
      <c r="F304" s="203"/>
      <c r="G304" s="191"/>
      <c r="H304" s="191"/>
    </row>
    <row r="305" spans="2:8" hidden="1">
      <c r="B305" s="191"/>
      <c r="C305" s="203"/>
      <c r="D305" s="203"/>
      <c r="E305" s="191"/>
      <c r="F305" s="203"/>
      <c r="G305" s="191"/>
      <c r="H305" s="191"/>
    </row>
    <row r="306" spans="2:8" hidden="1">
      <c r="B306" s="191"/>
      <c r="C306" s="203"/>
      <c r="D306" s="203"/>
      <c r="E306" s="191"/>
      <c r="F306" s="203"/>
      <c r="G306" s="191"/>
      <c r="H306" s="191"/>
    </row>
    <row r="307" spans="2:8" hidden="1">
      <c r="B307" s="191"/>
      <c r="C307" s="203"/>
      <c r="D307" s="203"/>
      <c r="E307" s="191"/>
      <c r="F307" s="203"/>
      <c r="G307" s="191"/>
      <c r="H307" s="191"/>
    </row>
    <row r="308" spans="2:8" hidden="1">
      <c r="B308" s="191"/>
      <c r="C308" s="203"/>
      <c r="D308" s="203"/>
      <c r="E308" s="191"/>
      <c r="F308" s="203"/>
      <c r="G308" s="191"/>
      <c r="H308" s="191"/>
    </row>
    <row r="309" spans="2:8" hidden="1">
      <c r="B309" s="191"/>
      <c r="C309" s="203"/>
      <c r="D309" s="203"/>
      <c r="E309" s="191"/>
      <c r="F309" s="203"/>
      <c r="G309" s="191"/>
      <c r="H309" s="191"/>
    </row>
    <row r="310" spans="2:8" hidden="1">
      <c r="B310" s="191"/>
      <c r="C310" s="203"/>
      <c r="D310" s="203"/>
      <c r="E310" s="191"/>
      <c r="F310" s="203"/>
      <c r="G310" s="191"/>
      <c r="H310" s="191"/>
    </row>
    <row r="311" spans="2:8" hidden="1">
      <c r="B311" s="191"/>
      <c r="C311" s="203"/>
      <c r="D311" s="203"/>
      <c r="E311" s="191"/>
      <c r="F311" s="203"/>
      <c r="G311" s="191"/>
      <c r="H311" s="191"/>
    </row>
    <row r="312" spans="2:8" hidden="1">
      <c r="B312" s="191"/>
      <c r="C312" s="203"/>
      <c r="D312" s="203"/>
      <c r="E312" s="191"/>
      <c r="F312" s="203"/>
      <c r="G312" s="191"/>
      <c r="H312" s="191"/>
    </row>
    <row r="313" spans="2:8" hidden="1">
      <c r="B313" s="191"/>
      <c r="C313" s="203"/>
      <c r="D313" s="203"/>
      <c r="E313" s="191"/>
      <c r="F313" s="203"/>
      <c r="G313" s="191"/>
      <c r="H313" s="191"/>
    </row>
    <row r="314" spans="2:8" hidden="1">
      <c r="B314" s="191"/>
      <c r="C314" s="203"/>
      <c r="D314" s="203"/>
      <c r="E314" s="191"/>
      <c r="F314" s="203"/>
      <c r="G314" s="191"/>
      <c r="H314" s="191"/>
    </row>
    <row r="315" spans="2:8" hidden="1">
      <c r="B315" s="191"/>
      <c r="C315" s="203"/>
      <c r="D315" s="203"/>
      <c r="E315" s="191"/>
      <c r="F315" s="203"/>
      <c r="G315" s="191"/>
      <c r="H315" s="191"/>
    </row>
    <row r="316" spans="2:8" hidden="1">
      <c r="B316" s="191"/>
      <c r="C316" s="203"/>
      <c r="D316" s="203"/>
      <c r="E316" s="191"/>
      <c r="F316" s="203"/>
      <c r="G316" s="191"/>
      <c r="H316" s="191"/>
    </row>
    <row r="317" spans="2:8" hidden="1">
      <c r="B317" s="191"/>
      <c r="C317" s="203"/>
      <c r="D317" s="203"/>
      <c r="E317" s="191"/>
      <c r="F317" s="203"/>
      <c r="G317" s="191"/>
      <c r="H317" s="191"/>
    </row>
    <row r="318" spans="2:8" hidden="1">
      <c r="B318" s="191"/>
      <c r="C318" s="203"/>
      <c r="D318" s="203"/>
      <c r="E318" s="191"/>
      <c r="F318" s="203"/>
      <c r="G318" s="191"/>
      <c r="H318" s="191"/>
    </row>
    <row r="319" spans="2:8" hidden="1">
      <c r="B319" s="191"/>
      <c r="C319" s="203"/>
      <c r="D319" s="203"/>
      <c r="E319" s="191"/>
      <c r="F319" s="203"/>
      <c r="G319" s="191"/>
      <c r="H319" s="191"/>
    </row>
    <row r="320" spans="2:8" hidden="1">
      <c r="B320" s="191"/>
      <c r="C320" s="203"/>
      <c r="D320" s="203"/>
      <c r="E320" s="191"/>
      <c r="F320" s="203"/>
      <c r="G320" s="191"/>
      <c r="H320" s="191"/>
    </row>
    <row r="321" spans="2:8" hidden="1">
      <c r="B321" s="191"/>
      <c r="C321" s="203"/>
      <c r="D321" s="203"/>
      <c r="E321" s="191"/>
      <c r="F321" s="203"/>
      <c r="G321" s="191"/>
      <c r="H321" s="191"/>
    </row>
    <row r="322" spans="2:8" hidden="1">
      <c r="B322" s="191"/>
      <c r="C322" s="203"/>
      <c r="D322" s="203"/>
      <c r="E322" s="191"/>
      <c r="F322" s="203"/>
      <c r="G322" s="191"/>
      <c r="H322" s="191"/>
    </row>
    <row r="323" spans="2:8" hidden="1">
      <c r="B323" s="191"/>
      <c r="C323" s="203"/>
      <c r="D323" s="203"/>
      <c r="E323" s="191"/>
      <c r="F323" s="203"/>
      <c r="G323" s="191"/>
      <c r="H323" s="191"/>
    </row>
    <row r="324" spans="2:8" hidden="1">
      <c r="B324" s="191"/>
      <c r="C324" s="203"/>
      <c r="D324" s="203"/>
      <c r="E324" s="191"/>
      <c r="F324" s="203"/>
      <c r="G324" s="191"/>
      <c r="H324" s="191"/>
    </row>
    <row r="325" spans="2:8" hidden="1">
      <c r="B325" s="191"/>
      <c r="C325" s="203"/>
      <c r="D325" s="203"/>
      <c r="E325" s="191"/>
      <c r="F325" s="203"/>
      <c r="G325" s="191"/>
      <c r="H325" s="191"/>
    </row>
    <row r="326" spans="2:8" hidden="1">
      <c r="B326" s="191"/>
      <c r="C326" s="203"/>
      <c r="D326" s="203"/>
      <c r="E326" s="191"/>
      <c r="F326" s="203"/>
      <c r="G326" s="191"/>
      <c r="H326" s="191"/>
    </row>
    <row r="327" spans="2:8" hidden="1">
      <c r="B327" s="191"/>
      <c r="C327" s="203"/>
      <c r="D327" s="203"/>
      <c r="E327" s="191"/>
      <c r="F327" s="203"/>
      <c r="G327" s="191"/>
      <c r="H327" s="191"/>
    </row>
    <row r="328" spans="2:8" hidden="1">
      <c r="B328" s="191"/>
      <c r="C328" s="203"/>
      <c r="D328" s="203"/>
      <c r="E328" s="191"/>
      <c r="F328" s="203"/>
      <c r="G328" s="191"/>
      <c r="H328" s="191"/>
    </row>
    <row r="329" spans="2:8" hidden="1">
      <c r="B329" s="191"/>
      <c r="C329" s="203"/>
      <c r="D329" s="203"/>
      <c r="E329" s="191"/>
      <c r="F329" s="203"/>
      <c r="G329" s="191"/>
      <c r="H329" s="191"/>
    </row>
    <row r="330" spans="2:8" hidden="1">
      <c r="B330" s="191"/>
      <c r="C330" s="203"/>
      <c r="D330" s="203"/>
      <c r="E330" s="191"/>
      <c r="F330" s="203"/>
      <c r="G330" s="191"/>
      <c r="H330" s="191"/>
    </row>
    <row r="331" spans="2:8" hidden="1">
      <c r="B331" s="191"/>
      <c r="C331" s="203"/>
      <c r="D331" s="203"/>
      <c r="E331" s="191"/>
      <c r="F331" s="203"/>
      <c r="G331" s="191"/>
      <c r="H331" s="191"/>
    </row>
    <row r="332" spans="2:8" hidden="1">
      <c r="B332" s="191"/>
      <c r="C332" s="203"/>
      <c r="D332" s="203"/>
      <c r="E332" s="191"/>
      <c r="F332" s="203"/>
      <c r="G332" s="191"/>
      <c r="H332" s="191"/>
    </row>
    <row r="333" spans="2:8" hidden="1">
      <c r="B333" s="191"/>
      <c r="C333" s="203"/>
      <c r="D333" s="203"/>
      <c r="E333" s="191"/>
      <c r="F333" s="203"/>
      <c r="G333" s="191"/>
      <c r="H333" s="191"/>
    </row>
    <row r="334" spans="2:8" hidden="1">
      <c r="B334" s="191"/>
      <c r="C334" s="203"/>
      <c r="D334" s="203"/>
      <c r="E334" s="191"/>
      <c r="F334" s="203"/>
      <c r="G334" s="191"/>
      <c r="H334" s="191"/>
    </row>
    <row r="335" spans="2:8" hidden="1">
      <c r="B335" s="191"/>
      <c r="C335" s="203"/>
      <c r="D335" s="203"/>
      <c r="E335" s="191"/>
      <c r="F335" s="203"/>
      <c r="G335" s="191"/>
      <c r="H335" s="191"/>
    </row>
    <row r="336" spans="2:8" hidden="1">
      <c r="B336" s="191"/>
      <c r="C336" s="203"/>
      <c r="D336" s="203"/>
      <c r="E336" s="191"/>
      <c r="F336" s="203"/>
      <c r="G336" s="191"/>
      <c r="H336" s="191"/>
    </row>
    <row r="337" spans="2:8" hidden="1">
      <c r="B337" s="191"/>
      <c r="C337" s="203"/>
      <c r="D337" s="203"/>
      <c r="E337" s="191"/>
      <c r="F337" s="203"/>
      <c r="G337" s="191"/>
      <c r="H337" s="191"/>
    </row>
    <row r="338" spans="2:8" hidden="1">
      <c r="B338" s="191"/>
      <c r="C338" s="203"/>
      <c r="D338" s="203"/>
      <c r="E338" s="191"/>
      <c r="F338" s="203"/>
      <c r="G338" s="191"/>
      <c r="H338" s="191"/>
    </row>
    <row r="339" spans="2:8" hidden="1">
      <c r="B339" s="191"/>
      <c r="C339" s="203"/>
      <c r="D339" s="203"/>
      <c r="E339" s="191"/>
      <c r="F339" s="203"/>
      <c r="G339" s="191"/>
      <c r="H339" s="191"/>
    </row>
    <row r="340" spans="2:8" hidden="1">
      <c r="B340" s="191"/>
      <c r="C340" s="203"/>
      <c r="D340" s="203"/>
      <c r="E340" s="191"/>
      <c r="F340" s="203"/>
      <c r="G340" s="191"/>
      <c r="H340" s="191"/>
    </row>
    <row r="341" spans="2:8" hidden="1">
      <c r="B341" s="191"/>
      <c r="C341" s="203"/>
      <c r="D341" s="203"/>
      <c r="E341" s="191"/>
      <c r="F341" s="203"/>
      <c r="G341" s="191"/>
      <c r="H341" s="191"/>
    </row>
    <row r="342" spans="2:8" hidden="1">
      <c r="B342" s="191"/>
      <c r="C342" s="203"/>
      <c r="D342" s="203"/>
      <c r="E342" s="191"/>
      <c r="F342" s="203"/>
      <c r="G342" s="191"/>
      <c r="H342" s="191"/>
    </row>
    <row r="343" spans="2:8" hidden="1">
      <c r="B343" s="191"/>
      <c r="C343" s="203"/>
      <c r="D343" s="203"/>
      <c r="E343" s="191"/>
      <c r="F343" s="203"/>
      <c r="G343" s="191"/>
      <c r="H343" s="191"/>
    </row>
    <row r="344" spans="2:8" hidden="1">
      <c r="B344" s="191"/>
      <c r="C344" s="203"/>
      <c r="D344" s="203"/>
      <c r="E344" s="191"/>
      <c r="F344" s="203"/>
      <c r="G344" s="191"/>
      <c r="H344" s="191"/>
    </row>
    <row r="345" spans="2:8" hidden="1">
      <c r="B345" s="191"/>
      <c r="C345" s="203"/>
      <c r="D345" s="203"/>
      <c r="E345" s="191"/>
      <c r="F345" s="203"/>
      <c r="G345" s="191"/>
      <c r="H345" s="191"/>
    </row>
    <row r="346" spans="2:8" hidden="1">
      <c r="B346" s="191"/>
      <c r="C346" s="203"/>
      <c r="D346" s="203"/>
      <c r="E346" s="191"/>
      <c r="F346" s="203"/>
      <c r="G346" s="191"/>
      <c r="H346" s="191"/>
    </row>
    <row r="347" spans="2:8" hidden="1">
      <c r="B347" s="191"/>
      <c r="C347" s="203"/>
      <c r="D347" s="203"/>
      <c r="E347" s="191"/>
      <c r="F347" s="203"/>
      <c r="G347" s="191"/>
      <c r="H347" s="191"/>
    </row>
    <row r="348" spans="2:8" hidden="1">
      <c r="B348" s="191"/>
      <c r="C348" s="203"/>
      <c r="D348" s="203"/>
      <c r="E348" s="191"/>
      <c r="F348" s="203"/>
      <c r="G348" s="191"/>
      <c r="H348" s="191"/>
    </row>
    <row r="349" spans="2:8" hidden="1">
      <c r="B349" s="191"/>
      <c r="C349" s="203"/>
      <c r="D349" s="203"/>
      <c r="E349" s="191"/>
      <c r="F349" s="203"/>
      <c r="G349" s="191"/>
      <c r="H349" s="191"/>
    </row>
    <row r="350" spans="2:8" hidden="1">
      <c r="B350" s="191"/>
      <c r="C350" s="203"/>
      <c r="D350" s="203"/>
      <c r="E350" s="191"/>
      <c r="F350" s="203"/>
      <c r="G350" s="191"/>
      <c r="H350" s="191"/>
    </row>
    <row r="351" spans="2:8" hidden="1">
      <c r="B351" s="191"/>
      <c r="C351" s="203"/>
      <c r="D351" s="203"/>
      <c r="E351" s="191"/>
      <c r="F351" s="203"/>
      <c r="G351" s="191"/>
      <c r="H351" s="191"/>
    </row>
    <row r="352" spans="2:8" hidden="1">
      <c r="B352" s="191"/>
      <c r="C352" s="203"/>
      <c r="D352" s="203"/>
      <c r="E352" s="191"/>
      <c r="F352" s="203"/>
      <c r="G352" s="191"/>
      <c r="H352" s="191"/>
    </row>
    <row r="353" spans="2:8" hidden="1">
      <c r="B353" s="191"/>
      <c r="C353" s="203"/>
      <c r="D353" s="203"/>
      <c r="E353" s="191"/>
      <c r="F353" s="203"/>
      <c r="G353" s="191"/>
      <c r="H353" s="191"/>
    </row>
    <row r="354" spans="2:8" hidden="1">
      <c r="B354" s="191"/>
      <c r="C354" s="203"/>
      <c r="D354" s="203"/>
      <c r="E354" s="191"/>
      <c r="F354" s="203"/>
      <c r="G354" s="191"/>
      <c r="H354" s="191"/>
    </row>
    <row r="355" spans="2:8" hidden="1">
      <c r="B355" s="191"/>
      <c r="C355" s="203"/>
      <c r="D355" s="203"/>
      <c r="E355" s="191"/>
      <c r="F355" s="203"/>
      <c r="G355" s="191"/>
      <c r="H355" s="191"/>
    </row>
    <row r="356" spans="2:8" hidden="1">
      <c r="B356" s="191"/>
      <c r="C356" s="203"/>
      <c r="D356" s="203"/>
      <c r="E356" s="191"/>
      <c r="F356" s="203"/>
      <c r="G356" s="191"/>
      <c r="H356" s="191"/>
    </row>
    <row r="357" spans="2:8" hidden="1">
      <c r="B357" s="191"/>
      <c r="C357" s="203"/>
      <c r="D357" s="203"/>
      <c r="E357" s="191"/>
      <c r="F357" s="203"/>
      <c r="G357" s="191"/>
      <c r="H357" s="191"/>
    </row>
    <row r="358" spans="2:8" hidden="1">
      <c r="B358" s="191"/>
      <c r="C358" s="203"/>
      <c r="D358" s="203"/>
      <c r="E358" s="191"/>
      <c r="F358" s="203"/>
      <c r="G358" s="191"/>
      <c r="H358" s="191"/>
    </row>
    <row r="359" spans="2:8" hidden="1">
      <c r="B359" s="191"/>
      <c r="C359" s="203"/>
      <c r="D359" s="203"/>
      <c r="E359" s="191"/>
      <c r="F359" s="203"/>
      <c r="G359" s="191"/>
      <c r="H359" s="191"/>
    </row>
    <row r="360" spans="2:8" hidden="1">
      <c r="B360" s="191"/>
      <c r="C360" s="203"/>
      <c r="D360" s="203"/>
      <c r="E360" s="191"/>
      <c r="F360" s="203"/>
      <c r="G360" s="191"/>
      <c r="H360" s="191"/>
    </row>
    <row r="361" spans="2:8" hidden="1">
      <c r="B361" s="191"/>
      <c r="C361" s="203"/>
      <c r="D361" s="203"/>
      <c r="E361" s="191"/>
      <c r="F361" s="203"/>
      <c r="G361" s="191"/>
      <c r="H361" s="191"/>
    </row>
    <row r="362" spans="2:8" hidden="1">
      <c r="B362" s="191"/>
      <c r="C362" s="203"/>
      <c r="D362" s="203"/>
      <c r="E362" s="191"/>
      <c r="F362" s="203"/>
      <c r="G362" s="191"/>
      <c r="H362" s="191"/>
    </row>
    <row r="363" spans="2:8" hidden="1">
      <c r="B363" s="191"/>
      <c r="C363" s="203"/>
      <c r="D363" s="203"/>
      <c r="E363" s="191"/>
      <c r="F363" s="203"/>
      <c r="G363" s="191"/>
      <c r="H363" s="191"/>
    </row>
    <row r="364" spans="2:8" hidden="1">
      <c r="B364" s="191"/>
      <c r="C364" s="203"/>
      <c r="D364" s="203"/>
      <c r="E364" s="191"/>
      <c r="F364" s="203"/>
      <c r="G364" s="191"/>
      <c r="H364" s="191"/>
    </row>
    <row r="365" spans="2:8" hidden="1">
      <c r="B365" s="191"/>
      <c r="C365" s="203"/>
      <c r="D365" s="203"/>
      <c r="E365" s="191"/>
      <c r="F365" s="203"/>
      <c r="G365" s="191"/>
      <c r="H365" s="191"/>
    </row>
    <row r="366" spans="2:8" hidden="1">
      <c r="B366" s="191"/>
      <c r="C366" s="203"/>
      <c r="D366" s="203"/>
      <c r="E366" s="191"/>
      <c r="F366" s="203"/>
      <c r="G366" s="191"/>
      <c r="H366" s="191"/>
    </row>
    <row r="367" spans="2:8" hidden="1">
      <c r="B367" s="191"/>
      <c r="C367" s="203"/>
      <c r="D367" s="203"/>
      <c r="E367" s="191"/>
      <c r="F367" s="203"/>
      <c r="G367" s="191"/>
      <c r="H367" s="191"/>
    </row>
    <row r="368" spans="2:8" hidden="1">
      <c r="B368" s="191"/>
      <c r="C368" s="203"/>
      <c r="D368" s="203"/>
      <c r="E368" s="191"/>
      <c r="F368" s="203"/>
      <c r="G368" s="191"/>
      <c r="H368" s="191"/>
    </row>
    <row r="369" spans="2:8" hidden="1">
      <c r="B369" s="191"/>
      <c r="C369" s="203"/>
      <c r="D369" s="203"/>
      <c r="E369" s="191"/>
      <c r="F369" s="203"/>
      <c r="G369" s="191"/>
      <c r="H369" s="191"/>
    </row>
    <row r="370" spans="2:8" hidden="1">
      <c r="B370" s="191"/>
      <c r="C370" s="203"/>
      <c r="D370" s="203"/>
      <c r="E370" s="191"/>
      <c r="F370" s="203"/>
      <c r="G370" s="191"/>
      <c r="H370" s="191"/>
    </row>
    <row r="371" spans="2:8" hidden="1">
      <c r="B371" s="191"/>
      <c r="C371" s="203"/>
      <c r="D371" s="203"/>
      <c r="E371" s="191"/>
      <c r="F371" s="203"/>
      <c r="G371" s="191"/>
      <c r="H371" s="191"/>
    </row>
    <row r="372" spans="2:8" hidden="1">
      <c r="B372" s="191"/>
      <c r="C372" s="203"/>
      <c r="D372" s="203"/>
      <c r="E372" s="191"/>
      <c r="F372" s="203"/>
      <c r="G372" s="191"/>
      <c r="H372" s="191"/>
    </row>
    <row r="373" spans="2:8" hidden="1">
      <c r="B373" s="191"/>
      <c r="C373" s="203"/>
      <c r="D373" s="203"/>
      <c r="E373" s="191"/>
      <c r="F373" s="203"/>
      <c r="G373" s="191"/>
      <c r="H373" s="191"/>
    </row>
    <row r="374" spans="2:8" hidden="1">
      <c r="B374" s="191"/>
      <c r="C374" s="203"/>
      <c r="D374" s="203"/>
      <c r="E374" s="191"/>
      <c r="F374" s="203"/>
      <c r="G374" s="191"/>
      <c r="H374" s="191"/>
    </row>
    <row r="375" spans="2:8" hidden="1">
      <c r="B375" s="191"/>
      <c r="C375" s="203"/>
      <c r="D375" s="203"/>
      <c r="E375" s="191"/>
      <c r="F375" s="203"/>
      <c r="G375" s="191"/>
      <c r="H375" s="191"/>
    </row>
    <row r="376" spans="2:8" hidden="1">
      <c r="B376" s="191"/>
      <c r="C376" s="203"/>
      <c r="D376" s="203"/>
      <c r="E376" s="191"/>
      <c r="F376" s="203"/>
      <c r="G376" s="191"/>
      <c r="H376" s="191"/>
    </row>
    <row r="377" spans="2:8" hidden="1">
      <c r="B377" s="191"/>
      <c r="C377" s="203"/>
      <c r="D377" s="203"/>
      <c r="E377" s="191"/>
      <c r="F377" s="203"/>
      <c r="G377" s="191"/>
      <c r="H377" s="191"/>
    </row>
    <row r="378" spans="2:8" hidden="1">
      <c r="B378" s="191"/>
      <c r="C378" s="203"/>
      <c r="D378" s="203"/>
      <c r="E378" s="191"/>
      <c r="F378" s="203"/>
      <c r="G378" s="191"/>
      <c r="H378" s="191"/>
    </row>
    <row r="379" spans="2:8" hidden="1">
      <c r="B379" s="191"/>
      <c r="C379" s="203"/>
      <c r="D379" s="203"/>
      <c r="E379" s="191"/>
      <c r="F379" s="203"/>
      <c r="G379" s="191"/>
      <c r="H379" s="191"/>
    </row>
    <row r="380" spans="2:8" hidden="1">
      <c r="B380" s="191"/>
      <c r="C380" s="203"/>
      <c r="D380" s="203"/>
      <c r="E380" s="191"/>
      <c r="F380" s="203"/>
      <c r="G380" s="191"/>
      <c r="H380" s="191"/>
    </row>
    <row r="381" spans="2:8" hidden="1">
      <c r="B381" s="191"/>
      <c r="C381" s="203"/>
      <c r="D381" s="203"/>
      <c r="E381" s="191"/>
      <c r="F381" s="203"/>
      <c r="G381" s="191"/>
      <c r="H381" s="191"/>
    </row>
    <row r="382" spans="2:8" hidden="1">
      <c r="B382" s="191"/>
      <c r="C382" s="203"/>
      <c r="D382" s="203"/>
      <c r="E382" s="191"/>
      <c r="F382" s="203"/>
      <c r="G382" s="191"/>
      <c r="H382" s="191"/>
    </row>
    <row r="383" spans="2:8" hidden="1">
      <c r="B383" s="191"/>
      <c r="C383" s="203"/>
      <c r="D383" s="203"/>
      <c r="E383" s="191"/>
      <c r="F383" s="203"/>
      <c r="G383" s="191"/>
      <c r="H383" s="191"/>
    </row>
    <row r="384" spans="2:8" hidden="1">
      <c r="B384" s="191"/>
      <c r="C384" s="203"/>
      <c r="D384" s="203"/>
      <c r="E384" s="191"/>
      <c r="F384" s="203"/>
      <c r="G384" s="191"/>
      <c r="H384" s="191"/>
    </row>
    <row r="385" spans="2:8" hidden="1">
      <c r="B385" s="191"/>
      <c r="C385" s="203"/>
      <c r="D385" s="203"/>
      <c r="E385" s="191"/>
      <c r="F385" s="203"/>
      <c r="G385" s="191"/>
      <c r="H385" s="191"/>
    </row>
    <row r="386" spans="2:8" hidden="1">
      <c r="B386" s="191"/>
      <c r="C386" s="203"/>
      <c r="D386" s="203"/>
      <c r="E386" s="191"/>
      <c r="F386" s="203"/>
      <c r="G386" s="191"/>
      <c r="H386" s="191"/>
    </row>
    <row r="387" spans="2:8" hidden="1">
      <c r="B387" s="191"/>
      <c r="C387" s="203"/>
      <c r="D387" s="203"/>
      <c r="E387" s="191"/>
      <c r="F387" s="203"/>
      <c r="G387" s="191"/>
      <c r="H387" s="191"/>
    </row>
    <row r="388" spans="2:8" hidden="1">
      <c r="B388" s="191"/>
      <c r="C388" s="203"/>
      <c r="D388" s="203"/>
      <c r="E388" s="191"/>
      <c r="F388" s="203"/>
      <c r="G388" s="191"/>
      <c r="H388" s="191"/>
    </row>
    <row r="389" spans="2:8" hidden="1">
      <c r="B389" s="191"/>
      <c r="C389" s="203"/>
      <c r="D389" s="203"/>
      <c r="E389" s="191"/>
      <c r="F389" s="203"/>
      <c r="G389" s="191"/>
      <c r="H389" s="191"/>
    </row>
    <row r="390" spans="2:8" hidden="1">
      <c r="B390" s="191"/>
      <c r="C390" s="203"/>
      <c r="D390" s="203"/>
      <c r="E390" s="191"/>
      <c r="F390" s="203"/>
      <c r="G390" s="191"/>
      <c r="H390" s="191"/>
    </row>
    <row r="391" spans="2:8" hidden="1">
      <c r="B391" s="191"/>
      <c r="C391" s="203"/>
      <c r="D391" s="203"/>
      <c r="E391" s="191"/>
      <c r="F391" s="203"/>
      <c r="G391" s="191"/>
      <c r="H391" s="191"/>
    </row>
    <row r="392" spans="2:8" hidden="1">
      <c r="B392" s="191"/>
      <c r="C392" s="203"/>
      <c r="D392" s="203"/>
      <c r="E392" s="191"/>
      <c r="F392" s="203"/>
      <c r="G392" s="191"/>
      <c r="H392" s="191"/>
    </row>
    <row r="393" spans="2:8" hidden="1">
      <c r="B393" s="191"/>
      <c r="C393" s="203"/>
      <c r="D393" s="203"/>
      <c r="E393" s="191"/>
      <c r="F393" s="203"/>
      <c r="G393" s="191"/>
      <c r="H393" s="191"/>
    </row>
    <row r="394" spans="2:8" hidden="1">
      <c r="B394" s="191"/>
      <c r="C394" s="203"/>
      <c r="D394" s="203"/>
      <c r="E394" s="191"/>
      <c r="F394" s="203"/>
      <c r="G394" s="191"/>
      <c r="H394" s="191"/>
    </row>
    <row r="395" spans="2:8" hidden="1">
      <c r="B395" s="191"/>
      <c r="C395" s="203"/>
      <c r="D395" s="203"/>
      <c r="E395" s="191"/>
      <c r="F395" s="203"/>
      <c r="G395" s="191"/>
      <c r="H395" s="191"/>
    </row>
    <row r="396" spans="2:8" hidden="1">
      <c r="B396" s="191"/>
      <c r="C396" s="203"/>
      <c r="D396" s="203"/>
      <c r="E396" s="191"/>
      <c r="F396" s="203"/>
      <c r="G396" s="191"/>
      <c r="H396" s="191"/>
    </row>
    <row r="397" spans="2:8" hidden="1">
      <c r="B397" s="191"/>
      <c r="C397" s="203"/>
      <c r="D397" s="203"/>
      <c r="E397" s="191"/>
      <c r="F397" s="203"/>
      <c r="G397" s="191"/>
      <c r="H397" s="191"/>
    </row>
    <row r="398" spans="2:8" hidden="1">
      <c r="B398" s="191"/>
      <c r="C398" s="203"/>
      <c r="D398" s="203"/>
      <c r="E398" s="191"/>
      <c r="F398" s="203"/>
      <c r="G398" s="191"/>
      <c r="H398" s="191"/>
    </row>
    <row r="399" spans="2:8" hidden="1">
      <c r="B399" s="191"/>
      <c r="C399" s="203"/>
      <c r="D399" s="203"/>
      <c r="E399" s="191"/>
      <c r="F399" s="203"/>
      <c r="G399" s="191"/>
      <c r="H399" s="191"/>
    </row>
    <row r="400" spans="2:8" hidden="1">
      <c r="B400" s="191"/>
      <c r="C400" s="203"/>
      <c r="D400" s="203"/>
      <c r="E400" s="191"/>
      <c r="F400" s="203"/>
      <c r="G400" s="191"/>
      <c r="H400" s="191"/>
    </row>
    <row r="401" spans="2:8" hidden="1">
      <c r="B401" s="191"/>
      <c r="C401" s="203"/>
      <c r="D401" s="203"/>
      <c r="E401" s="191"/>
      <c r="F401" s="203"/>
      <c r="G401" s="191"/>
      <c r="H401" s="191"/>
    </row>
    <row r="402" spans="2:8" hidden="1">
      <c r="B402" s="191"/>
      <c r="C402" s="203"/>
      <c r="D402" s="203"/>
      <c r="E402" s="191"/>
      <c r="F402" s="203"/>
      <c r="G402" s="191"/>
      <c r="H402" s="191"/>
    </row>
    <row r="403" spans="2:8" hidden="1">
      <c r="B403" s="191"/>
      <c r="C403" s="203"/>
      <c r="D403" s="203"/>
      <c r="E403" s="191"/>
      <c r="F403" s="203"/>
      <c r="G403" s="191"/>
      <c r="H403" s="191"/>
    </row>
    <row r="404" spans="2:8" hidden="1">
      <c r="B404" s="191"/>
      <c r="C404" s="203"/>
      <c r="D404" s="203"/>
      <c r="E404" s="191"/>
      <c r="F404" s="203"/>
      <c r="G404" s="191"/>
      <c r="H404" s="191"/>
    </row>
    <row r="405" spans="2:8" hidden="1">
      <c r="B405" s="191"/>
      <c r="C405" s="203"/>
      <c r="D405" s="203"/>
      <c r="E405" s="191"/>
      <c r="F405" s="203"/>
      <c r="G405" s="191"/>
      <c r="H405" s="191"/>
    </row>
    <row r="406" spans="2:8" hidden="1">
      <c r="B406" s="191"/>
      <c r="C406" s="203"/>
      <c r="D406" s="203"/>
      <c r="E406" s="191"/>
      <c r="F406" s="203"/>
      <c r="G406" s="191"/>
      <c r="H406" s="191"/>
    </row>
    <row r="407" spans="2:8" hidden="1">
      <c r="B407" s="191"/>
      <c r="C407" s="203"/>
      <c r="D407" s="203"/>
      <c r="E407" s="191"/>
      <c r="F407" s="203"/>
      <c r="G407" s="191"/>
      <c r="H407" s="191"/>
    </row>
    <row r="408" spans="2:8" hidden="1">
      <c r="B408" s="191"/>
      <c r="C408" s="203"/>
      <c r="D408" s="203"/>
      <c r="E408" s="191"/>
      <c r="F408" s="203"/>
      <c r="G408" s="191"/>
      <c r="H408" s="191"/>
    </row>
    <row r="409" spans="2:8" hidden="1">
      <c r="B409" s="191"/>
      <c r="C409" s="203"/>
      <c r="D409" s="203"/>
      <c r="E409" s="191"/>
      <c r="F409" s="203"/>
      <c r="G409" s="191"/>
      <c r="H409" s="191"/>
    </row>
    <row r="410" spans="2:8" hidden="1">
      <c r="B410" s="191"/>
      <c r="C410" s="203"/>
      <c r="D410" s="203"/>
      <c r="E410" s="191"/>
      <c r="F410" s="203"/>
      <c r="G410" s="191"/>
      <c r="H410" s="191"/>
    </row>
    <row r="411" spans="2:8" hidden="1">
      <c r="B411" s="191"/>
      <c r="C411" s="203"/>
      <c r="D411" s="203"/>
      <c r="E411" s="191"/>
      <c r="F411" s="203"/>
      <c r="G411" s="191"/>
      <c r="H411" s="191"/>
    </row>
    <row r="412" spans="2:8" hidden="1">
      <c r="B412" s="191"/>
      <c r="C412" s="203"/>
      <c r="D412" s="203"/>
      <c r="E412" s="191"/>
      <c r="F412" s="203"/>
      <c r="G412" s="191"/>
      <c r="H412" s="191"/>
    </row>
    <row r="413" spans="2:8" hidden="1">
      <c r="B413" s="191"/>
      <c r="C413" s="203"/>
      <c r="D413" s="203"/>
      <c r="E413" s="191"/>
      <c r="F413" s="203"/>
      <c r="G413" s="191"/>
      <c r="H413" s="191"/>
    </row>
    <row r="414" spans="2:8" hidden="1">
      <c r="B414" s="191"/>
      <c r="C414" s="203"/>
      <c r="D414" s="203"/>
      <c r="E414" s="191"/>
      <c r="F414" s="203"/>
      <c r="G414" s="191"/>
      <c r="H414" s="191"/>
    </row>
    <row r="415" spans="2:8" hidden="1">
      <c r="B415" s="191"/>
      <c r="C415" s="203"/>
      <c r="D415" s="203"/>
      <c r="E415" s="191"/>
      <c r="F415" s="203"/>
      <c r="G415" s="191"/>
      <c r="H415" s="191"/>
    </row>
    <row r="416" spans="2:8" hidden="1">
      <c r="B416" s="191"/>
      <c r="C416" s="203"/>
      <c r="D416" s="203"/>
      <c r="E416" s="191"/>
      <c r="F416" s="203"/>
      <c r="G416" s="191"/>
      <c r="H416" s="191"/>
    </row>
    <row r="417" spans="2:8" hidden="1">
      <c r="B417" s="191"/>
      <c r="C417" s="203"/>
      <c r="D417" s="203"/>
      <c r="E417" s="191"/>
      <c r="F417" s="203"/>
      <c r="G417" s="191"/>
      <c r="H417" s="191"/>
    </row>
    <row r="418" spans="2:8" hidden="1">
      <c r="B418" s="191"/>
      <c r="C418" s="203"/>
      <c r="D418" s="203"/>
      <c r="E418" s="191"/>
      <c r="F418" s="203"/>
      <c r="G418" s="191"/>
      <c r="H418" s="191"/>
    </row>
    <row r="419" spans="2:8" hidden="1">
      <c r="B419" s="191"/>
      <c r="C419" s="203"/>
      <c r="D419" s="203"/>
      <c r="E419" s="191"/>
      <c r="F419" s="203"/>
      <c r="G419" s="191"/>
      <c r="H419" s="191"/>
    </row>
    <row r="420" spans="2:8" hidden="1">
      <c r="B420" s="191"/>
      <c r="C420" s="203"/>
      <c r="D420" s="203"/>
      <c r="E420" s="191"/>
      <c r="F420" s="203"/>
      <c r="G420" s="191"/>
      <c r="H420" s="191"/>
    </row>
    <row r="421" spans="2:8" hidden="1">
      <c r="B421" s="191"/>
      <c r="C421" s="203"/>
      <c r="D421" s="203"/>
      <c r="E421" s="191"/>
      <c r="F421" s="203"/>
      <c r="G421" s="191"/>
      <c r="H421" s="191"/>
    </row>
    <row r="422" spans="2:8" hidden="1">
      <c r="B422" s="191"/>
      <c r="C422" s="203"/>
      <c r="D422" s="203"/>
      <c r="E422" s="191"/>
      <c r="F422" s="203"/>
      <c r="G422" s="191"/>
      <c r="H422" s="191"/>
    </row>
    <row r="423" spans="2:8" hidden="1">
      <c r="B423" s="191"/>
      <c r="C423" s="203"/>
      <c r="D423" s="203"/>
      <c r="E423" s="191"/>
      <c r="F423" s="203"/>
      <c r="G423" s="191"/>
      <c r="H423" s="191"/>
    </row>
    <row r="424" spans="2:8" hidden="1">
      <c r="B424" s="191"/>
      <c r="C424" s="203"/>
      <c r="D424" s="203"/>
      <c r="E424" s="191"/>
      <c r="F424" s="203"/>
      <c r="G424" s="191"/>
      <c r="H424" s="191"/>
    </row>
    <row r="425" spans="2:8" hidden="1">
      <c r="B425" s="191"/>
      <c r="C425" s="203"/>
      <c r="D425" s="203"/>
      <c r="E425" s="191"/>
      <c r="F425" s="203"/>
      <c r="G425" s="191"/>
      <c r="H425" s="191"/>
    </row>
    <row r="426" spans="2:8" hidden="1">
      <c r="B426" s="191"/>
      <c r="C426" s="203"/>
      <c r="D426" s="203"/>
      <c r="E426" s="191"/>
      <c r="F426" s="203"/>
      <c r="G426" s="191"/>
      <c r="H426" s="191"/>
    </row>
    <row r="427" spans="2:8" hidden="1">
      <c r="B427" s="191"/>
      <c r="C427" s="203"/>
      <c r="D427" s="203"/>
      <c r="E427" s="191"/>
      <c r="F427" s="203"/>
      <c r="G427" s="191"/>
      <c r="H427" s="191"/>
    </row>
    <row r="428" spans="2:8" hidden="1">
      <c r="B428" s="191"/>
      <c r="C428" s="203"/>
      <c r="D428" s="203"/>
      <c r="E428" s="191"/>
      <c r="F428" s="203"/>
      <c r="G428" s="191"/>
      <c r="H428" s="191"/>
    </row>
    <row r="429" spans="2:8" hidden="1">
      <c r="B429" s="191"/>
      <c r="C429" s="203"/>
      <c r="D429" s="203"/>
      <c r="E429" s="191"/>
      <c r="F429" s="203"/>
      <c r="G429" s="191"/>
      <c r="H429" s="191"/>
    </row>
    <row r="430" spans="2:8" hidden="1">
      <c r="B430" s="191"/>
      <c r="C430" s="203"/>
      <c r="D430" s="203"/>
      <c r="E430" s="191"/>
      <c r="F430" s="203"/>
      <c r="G430" s="191"/>
      <c r="H430" s="191"/>
    </row>
    <row r="431" spans="2:8" hidden="1">
      <c r="B431" s="191"/>
      <c r="C431" s="203"/>
      <c r="D431" s="203"/>
      <c r="E431" s="191"/>
      <c r="F431" s="203"/>
      <c r="G431" s="191"/>
      <c r="H431" s="191"/>
    </row>
    <row r="432" spans="2:8" hidden="1">
      <c r="B432" s="191"/>
      <c r="C432" s="203"/>
      <c r="D432" s="203"/>
      <c r="E432" s="191"/>
      <c r="F432" s="203"/>
      <c r="G432" s="191"/>
      <c r="H432" s="191"/>
    </row>
    <row r="433" spans="2:8" hidden="1">
      <c r="B433" s="191"/>
      <c r="C433" s="203"/>
      <c r="D433" s="203"/>
      <c r="E433" s="191"/>
      <c r="F433" s="203"/>
      <c r="G433" s="191"/>
      <c r="H433" s="191"/>
    </row>
    <row r="434" spans="2:8" hidden="1">
      <c r="B434" s="191"/>
      <c r="C434" s="203"/>
      <c r="D434" s="203"/>
      <c r="E434" s="191"/>
      <c r="F434" s="203"/>
      <c r="G434" s="191"/>
      <c r="H434" s="191"/>
    </row>
    <row r="435" spans="2:8" hidden="1">
      <c r="B435" s="191"/>
      <c r="C435" s="203"/>
      <c r="D435" s="203"/>
      <c r="E435" s="191"/>
      <c r="F435" s="203"/>
      <c r="G435" s="191"/>
      <c r="H435" s="191"/>
    </row>
    <row r="436" spans="2:8" hidden="1">
      <c r="B436" s="191"/>
      <c r="C436" s="203"/>
      <c r="D436" s="203"/>
      <c r="E436" s="191"/>
      <c r="F436" s="203"/>
      <c r="G436" s="191"/>
      <c r="H436" s="191"/>
    </row>
    <row r="437" spans="2:8" hidden="1">
      <c r="B437" s="191"/>
      <c r="C437" s="203"/>
      <c r="D437" s="203"/>
      <c r="E437" s="191"/>
      <c r="F437" s="203"/>
      <c r="G437" s="191"/>
      <c r="H437" s="191"/>
    </row>
    <row r="438" spans="2:8" hidden="1">
      <c r="B438" s="191"/>
      <c r="C438" s="203"/>
      <c r="D438" s="203"/>
      <c r="E438" s="191"/>
      <c r="F438" s="203"/>
      <c r="G438" s="191"/>
      <c r="H438" s="191"/>
    </row>
    <row r="439" spans="2:8" hidden="1">
      <c r="B439" s="191"/>
      <c r="C439" s="203"/>
      <c r="D439" s="203"/>
      <c r="E439" s="191"/>
      <c r="F439" s="203"/>
      <c r="G439" s="191"/>
      <c r="H439" s="191"/>
    </row>
    <row r="440" spans="2:8" hidden="1">
      <c r="B440" s="191"/>
      <c r="C440" s="203"/>
      <c r="D440" s="203"/>
      <c r="E440" s="191"/>
      <c r="F440" s="203"/>
      <c r="G440" s="191"/>
      <c r="H440" s="191"/>
    </row>
    <row r="441" spans="2:8" hidden="1">
      <c r="B441" s="191"/>
      <c r="C441" s="203"/>
      <c r="D441" s="203"/>
      <c r="E441" s="191"/>
      <c r="F441" s="203"/>
      <c r="G441" s="191"/>
      <c r="H441" s="191"/>
    </row>
    <row r="442" spans="2:8" hidden="1">
      <c r="B442" s="191"/>
      <c r="C442" s="203"/>
      <c r="D442" s="203"/>
      <c r="E442" s="191"/>
      <c r="F442" s="203"/>
      <c r="G442" s="191"/>
      <c r="H442" s="191"/>
    </row>
    <row r="443" spans="2:8" hidden="1">
      <c r="B443" s="191"/>
      <c r="C443" s="203"/>
      <c r="D443" s="203"/>
      <c r="E443" s="191"/>
      <c r="F443" s="203"/>
      <c r="G443" s="191"/>
      <c r="H443" s="191"/>
    </row>
    <row r="444" spans="2:8" hidden="1">
      <c r="B444" s="191"/>
      <c r="C444" s="203"/>
      <c r="D444" s="203"/>
      <c r="E444" s="191"/>
      <c r="F444" s="203"/>
      <c r="G444" s="191"/>
      <c r="H444" s="191"/>
    </row>
    <row r="445" spans="2:8" hidden="1">
      <c r="B445" s="191"/>
      <c r="C445" s="203"/>
      <c r="D445" s="203"/>
      <c r="E445" s="191"/>
      <c r="F445" s="203"/>
      <c r="G445" s="191"/>
      <c r="H445" s="191"/>
    </row>
    <row r="446" spans="2:8" hidden="1">
      <c r="B446" s="191"/>
      <c r="C446" s="203"/>
      <c r="D446" s="203"/>
      <c r="E446" s="191"/>
      <c r="F446" s="203"/>
      <c r="G446" s="191"/>
      <c r="H446" s="191"/>
    </row>
    <row r="447" spans="2:8" hidden="1">
      <c r="B447" s="191"/>
      <c r="C447" s="203"/>
      <c r="D447" s="203"/>
      <c r="E447" s="191"/>
      <c r="F447" s="203"/>
      <c r="G447" s="191"/>
      <c r="H447" s="191"/>
    </row>
    <row r="448" spans="2:8" hidden="1">
      <c r="B448" s="191"/>
      <c r="C448" s="203"/>
      <c r="D448" s="203"/>
      <c r="E448" s="191"/>
      <c r="F448" s="203"/>
      <c r="G448" s="191"/>
      <c r="H448" s="191"/>
    </row>
    <row r="449" spans="2:8" hidden="1">
      <c r="B449" s="191"/>
      <c r="C449" s="203"/>
      <c r="D449" s="203"/>
      <c r="E449" s="191"/>
      <c r="F449" s="203"/>
      <c r="G449" s="191"/>
      <c r="H449" s="191"/>
    </row>
    <row r="450" spans="2:8" hidden="1">
      <c r="B450" s="191"/>
      <c r="C450" s="203"/>
      <c r="D450" s="203"/>
      <c r="E450" s="191"/>
      <c r="F450" s="203"/>
      <c r="G450" s="191"/>
      <c r="H450" s="191"/>
    </row>
    <row r="451" spans="2:8" hidden="1">
      <c r="B451" s="191"/>
      <c r="C451" s="203"/>
      <c r="D451" s="203"/>
      <c r="E451" s="191"/>
      <c r="F451" s="203"/>
      <c r="G451" s="191"/>
      <c r="H451" s="191"/>
    </row>
    <row r="452" spans="2:8" hidden="1">
      <c r="B452" s="191"/>
      <c r="C452" s="203"/>
      <c r="D452" s="203"/>
      <c r="E452" s="191"/>
      <c r="F452" s="203"/>
      <c r="G452" s="191"/>
      <c r="H452" s="191"/>
    </row>
    <row r="453" spans="2:8" hidden="1">
      <c r="B453" s="191"/>
      <c r="C453" s="203"/>
      <c r="D453" s="203"/>
      <c r="E453" s="191"/>
      <c r="F453" s="203"/>
      <c r="G453" s="191"/>
      <c r="H453" s="191"/>
    </row>
    <row r="454" spans="2:8" hidden="1">
      <c r="B454" s="191"/>
      <c r="C454" s="203"/>
      <c r="D454" s="203"/>
      <c r="E454" s="191"/>
      <c r="F454" s="203"/>
      <c r="G454" s="191"/>
      <c r="H454" s="191"/>
    </row>
    <row r="455" spans="2:8" hidden="1">
      <c r="B455" s="191"/>
      <c r="C455" s="203"/>
      <c r="D455" s="203"/>
      <c r="E455" s="191"/>
      <c r="F455" s="203"/>
      <c r="G455" s="191"/>
      <c r="H455" s="191"/>
    </row>
    <row r="456" spans="2:8" hidden="1">
      <c r="B456" s="191"/>
      <c r="C456" s="203"/>
      <c r="D456" s="203"/>
      <c r="E456" s="191"/>
      <c r="F456" s="203"/>
      <c r="G456" s="191"/>
      <c r="H456" s="191"/>
    </row>
    <row r="457" spans="2:8" hidden="1">
      <c r="B457" s="191"/>
      <c r="C457" s="203"/>
      <c r="D457" s="203"/>
      <c r="E457" s="191"/>
      <c r="F457" s="203"/>
      <c r="G457" s="191"/>
      <c r="H457" s="191"/>
    </row>
    <row r="458" spans="2:8" hidden="1">
      <c r="B458" s="191"/>
      <c r="C458" s="203"/>
      <c r="D458" s="203"/>
      <c r="E458" s="191"/>
      <c r="F458" s="203"/>
      <c r="G458" s="191"/>
      <c r="H458" s="191"/>
    </row>
    <row r="459" spans="2:8" hidden="1">
      <c r="B459" s="191"/>
      <c r="C459" s="203"/>
      <c r="D459" s="203"/>
      <c r="E459" s="191"/>
      <c r="F459" s="203"/>
      <c r="G459" s="191"/>
      <c r="H459" s="191"/>
    </row>
    <row r="460" spans="2:8" hidden="1">
      <c r="B460" s="191"/>
      <c r="C460" s="203"/>
      <c r="D460" s="203"/>
      <c r="E460" s="191"/>
      <c r="F460" s="203"/>
      <c r="G460" s="191"/>
      <c r="H460" s="191"/>
    </row>
    <row r="461" spans="2:8" hidden="1">
      <c r="B461" s="191"/>
      <c r="C461" s="203"/>
      <c r="D461" s="203"/>
      <c r="E461" s="191"/>
      <c r="F461" s="203"/>
      <c r="G461" s="191"/>
      <c r="H461" s="191"/>
    </row>
    <row r="462" spans="2:8" hidden="1">
      <c r="B462" s="191"/>
      <c r="C462" s="203"/>
      <c r="D462" s="203"/>
      <c r="E462" s="191"/>
      <c r="F462" s="203"/>
      <c r="G462" s="191"/>
      <c r="H462" s="191"/>
    </row>
    <row r="463" spans="2:8" hidden="1">
      <c r="B463" s="191"/>
      <c r="C463" s="203"/>
      <c r="D463" s="203"/>
      <c r="E463" s="191"/>
      <c r="F463" s="203"/>
      <c r="G463" s="191"/>
      <c r="H463" s="191"/>
    </row>
    <row r="464" spans="2:8" hidden="1">
      <c r="B464" s="191"/>
      <c r="C464" s="203"/>
      <c r="D464" s="203"/>
      <c r="E464" s="191"/>
      <c r="F464" s="203"/>
      <c r="G464" s="191"/>
      <c r="H464" s="191"/>
    </row>
    <row r="465" spans="2:8" hidden="1">
      <c r="B465" s="191"/>
      <c r="C465" s="203"/>
      <c r="D465" s="203"/>
      <c r="E465" s="191"/>
      <c r="F465" s="203"/>
      <c r="G465" s="191"/>
      <c r="H465" s="191"/>
    </row>
    <row r="466" spans="2:8" hidden="1">
      <c r="B466" s="191"/>
      <c r="C466" s="203"/>
      <c r="D466" s="203"/>
      <c r="E466" s="191"/>
      <c r="F466" s="203"/>
      <c r="G466" s="191"/>
      <c r="H466" s="191"/>
    </row>
    <row r="467" spans="2:8" hidden="1">
      <c r="B467" s="191"/>
      <c r="C467" s="203"/>
      <c r="D467" s="203"/>
      <c r="E467" s="191"/>
      <c r="F467" s="203"/>
      <c r="G467" s="191"/>
      <c r="H467" s="191"/>
    </row>
    <row r="468" spans="2:8" hidden="1">
      <c r="B468" s="191"/>
      <c r="C468" s="203"/>
      <c r="D468" s="203"/>
      <c r="E468" s="191"/>
      <c r="F468" s="203"/>
      <c r="G468" s="191"/>
      <c r="H468" s="191"/>
    </row>
    <row r="469" spans="2:8" hidden="1">
      <c r="B469" s="191"/>
      <c r="C469" s="203"/>
      <c r="D469" s="203"/>
      <c r="E469" s="191"/>
      <c r="F469" s="203"/>
      <c r="G469" s="191"/>
      <c r="H469" s="191"/>
    </row>
    <row r="470" spans="2:8" hidden="1">
      <c r="B470" s="191"/>
      <c r="C470" s="203"/>
      <c r="D470" s="203"/>
      <c r="E470" s="191"/>
      <c r="F470" s="203"/>
      <c r="G470" s="191"/>
      <c r="H470" s="191"/>
    </row>
    <row r="471" spans="2:8" hidden="1">
      <c r="B471" s="191"/>
      <c r="C471" s="203"/>
      <c r="D471" s="203"/>
      <c r="E471" s="191"/>
      <c r="F471" s="203"/>
      <c r="G471" s="191"/>
      <c r="H471" s="191"/>
    </row>
    <row r="472" spans="2:8" hidden="1">
      <c r="B472" s="191"/>
      <c r="C472" s="203"/>
      <c r="D472" s="203"/>
      <c r="E472" s="191"/>
      <c r="F472" s="203"/>
      <c r="G472" s="191"/>
      <c r="H472" s="191"/>
    </row>
    <row r="473" spans="2:8" hidden="1">
      <c r="B473" s="191"/>
      <c r="C473" s="203"/>
      <c r="D473" s="203"/>
      <c r="E473" s="191"/>
      <c r="F473" s="203"/>
      <c r="G473" s="191"/>
      <c r="H473" s="191"/>
    </row>
    <row r="474" spans="2:8" hidden="1">
      <c r="B474" s="191"/>
      <c r="C474" s="203"/>
      <c r="D474" s="203"/>
      <c r="E474" s="191"/>
      <c r="F474" s="203"/>
      <c r="G474" s="191"/>
      <c r="H474" s="191"/>
    </row>
    <row r="475" spans="2:8" hidden="1">
      <c r="B475" s="191"/>
      <c r="C475" s="203"/>
      <c r="D475" s="203"/>
      <c r="E475" s="191"/>
      <c r="F475" s="203"/>
      <c r="G475" s="191"/>
      <c r="H475" s="191"/>
    </row>
    <row r="476" spans="2:8" hidden="1">
      <c r="B476" s="191"/>
      <c r="C476" s="203"/>
      <c r="D476" s="203"/>
      <c r="E476" s="191"/>
      <c r="F476" s="203"/>
      <c r="G476" s="191"/>
      <c r="H476" s="191"/>
    </row>
    <row r="477" spans="2:8" hidden="1">
      <c r="B477" s="191"/>
      <c r="C477" s="203"/>
      <c r="D477" s="203"/>
      <c r="E477" s="191"/>
      <c r="F477" s="203"/>
      <c r="G477" s="191"/>
      <c r="H477" s="191"/>
    </row>
    <row r="478" spans="2:8" hidden="1">
      <c r="B478" s="191"/>
      <c r="C478" s="203"/>
      <c r="D478" s="203"/>
      <c r="E478" s="191"/>
      <c r="F478" s="203"/>
      <c r="G478" s="191"/>
      <c r="H478" s="191"/>
    </row>
    <row r="479" spans="2:8" hidden="1">
      <c r="B479"/>
      <c r="C479"/>
      <c r="D479"/>
      <c r="E479"/>
      <c r="F479"/>
      <c r="G479"/>
      <c r="H479"/>
    </row>
    <row r="480" spans="2:8" hidden="1"/>
  </sheetData>
  <sheetProtection password="9F78" sheet="1" objects="1" scenarios="1"/>
  <mergeCells count="27">
    <mergeCell ref="D80:O80"/>
    <mergeCell ref="D81:G81"/>
    <mergeCell ref="H81:K81"/>
    <mergeCell ref="L81:O81"/>
    <mergeCell ref="M5:P7"/>
    <mergeCell ref="M9:P11"/>
    <mergeCell ref="L27:O27"/>
    <mergeCell ref="D26:O26"/>
    <mergeCell ref="D53:O53"/>
    <mergeCell ref="D54:G54"/>
    <mergeCell ref="H54:K54"/>
    <mergeCell ref="L54:O54"/>
    <mergeCell ref="D3:G3"/>
    <mergeCell ref="H3:K3"/>
    <mergeCell ref="D2:K2"/>
    <mergeCell ref="D27:G27"/>
    <mergeCell ref="H27:K27"/>
    <mergeCell ref="D107:O107"/>
    <mergeCell ref="D108:G108"/>
    <mergeCell ref="H108:K108"/>
    <mergeCell ref="L108:O108"/>
    <mergeCell ref="D134:K134"/>
    <mergeCell ref="D135:G135"/>
    <mergeCell ref="H135:K135"/>
    <mergeCell ref="D171:K171"/>
    <mergeCell ref="D172:G172"/>
    <mergeCell ref="H172:K172"/>
  </mergeCells>
  <pageMargins left="1" right="1" top="1" bottom="1" header="0.5" footer="0.5"/>
  <pageSetup scale="45" fitToHeight="3" orientation="landscape" r:id="rId1"/>
  <headerFooter>
    <oddHeader>&amp;COEB Adjustment Input Sheet</oddHeader>
  </headerFooter>
  <rowBreaks count="2" manualBreakCount="2">
    <brk id="52" max="16383" man="1"/>
    <brk id="1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228"/>
  <sheetViews>
    <sheetView showGridLines="0" zoomScale="75" zoomScaleNormal="75" workbookViewId="0"/>
  </sheetViews>
  <sheetFormatPr defaultColWidth="0" defaultRowHeight="15" zeroHeight="1"/>
  <cols>
    <col min="1" max="1" width="2.7109375" style="3" customWidth="1"/>
    <col min="2" max="2" width="5.28515625" style="3" customWidth="1"/>
    <col min="3" max="3" width="60.140625" style="3" bestFit="1" customWidth="1"/>
    <col min="4" max="15" width="16.7109375" style="3" customWidth="1"/>
    <col min="16" max="16" width="8.7109375" style="3" customWidth="1"/>
    <col min="17" max="16384" width="9.140625" style="3" hidden="1"/>
  </cols>
  <sheetData>
    <row r="1" spans="1:15" ht="18.75" thickBot="1">
      <c r="B1" s="642" t="s">
        <v>22</v>
      </c>
      <c r="C1" s="642"/>
      <c r="D1" s="642"/>
      <c r="E1" s="642"/>
      <c r="F1" s="642"/>
      <c r="G1" s="642"/>
      <c r="H1" s="642"/>
      <c r="I1" s="642"/>
      <c r="J1" s="642"/>
      <c r="K1" s="642"/>
      <c r="L1" s="463"/>
    </row>
    <row r="2" spans="1:15" ht="15.75" customHeight="1" thickBot="1">
      <c r="D2" s="634" t="s">
        <v>141</v>
      </c>
      <c r="E2" s="635"/>
      <c r="F2" s="635"/>
      <c r="G2" s="635"/>
      <c r="H2" s="635"/>
      <c r="I2" s="635"/>
      <c r="J2" s="635"/>
      <c r="K2" s="636"/>
      <c r="L2" s="492"/>
    </row>
    <row r="3" spans="1:15" ht="15.75">
      <c r="B3" s="8"/>
      <c r="C3" s="88"/>
      <c r="D3" s="637">
        <v>2014</v>
      </c>
      <c r="E3" s="638"/>
      <c r="F3" s="639"/>
      <c r="G3" s="640"/>
      <c r="H3" s="639">
        <v>2015</v>
      </c>
      <c r="I3" s="639"/>
      <c r="J3" s="639"/>
      <c r="K3" s="640"/>
      <c r="L3" s="219"/>
    </row>
    <row r="4" spans="1:15" ht="15.75">
      <c r="A4" s="18"/>
      <c r="B4" s="9" t="s">
        <v>2</v>
      </c>
      <c r="C4" s="89"/>
      <c r="D4" s="9" t="s">
        <v>238</v>
      </c>
      <c r="E4" s="159" t="s">
        <v>238</v>
      </c>
      <c r="F4" s="498" t="s">
        <v>21</v>
      </c>
      <c r="G4" s="11" t="s">
        <v>21</v>
      </c>
      <c r="H4" s="52" t="s">
        <v>238</v>
      </c>
      <c r="I4" s="159" t="s">
        <v>238</v>
      </c>
      <c r="J4" s="498" t="s">
        <v>21</v>
      </c>
      <c r="K4" s="11" t="s">
        <v>21</v>
      </c>
      <c r="L4" s="219"/>
      <c r="M4" s="20"/>
      <c r="N4" s="20"/>
      <c r="O4" s="20"/>
    </row>
    <row r="5" spans="1:15" ht="16.5" thickBot="1">
      <c r="B5" s="12" t="s">
        <v>3</v>
      </c>
      <c r="C5" s="12" t="s">
        <v>1</v>
      </c>
      <c r="D5" s="468" t="s">
        <v>239</v>
      </c>
      <c r="E5" s="500">
        <v>41437</v>
      </c>
      <c r="F5" s="499" t="s">
        <v>15</v>
      </c>
      <c r="G5" s="13" t="s">
        <v>12</v>
      </c>
      <c r="H5" s="565" t="s">
        <v>239</v>
      </c>
      <c r="I5" s="500">
        <v>41437</v>
      </c>
      <c r="J5" s="499" t="s">
        <v>15</v>
      </c>
      <c r="K5" s="13" t="s">
        <v>12</v>
      </c>
      <c r="L5" s="219"/>
      <c r="M5" s="20"/>
      <c r="N5" s="20"/>
      <c r="O5" s="20"/>
    </row>
    <row r="6" spans="1:15">
      <c r="B6" s="16"/>
      <c r="C6" s="20"/>
      <c r="D6" s="485" t="s">
        <v>4</v>
      </c>
      <c r="E6" s="486" t="s">
        <v>5</v>
      </c>
      <c r="F6" s="487" t="s">
        <v>6</v>
      </c>
      <c r="G6" s="488" t="s">
        <v>7</v>
      </c>
      <c r="H6" s="487" t="s">
        <v>8</v>
      </c>
      <c r="I6" s="486" t="s">
        <v>9</v>
      </c>
      <c r="J6" s="487" t="s">
        <v>11</v>
      </c>
      <c r="K6" s="488" t="s">
        <v>13</v>
      </c>
      <c r="L6" s="497"/>
      <c r="M6" s="33"/>
      <c r="N6" s="33"/>
      <c r="O6" s="20"/>
    </row>
    <row r="7" spans="1:15" ht="16.5" thickBot="1">
      <c r="B7" s="21"/>
      <c r="C7" s="20"/>
      <c r="D7" s="16"/>
      <c r="E7" s="20"/>
      <c r="F7" s="20"/>
      <c r="G7" s="34"/>
      <c r="H7" s="20"/>
      <c r="I7" s="20"/>
      <c r="J7" s="20"/>
      <c r="K7" s="34"/>
      <c r="L7" s="25"/>
      <c r="M7" s="20"/>
      <c r="N7" s="20"/>
    </row>
    <row r="8" spans="1:15">
      <c r="B8" s="67">
        <v>1</v>
      </c>
      <c r="C8" s="85" t="s">
        <v>130</v>
      </c>
      <c r="D8" s="322">
        <f>D23</f>
        <v>5127.9664936881436</v>
      </c>
      <c r="E8" s="563">
        <f>E23</f>
        <v>5127.9664936881436</v>
      </c>
      <c r="F8" s="323">
        <f>G8-E8</f>
        <v>0</v>
      </c>
      <c r="G8" s="324">
        <f>G23</f>
        <v>5127.9664936881436</v>
      </c>
      <c r="H8" s="322">
        <f>H23</f>
        <v>5084.6164199882051</v>
      </c>
      <c r="I8" s="563">
        <f>I23</f>
        <v>5084.6164199882051</v>
      </c>
      <c r="J8" s="321">
        <f>K8-I8</f>
        <v>0</v>
      </c>
      <c r="K8" s="324">
        <f>K23</f>
        <v>5084.6164199882051</v>
      </c>
      <c r="L8" s="35"/>
      <c r="M8" s="35"/>
      <c r="N8" s="35"/>
      <c r="O8" s="4"/>
    </row>
    <row r="9" spans="1:15">
      <c r="B9" s="67">
        <v>2</v>
      </c>
      <c r="C9" s="85" t="s">
        <v>131</v>
      </c>
      <c r="D9" s="325">
        <f>D48</f>
        <v>2511.4923104097775</v>
      </c>
      <c r="E9" s="564">
        <f>E48</f>
        <v>2511.4923104097775</v>
      </c>
      <c r="F9" s="326">
        <f>G9-E9</f>
        <v>0</v>
      </c>
      <c r="G9" s="327">
        <f>G48</f>
        <v>2511.4923104097775</v>
      </c>
      <c r="H9" s="325">
        <f>H48</f>
        <v>2528.1599238359454</v>
      </c>
      <c r="I9" s="564">
        <f>I48</f>
        <v>2528.1599238359454</v>
      </c>
      <c r="J9" s="319">
        <f>K9-I9</f>
        <v>0</v>
      </c>
      <c r="K9" s="327">
        <f>K48</f>
        <v>2528.1599238359454</v>
      </c>
      <c r="L9" s="35"/>
      <c r="M9" s="35"/>
      <c r="N9" s="35"/>
      <c r="O9" s="4"/>
    </row>
    <row r="10" spans="1:15">
      <c r="B10" s="67">
        <v>3</v>
      </c>
      <c r="C10" s="85" t="s">
        <v>132</v>
      </c>
      <c r="D10" s="325">
        <f>D73</f>
        <v>2317.206557575435</v>
      </c>
      <c r="E10" s="564">
        <f>E73</f>
        <v>2317.206557575435</v>
      </c>
      <c r="F10" s="326">
        <f>G10-E10</f>
        <v>0</v>
      </c>
      <c r="G10" s="327">
        <f>G73</f>
        <v>2317.206557575435</v>
      </c>
      <c r="H10" s="325">
        <f>H73</f>
        <v>2350.2308361228038</v>
      </c>
      <c r="I10" s="564">
        <f>I73</f>
        <v>2350.2308361228038</v>
      </c>
      <c r="J10" s="319">
        <f t="shared" ref="J10:J13" si="0">K10-I10</f>
        <v>0</v>
      </c>
      <c r="K10" s="327">
        <f>K73</f>
        <v>2350.2308361228038</v>
      </c>
      <c r="L10" s="35"/>
      <c r="M10" s="36"/>
      <c r="N10" s="45"/>
      <c r="O10" s="4"/>
    </row>
    <row r="11" spans="1:15">
      <c r="B11" s="67">
        <v>4</v>
      </c>
      <c r="C11" s="85" t="s">
        <v>66</v>
      </c>
      <c r="D11" s="135">
        <f>D8/(D8+D9+D10)</f>
        <v>0.5150285067757181</v>
      </c>
      <c r="E11" s="180">
        <f>E8/(E8+E9+E10)</f>
        <v>0.5150285067757181</v>
      </c>
      <c r="F11" s="22">
        <f>G11-E11</f>
        <v>0</v>
      </c>
      <c r="G11" s="23">
        <f>G8/(G8+G9+G10)</f>
        <v>0.5150285067757181</v>
      </c>
      <c r="H11" s="135">
        <f>H8/(H8+H9+H10)</f>
        <v>0.51034956897574735</v>
      </c>
      <c r="I11" s="180">
        <f>I8/(I8+I9+I10)</f>
        <v>0.51034956897574735</v>
      </c>
      <c r="J11" s="22">
        <f t="shared" si="0"/>
        <v>0</v>
      </c>
      <c r="K11" s="23">
        <f>K8/(K8+K9+K10)</f>
        <v>0.51034956897574735</v>
      </c>
      <c r="L11" s="24"/>
      <c r="M11" s="37"/>
      <c r="N11" s="37"/>
      <c r="O11" s="4"/>
    </row>
    <row r="12" spans="1:15">
      <c r="A12" s="20"/>
      <c r="B12" s="67">
        <v>5</v>
      </c>
      <c r="C12" s="85" t="s">
        <v>64</v>
      </c>
      <c r="D12" s="135">
        <f>D9/(D8+D9+D10)</f>
        <v>0.25224231398570235</v>
      </c>
      <c r="E12" s="180">
        <f>E9/(E8+E9+E10)</f>
        <v>0.25224231398570235</v>
      </c>
      <c r="F12" s="22">
        <f t="shared" ref="F12" si="1">G12-E12</f>
        <v>0</v>
      </c>
      <c r="G12" s="23">
        <f>G9/(G8+G9+G10)</f>
        <v>0.25224231398570235</v>
      </c>
      <c r="H12" s="135">
        <f>H9/(H8+H9+H10)</f>
        <v>0.25375470258864208</v>
      </c>
      <c r="I12" s="180">
        <f>I9/(I8+I9+I10)</f>
        <v>0.25375470258864208</v>
      </c>
      <c r="J12" s="22">
        <f>K12-I12</f>
        <v>0</v>
      </c>
      <c r="K12" s="23">
        <f>K9/(K8+K9+K10)</f>
        <v>0.25375470258864208</v>
      </c>
      <c r="L12" s="24"/>
      <c r="M12" s="24"/>
      <c r="N12" s="24"/>
      <c r="O12" s="4"/>
    </row>
    <row r="13" spans="1:15" ht="15.75" thickBot="1">
      <c r="A13" s="20"/>
      <c r="B13" s="68">
        <v>6</v>
      </c>
      <c r="C13" s="150" t="s">
        <v>61</v>
      </c>
      <c r="D13" s="549">
        <f>D10/(D8+D9+D10)</f>
        <v>0.23272917923857955</v>
      </c>
      <c r="E13" s="489">
        <f>E10/(E8+E9+E10)</f>
        <v>0.23272917923857955</v>
      </c>
      <c r="F13" s="55">
        <f t="shared" ref="F13" si="2">G13-E13</f>
        <v>0</v>
      </c>
      <c r="G13" s="38">
        <f>G10/(G8+G9+G10)</f>
        <v>0.23272917923857955</v>
      </c>
      <c r="H13" s="549">
        <f>H10/(H8+H9+H10)</f>
        <v>0.23589572843561044</v>
      </c>
      <c r="I13" s="489">
        <f>I10/(I8+I9+I10)</f>
        <v>0.23589572843561044</v>
      </c>
      <c r="J13" s="55">
        <f t="shared" si="0"/>
        <v>0</v>
      </c>
      <c r="K13" s="38">
        <f>K10/(K8+K9+K10)</f>
        <v>0.23589572843561044</v>
      </c>
      <c r="L13" s="24"/>
      <c r="M13" s="24"/>
      <c r="N13" s="24"/>
      <c r="O13" s="4"/>
    </row>
    <row r="14" spans="1:15" ht="15.75" thickBot="1">
      <c r="A14" s="20"/>
      <c r="B14" s="111"/>
      <c r="C14" s="85"/>
      <c r="D14" s="85"/>
      <c r="E14" s="126"/>
      <c r="F14" s="126"/>
      <c r="G14" s="126"/>
      <c r="H14" s="126"/>
      <c r="I14" s="126"/>
      <c r="J14" s="126"/>
      <c r="K14" s="126"/>
      <c r="L14" s="126"/>
      <c r="M14" s="164"/>
      <c r="N14" s="24"/>
      <c r="O14" s="4"/>
    </row>
    <row r="15" spans="1:15" ht="16.5" customHeight="1" thickBot="1">
      <c r="D15" s="634" t="s">
        <v>62</v>
      </c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6"/>
    </row>
    <row r="16" spans="1:15" ht="15.75">
      <c r="B16" s="94"/>
      <c r="C16" s="92"/>
      <c r="D16" s="637">
        <v>2014</v>
      </c>
      <c r="E16" s="638"/>
      <c r="F16" s="639"/>
      <c r="G16" s="640"/>
      <c r="H16" s="637">
        <v>2015</v>
      </c>
      <c r="I16" s="639"/>
      <c r="J16" s="639"/>
      <c r="K16" s="640"/>
      <c r="L16" s="637" t="s">
        <v>0</v>
      </c>
      <c r="M16" s="639"/>
      <c r="N16" s="639"/>
      <c r="O16" s="640"/>
    </row>
    <row r="17" spans="1:16" ht="15.75">
      <c r="B17" s="87" t="s">
        <v>2</v>
      </c>
      <c r="C17" s="93"/>
      <c r="D17" s="9" t="s">
        <v>238</v>
      </c>
      <c r="E17" s="159" t="s">
        <v>238</v>
      </c>
      <c r="F17" s="498" t="s">
        <v>21</v>
      </c>
      <c r="G17" s="11" t="s">
        <v>21</v>
      </c>
      <c r="H17" s="9" t="s">
        <v>238</v>
      </c>
      <c r="I17" s="159" t="s">
        <v>238</v>
      </c>
      <c r="J17" s="498" t="s">
        <v>21</v>
      </c>
      <c r="K17" s="11" t="s">
        <v>21</v>
      </c>
      <c r="L17" s="9" t="s">
        <v>238</v>
      </c>
      <c r="M17" s="159" t="s">
        <v>238</v>
      </c>
      <c r="N17" s="498" t="s">
        <v>21</v>
      </c>
      <c r="O17" s="11" t="s">
        <v>21</v>
      </c>
    </row>
    <row r="18" spans="1:16" ht="16.5" thickBot="1">
      <c r="A18" s="6"/>
      <c r="B18" s="54" t="s">
        <v>3</v>
      </c>
      <c r="C18" s="53" t="s">
        <v>1</v>
      </c>
      <c r="D18" s="506" t="s">
        <v>239</v>
      </c>
      <c r="E18" s="526">
        <v>41437</v>
      </c>
      <c r="F18" s="498" t="s">
        <v>15</v>
      </c>
      <c r="G18" s="11" t="s">
        <v>12</v>
      </c>
      <c r="H18" s="506" t="s">
        <v>239</v>
      </c>
      <c r="I18" s="526">
        <v>41437</v>
      </c>
      <c r="J18" s="498" t="s">
        <v>15</v>
      </c>
      <c r="K18" s="11" t="s">
        <v>12</v>
      </c>
      <c r="L18" s="506" t="s">
        <v>239</v>
      </c>
      <c r="M18" s="526">
        <v>41437</v>
      </c>
      <c r="N18" s="498" t="s">
        <v>15</v>
      </c>
      <c r="O18" s="11" t="s">
        <v>12</v>
      </c>
    </row>
    <row r="19" spans="1:16">
      <c r="A19" s="6"/>
      <c r="B19" s="16"/>
      <c r="C19" s="20"/>
      <c r="D19" s="508" t="s">
        <v>4</v>
      </c>
      <c r="E19" s="509" t="s">
        <v>5</v>
      </c>
      <c r="F19" s="509" t="s">
        <v>6</v>
      </c>
      <c r="G19" s="510" t="s">
        <v>7</v>
      </c>
      <c r="H19" s="508" t="s">
        <v>8</v>
      </c>
      <c r="I19" s="509" t="s">
        <v>9</v>
      </c>
      <c r="J19" s="509" t="s">
        <v>11</v>
      </c>
      <c r="K19" s="510" t="s">
        <v>13</v>
      </c>
      <c r="L19" s="508" t="s">
        <v>14</v>
      </c>
      <c r="M19" s="509" t="s">
        <v>240</v>
      </c>
      <c r="N19" s="509" t="s">
        <v>241</v>
      </c>
      <c r="O19" s="510" t="s">
        <v>242</v>
      </c>
      <c r="P19" s="33"/>
    </row>
    <row r="20" spans="1:16" ht="18" thickBot="1">
      <c r="A20" s="6"/>
      <c r="B20" s="141" t="s">
        <v>38</v>
      </c>
      <c r="C20" s="20"/>
      <c r="D20" s="16"/>
      <c r="E20" s="112"/>
      <c r="F20" s="112"/>
      <c r="G20" s="128"/>
      <c r="H20" s="127"/>
      <c r="I20" s="112"/>
      <c r="J20" s="129"/>
      <c r="K20" s="128"/>
      <c r="L20" s="127"/>
      <c r="M20" s="112"/>
      <c r="N20" s="129"/>
      <c r="O20" s="128"/>
    </row>
    <row r="21" spans="1:16" ht="12.75" customHeight="1">
      <c r="A21" s="6"/>
      <c r="B21" s="95">
        <v>7</v>
      </c>
      <c r="C21" s="20" t="s">
        <v>10</v>
      </c>
      <c r="D21" s="427">
        <f>'4. OEB_Adjustment_Input_Sheet'!D37</f>
        <v>5127.9664936881436</v>
      </c>
      <c r="E21" s="377">
        <f>'4. OEB_Adjustment_Input_Sheet'!E37</f>
        <v>5127.9664936881436</v>
      </c>
      <c r="F21" s="321">
        <f>G21-E21</f>
        <v>0</v>
      </c>
      <c r="G21" s="300">
        <f>'4. OEB_Adjustment_Input_Sheet'!G37</f>
        <v>5127.9664936881436</v>
      </c>
      <c r="H21" s="427">
        <f>'4. OEB_Adjustment_Input_Sheet'!H37</f>
        <v>5084.6164199882051</v>
      </c>
      <c r="I21" s="377">
        <f>'4. OEB_Adjustment_Input_Sheet'!I37</f>
        <v>5084.6164199882051</v>
      </c>
      <c r="J21" s="364">
        <f>K21-I21</f>
        <v>0</v>
      </c>
      <c r="K21" s="300">
        <f>'4. OEB_Adjustment_Input_Sheet'!K37</f>
        <v>5084.6164199882051</v>
      </c>
      <c r="L21" s="427">
        <f>D21+H21</f>
        <v>10212.58291367635</v>
      </c>
      <c r="M21" s="377">
        <f>E21+I21</f>
        <v>10212.58291367635</v>
      </c>
      <c r="N21" s="364">
        <f>O21-M21</f>
        <v>0</v>
      </c>
      <c r="O21" s="300">
        <f>G21+K21</f>
        <v>10212.58291367635</v>
      </c>
    </row>
    <row r="22" spans="1:16">
      <c r="A22" s="6"/>
      <c r="B22" s="95">
        <v>8</v>
      </c>
      <c r="C22" s="85" t="s">
        <v>70</v>
      </c>
      <c r="D22" s="551" t="s">
        <v>17</v>
      </c>
      <c r="E22" s="115" t="s">
        <v>17</v>
      </c>
      <c r="F22" s="115" t="s">
        <v>17</v>
      </c>
      <c r="G22" s="298" t="s">
        <v>17</v>
      </c>
      <c r="H22" s="551" t="s">
        <v>17</v>
      </c>
      <c r="I22" s="115" t="s">
        <v>17</v>
      </c>
      <c r="J22" s="115" t="s">
        <v>17</v>
      </c>
      <c r="K22" s="298" t="s">
        <v>17</v>
      </c>
      <c r="L22" s="551" t="s">
        <v>17</v>
      </c>
      <c r="M22" s="115" t="s">
        <v>17</v>
      </c>
      <c r="N22" s="115" t="s">
        <v>17</v>
      </c>
      <c r="O22" s="298" t="s">
        <v>17</v>
      </c>
    </row>
    <row r="23" spans="1:16" ht="16.5" thickBot="1">
      <c r="A23" s="6"/>
      <c r="B23" s="95">
        <v>9</v>
      </c>
      <c r="C23" s="17" t="s">
        <v>40</v>
      </c>
      <c r="D23" s="365">
        <f>D21</f>
        <v>5127.9664936881436</v>
      </c>
      <c r="E23" s="566">
        <f>E21</f>
        <v>5127.9664936881436</v>
      </c>
      <c r="F23" s="567">
        <f t="shared" ref="F23:K23" si="3">F21</f>
        <v>0</v>
      </c>
      <c r="G23" s="569">
        <f>G21</f>
        <v>5127.9664936881436</v>
      </c>
      <c r="H23" s="331">
        <f t="shared" ref="H23" si="4">H21</f>
        <v>5084.6164199882051</v>
      </c>
      <c r="I23" s="537">
        <f t="shared" si="3"/>
        <v>5084.6164199882051</v>
      </c>
      <c r="J23" s="568">
        <f t="shared" si="3"/>
        <v>0</v>
      </c>
      <c r="K23" s="569">
        <f t="shared" si="3"/>
        <v>5084.6164199882051</v>
      </c>
      <c r="L23" s="365">
        <f>L21</f>
        <v>10212.58291367635</v>
      </c>
      <c r="M23" s="566">
        <f>M21</f>
        <v>10212.58291367635</v>
      </c>
      <c r="N23" s="568">
        <f>N21</f>
        <v>0</v>
      </c>
      <c r="O23" s="569">
        <f t="shared" ref="O23" si="5">O21</f>
        <v>10212.58291367635</v>
      </c>
    </row>
    <row r="24" spans="1:16" s="4" customFormat="1" ht="12.75" customHeight="1" thickBot="1">
      <c r="A24" s="6"/>
      <c r="B24" s="67"/>
      <c r="C24" s="25"/>
      <c r="D24" s="552"/>
      <c r="E24" s="29"/>
      <c r="F24" s="18"/>
      <c r="G24" s="19"/>
      <c r="H24" s="552"/>
      <c r="I24" s="29"/>
      <c r="J24" s="366"/>
      <c r="K24" s="19"/>
      <c r="L24" s="552"/>
      <c r="M24" s="29"/>
      <c r="N24" s="366"/>
      <c r="O24" s="19"/>
    </row>
    <row r="25" spans="1:16" ht="15.75" customHeight="1" thickBot="1">
      <c r="A25" s="6"/>
      <c r="B25" s="95">
        <v>10</v>
      </c>
      <c r="C25" s="17" t="s">
        <v>27</v>
      </c>
      <c r="D25" s="352">
        <f>D23*'4. OEB_Adjustment_Input_Sheet'!D8</f>
        <v>2410.1442520334272</v>
      </c>
      <c r="E25" s="534">
        <f>E23*'4. OEB_Adjustment_Input_Sheet'!E8</f>
        <v>2410.1442520334272</v>
      </c>
      <c r="F25" s="354">
        <f>G25-E25</f>
        <v>0</v>
      </c>
      <c r="G25" s="353">
        <f>G23*'4. OEB_Adjustment_Input_Sheet'!G8</f>
        <v>2410.1442520334272</v>
      </c>
      <c r="H25" s="352">
        <f>H23*'4. OEB_Adjustment_Input_Sheet'!H8</f>
        <v>2389.7697173944562</v>
      </c>
      <c r="I25" s="534">
        <f>I23*'4. OEB_Adjustment_Input_Sheet'!I8</f>
        <v>2389.7697173944562</v>
      </c>
      <c r="J25" s="367">
        <f>K25-I25</f>
        <v>0</v>
      </c>
      <c r="K25" s="353">
        <f>K23*'4. OEB_Adjustment_Input_Sheet'!K8</f>
        <v>2389.7697173944562</v>
      </c>
      <c r="L25" s="352">
        <f>D25+H25</f>
        <v>4799.9139694278838</v>
      </c>
      <c r="M25" s="534">
        <f>E25+I25</f>
        <v>4799.9139694278838</v>
      </c>
      <c r="N25" s="367">
        <f>O25-M25</f>
        <v>0</v>
      </c>
      <c r="O25" s="353">
        <f>G25+K25</f>
        <v>4799.9139694278838</v>
      </c>
    </row>
    <row r="26" spans="1:16" s="4" customFormat="1" ht="12.75" customHeight="1" thickBot="1">
      <c r="A26" s="30"/>
      <c r="B26" s="69"/>
      <c r="C26" s="25"/>
      <c r="D26" s="107"/>
      <c r="E26" s="18"/>
      <c r="F26" s="18"/>
      <c r="G26" s="19"/>
      <c r="H26" s="107"/>
      <c r="I26" s="18"/>
      <c r="J26" s="366"/>
      <c r="K26" s="19"/>
      <c r="L26" s="107"/>
      <c r="M26" s="18"/>
      <c r="N26" s="366"/>
      <c r="O26" s="19"/>
    </row>
    <row r="27" spans="1:16" s="20" customFormat="1" ht="12.75" customHeight="1">
      <c r="A27" s="6"/>
      <c r="B27" s="95">
        <v>11</v>
      </c>
      <c r="C27" s="20" t="s">
        <v>41</v>
      </c>
      <c r="D27" s="427">
        <f>D23-D25</f>
        <v>2717.8222416547164</v>
      </c>
      <c r="E27" s="377">
        <f>E23-E25</f>
        <v>2717.8222416547164</v>
      </c>
      <c r="F27" s="321">
        <f>G27-E27</f>
        <v>0</v>
      </c>
      <c r="G27" s="300">
        <f>G23-G25</f>
        <v>2717.8222416547164</v>
      </c>
      <c r="H27" s="427">
        <f>H23-H25</f>
        <v>2694.8467025937489</v>
      </c>
      <c r="I27" s="377">
        <f>I23-I25</f>
        <v>2694.8467025937489</v>
      </c>
      <c r="J27" s="364">
        <f>K27-I27</f>
        <v>0</v>
      </c>
      <c r="K27" s="300">
        <f>K23-K25</f>
        <v>2694.8467025937489</v>
      </c>
      <c r="L27" s="427">
        <f>L23-L25</f>
        <v>5412.6689442484658</v>
      </c>
      <c r="M27" s="377">
        <f>M23-M25</f>
        <v>5412.6689442484658</v>
      </c>
      <c r="N27" s="364">
        <f>O27-M27</f>
        <v>0</v>
      </c>
      <c r="O27" s="300">
        <f>O23-O25</f>
        <v>5412.6689442484658</v>
      </c>
      <c r="P27" s="3"/>
    </row>
    <row r="28" spans="1:16" s="20" customFormat="1" ht="12.75" customHeight="1">
      <c r="A28" s="6"/>
      <c r="B28" s="95">
        <v>12</v>
      </c>
      <c r="C28" s="85" t="s">
        <v>129</v>
      </c>
      <c r="D28" s="430">
        <f>D11*'4. OEB_Adjustment_Input_Sheet'!D22</f>
        <v>99.001000679447614</v>
      </c>
      <c r="E28" s="400">
        <f>E11*'4. OEB_Adjustment_Input_Sheet'!E22</f>
        <v>99.001000679447614</v>
      </c>
      <c r="F28" s="319">
        <f t="shared" ref="F28:F29" si="6">G28-E28</f>
        <v>0</v>
      </c>
      <c r="G28" s="309">
        <f>G11*'4. OEB_Adjustment_Input_Sheet'!G22</f>
        <v>99.001000679447614</v>
      </c>
      <c r="H28" s="430">
        <f>H11*'4. OEB_Adjustment_Input_Sheet'!H22</f>
        <v>98.101595077194773</v>
      </c>
      <c r="I28" s="400">
        <f>I11*'4. OEB_Adjustment_Input_Sheet'!I22</f>
        <v>98.101595077194773</v>
      </c>
      <c r="J28" s="368">
        <f>K28-I28</f>
        <v>0</v>
      </c>
      <c r="K28" s="309">
        <f>K11*'4. OEB_Adjustment_Input_Sheet'!K22</f>
        <v>98.101595077194773</v>
      </c>
      <c r="L28" s="430">
        <f>D28+H28</f>
        <v>197.10259575664239</v>
      </c>
      <c r="M28" s="400">
        <f>E28+I28</f>
        <v>197.10259575664239</v>
      </c>
      <c r="N28" s="368">
        <f>O28-M28</f>
        <v>0</v>
      </c>
      <c r="O28" s="309">
        <f>G28+K28</f>
        <v>197.10259575664239</v>
      </c>
      <c r="P28" s="3"/>
    </row>
    <row r="29" spans="1:16" s="20" customFormat="1">
      <c r="A29" s="6"/>
      <c r="B29" s="95">
        <v>13</v>
      </c>
      <c r="C29" s="85" t="s">
        <v>29</v>
      </c>
      <c r="D29" s="553">
        <f>D11*'4. OEB_Adjustment_Input_Sheet'!D23</f>
        <v>1737.0164017633126</v>
      </c>
      <c r="E29" s="400">
        <f>E11*'4. OEB_Adjustment_Input_Sheet'!E23</f>
        <v>1737.0164017633126</v>
      </c>
      <c r="F29" s="319">
        <f t="shared" si="6"/>
        <v>0</v>
      </c>
      <c r="G29" s="309">
        <f>G11*'4. OEB_Adjustment_Input_Sheet'!G23</f>
        <v>1737.0164017633126</v>
      </c>
      <c r="H29" s="553">
        <f>H11*'4. OEB_Adjustment_Input_Sheet'!H23</f>
        <v>1776.8133796799816</v>
      </c>
      <c r="I29" s="400">
        <f>I11*'4. OEB_Adjustment_Input_Sheet'!I23</f>
        <v>1776.8133796799816</v>
      </c>
      <c r="J29" s="368">
        <f t="shared" ref="J29" si="7">K29-I29</f>
        <v>0</v>
      </c>
      <c r="K29" s="309">
        <f>K11*'4. OEB_Adjustment_Input_Sheet'!K23</f>
        <v>1776.8133796799816</v>
      </c>
      <c r="L29" s="553">
        <f>D29+H29</f>
        <v>3513.8297814432945</v>
      </c>
      <c r="M29" s="400">
        <f>E29+I29</f>
        <v>3513.8297814432945</v>
      </c>
      <c r="N29" s="368">
        <f t="shared" ref="N29" si="8">O29-M29</f>
        <v>0</v>
      </c>
      <c r="O29" s="309">
        <f>G29+K29</f>
        <v>3513.8297814432945</v>
      </c>
      <c r="P29" s="205"/>
    </row>
    <row r="30" spans="1:16" s="174" customFormat="1" ht="16.5" thickBot="1">
      <c r="A30" s="43"/>
      <c r="B30" s="95">
        <v>14</v>
      </c>
      <c r="C30" s="17" t="s">
        <v>24</v>
      </c>
      <c r="D30" s="313">
        <f>D27-D28-D29</f>
        <v>881.80483921195605</v>
      </c>
      <c r="E30" s="538">
        <f>E27-E28-E29</f>
        <v>881.80483921195605</v>
      </c>
      <c r="F30" s="567">
        <f>G30-E30</f>
        <v>0</v>
      </c>
      <c r="G30" s="569">
        <f t="shared" ref="G30:K30" si="9">G27-G28-G29</f>
        <v>881.80483921195605</v>
      </c>
      <c r="H30" s="313">
        <f t="shared" si="9"/>
        <v>819.93172783657246</v>
      </c>
      <c r="I30" s="538">
        <f t="shared" si="9"/>
        <v>819.93172783657246</v>
      </c>
      <c r="J30" s="568">
        <f>K30-I30</f>
        <v>0</v>
      </c>
      <c r="K30" s="569">
        <f t="shared" si="9"/>
        <v>819.93172783657246</v>
      </c>
      <c r="L30" s="313">
        <f>L27-L28-L29</f>
        <v>1701.7365670485287</v>
      </c>
      <c r="M30" s="538">
        <f>M27-M28-M29</f>
        <v>1701.7365670485287</v>
      </c>
      <c r="N30" s="568">
        <f>O30-M30</f>
        <v>0</v>
      </c>
      <c r="O30" s="569">
        <f>O27-O28-O29</f>
        <v>1701.7365670485287</v>
      </c>
      <c r="P30" s="44"/>
    </row>
    <row r="31" spans="1:16" s="20" customFormat="1" ht="17.25">
      <c r="A31" s="6"/>
      <c r="B31" s="140"/>
      <c r="D31" s="335"/>
      <c r="E31" s="35"/>
      <c r="F31" s="18"/>
      <c r="G31" s="334"/>
      <c r="H31" s="336"/>
      <c r="I31" s="35"/>
      <c r="J31" s="366"/>
      <c r="K31" s="334"/>
      <c r="L31" s="335"/>
      <c r="M31" s="35"/>
      <c r="N31" s="366"/>
      <c r="O31" s="334"/>
      <c r="P31" s="3"/>
    </row>
    <row r="32" spans="1:16" s="20" customFormat="1" ht="18" thickBot="1">
      <c r="A32" s="6"/>
      <c r="B32" s="141" t="s">
        <v>46</v>
      </c>
      <c r="D32" s="107"/>
      <c r="E32" s="18"/>
      <c r="F32" s="18"/>
      <c r="G32" s="19"/>
      <c r="H32" s="41"/>
      <c r="I32" s="18"/>
      <c r="J32" s="366"/>
      <c r="K32" s="19"/>
      <c r="L32" s="107"/>
      <c r="M32" s="18"/>
      <c r="N32" s="366"/>
      <c r="O32" s="19"/>
      <c r="P32" s="3"/>
    </row>
    <row r="33" spans="1:16" s="20" customFormat="1" ht="12.75" customHeight="1" thickBot="1">
      <c r="A33" s="6"/>
      <c r="B33" s="95">
        <v>15</v>
      </c>
      <c r="C33" s="85" t="s">
        <v>70</v>
      </c>
      <c r="D33" s="570" t="s">
        <v>17</v>
      </c>
      <c r="E33" s="369" t="s">
        <v>17</v>
      </c>
      <c r="F33" s="369" t="s">
        <v>17</v>
      </c>
      <c r="G33" s="370" t="s">
        <v>17</v>
      </c>
      <c r="H33" s="570" t="s">
        <v>17</v>
      </c>
      <c r="I33" s="369" t="s">
        <v>17</v>
      </c>
      <c r="J33" s="369" t="s">
        <v>17</v>
      </c>
      <c r="K33" s="370" t="s">
        <v>17</v>
      </c>
      <c r="L33" s="570" t="s">
        <v>17</v>
      </c>
      <c r="M33" s="369" t="s">
        <v>17</v>
      </c>
      <c r="N33" s="369" t="s">
        <v>17</v>
      </c>
      <c r="O33" s="370" t="s">
        <v>17</v>
      </c>
      <c r="P33" s="3"/>
    </row>
    <row r="34" spans="1:16" s="25" customFormat="1" ht="18" thickBot="1">
      <c r="A34" s="30"/>
      <c r="B34" s="69"/>
      <c r="D34" s="552"/>
      <c r="E34" s="29"/>
      <c r="F34" s="18"/>
      <c r="G34" s="19"/>
      <c r="H34" s="42"/>
      <c r="I34" s="29"/>
      <c r="J34" s="366"/>
      <c r="K34" s="19"/>
      <c r="L34" s="552"/>
      <c r="M34" s="29"/>
      <c r="N34" s="366"/>
      <c r="O34" s="19"/>
      <c r="P34" s="4"/>
    </row>
    <row r="35" spans="1:16" s="20" customFormat="1" ht="16.5" thickBot="1">
      <c r="A35" s="6"/>
      <c r="B35" s="95">
        <v>16</v>
      </c>
      <c r="C35" s="17" t="s">
        <v>27</v>
      </c>
      <c r="D35" s="352">
        <f>D25*'4. OEB_Adjustment_Input_Sheet'!D18</f>
        <v>216.43095383260177</v>
      </c>
      <c r="E35" s="534">
        <f>E25*'4. OEB_Adjustment_Input_Sheet'!E18</f>
        <v>216.43095383260177</v>
      </c>
      <c r="F35" s="354">
        <f>G35-E35</f>
        <v>0</v>
      </c>
      <c r="G35" s="371">
        <f>G25*'4. OEB_Adjustment_Input_Sheet'!G18</f>
        <v>216.43095383260177</v>
      </c>
      <c r="H35" s="352">
        <f>H25*'4. OEB_Adjustment_Input_Sheet'!H18</f>
        <v>214.60132062202217</v>
      </c>
      <c r="I35" s="534">
        <f>I25*'4. OEB_Adjustment_Input_Sheet'!I18</f>
        <v>214.60132062202217</v>
      </c>
      <c r="J35" s="367">
        <f>K35-I35</f>
        <v>0</v>
      </c>
      <c r="K35" s="353">
        <f>K25*'4. OEB_Adjustment_Input_Sheet'!K18</f>
        <v>214.60132062202217</v>
      </c>
      <c r="L35" s="352">
        <f>D35+H35</f>
        <v>431.03227445462392</v>
      </c>
      <c r="M35" s="534">
        <f>E35+I35</f>
        <v>431.03227445462392</v>
      </c>
      <c r="N35" s="367">
        <f>O35-M35</f>
        <v>0</v>
      </c>
      <c r="O35" s="353">
        <f>G35+K35</f>
        <v>431.03227445462392</v>
      </c>
      <c r="P35" s="3"/>
    </row>
    <row r="36" spans="1:16" s="25" customFormat="1" ht="12.75" customHeight="1" thickBot="1">
      <c r="A36" s="30"/>
      <c r="B36" s="69"/>
      <c r="D36" s="107"/>
      <c r="E36" s="18"/>
      <c r="F36" s="18"/>
      <c r="G36" s="19"/>
      <c r="H36" s="107"/>
      <c r="I36" s="18"/>
      <c r="J36" s="366"/>
      <c r="K36" s="19"/>
      <c r="L36" s="107"/>
      <c r="M36" s="18"/>
      <c r="N36" s="366"/>
      <c r="O36" s="19"/>
      <c r="P36" s="4"/>
    </row>
    <row r="37" spans="1:16" s="20" customFormat="1">
      <c r="A37" s="6"/>
      <c r="B37" s="95">
        <v>17</v>
      </c>
      <c r="C37" s="20" t="s">
        <v>29</v>
      </c>
      <c r="D37" s="427">
        <f>D29*'4. OEB_Adjustment_Input_Sheet'!D16</f>
        <v>84.248028716073804</v>
      </c>
      <c r="E37" s="377">
        <f>E29*'4. OEB_Adjustment_Input_Sheet'!E16</f>
        <v>84.248028716073804</v>
      </c>
      <c r="F37" s="321">
        <f>G37-E37</f>
        <v>0</v>
      </c>
      <c r="G37" s="300">
        <f>G29*'4. OEB_Adjustment_Input_Sheet'!G16</f>
        <v>84.248028716073804</v>
      </c>
      <c r="H37" s="427">
        <f>H29*'4. OEB_Adjustment_Input_Sheet'!H16</f>
        <v>86.351552487944076</v>
      </c>
      <c r="I37" s="377">
        <f>I29*'4. OEB_Adjustment_Input_Sheet'!I16</f>
        <v>86.351552487944076</v>
      </c>
      <c r="J37" s="364">
        <f t="shared" ref="J37:J38" si="10">K37-I37</f>
        <v>0</v>
      </c>
      <c r="K37" s="300">
        <f>K29*'4. OEB_Adjustment_Input_Sheet'!K16</f>
        <v>86.351552487944076</v>
      </c>
      <c r="L37" s="427">
        <f>D37+H37</f>
        <v>170.59958120401788</v>
      </c>
      <c r="M37" s="377">
        <f>E37+I37</f>
        <v>170.59958120401788</v>
      </c>
      <c r="N37" s="364">
        <f t="shared" ref="N37:N38" si="11">O37-M37</f>
        <v>0</v>
      </c>
      <c r="O37" s="300">
        <f>G37+K37</f>
        <v>170.59958120401788</v>
      </c>
      <c r="P37" s="3"/>
    </row>
    <row r="38" spans="1:16" s="20" customFormat="1" ht="15.75" thickBot="1">
      <c r="A38" s="6"/>
      <c r="B38" s="96">
        <v>18</v>
      </c>
      <c r="C38" s="32" t="s">
        <v>42</v>
      </c>
      <c r="D38" s="550">
        <f>D30*'4. OEB_Adjustment_Input_Sheet'!D17</f>
        <v>42.768922239586651</v>
      </c>
      <c r="E38" s="490">
        <f>E30*'4. OEB_Adjustment_Input_Sheet'!E17</f>
        <v>42.768922239586651</v>
      </c>
      <c r="F38" s="372">
        <f>G38-E38</f>
        <v>0</v>
      </c>
      <c r="G38" s="320">
        <f>G30*'4. OEB_Adjustment_Input_Sheet'!G17</f>
        <v>42.768922239586651</v>
      </c>
      <c r="H38" s="550">
        <f>H30*'4. OEB_Adjustment_Input_Sheet'!H17</f>
        <v>39.847953894607961</v>
      </c>
      <c r="I38" s="490">
        <f>I30*'4. OEB_Adjustment_Input_Sheet'!I17</f>
        <v>39.847953894607961</v>
      </c>
      <c r="J38" s="373">
        <f t="shared" si="10"/>
        <v>0</v>
      </c>
      <c r="K38" s="320">
        <f>K30*'4. OEB_Adjustment_Input_Sheet'!K17</f>
        <v>39.847953894607961</v>
      </c>
      <c r="L38" s="550">
        <f>D38+H38</f>
        <v>82.616876134194612</v>
      </c>
      <c r="M38" s="490">
        <f>E38+I38</f>
        <v>82.616876134194612</v>
      </c>
      <c r="N38" s="373">
        <f t="shared" si="11"/>
        <v>0</v>
      </c>
      <c r="O38" s="320">
        <f>G38+K38</f>
        <v>82.616876134194612</v>
      </c>
      <c r="P38" s="3"/>
    </row>
    <row r="39" spans="1:16" s="20" customFormat="1" ht="15.75" thickBot="1">
      <c r="A39" s="6"/>
      <c r="C39" s="25"/>
      <c r="D39" s="25"/>
      <c r="E39" s="18"/>
      <c r="F39" s="18"/>
      <c r="G39" s="18"/>
      <c r="H39" s="18"/>
      <c r="I39" s="18"/>
      <c r="J39" s="40"/>
      <c r="K39" s="18"/>
      <c r="L39" s="18"/>
      <c r="M39" s="39"/>
      <c r="N39" s="39"/>
      <c r="O39" s="4"/>
      <c r="P39" s="3"/>
    </row>
    <row r="40" spans="1:16" s="20" customFormat="1" ht="16.5" thickBot="1">
      <c r="A40" s="6"/>
      <c r="B40" s="3"/>
      <c r="C40" s="3"/>
      <c r="D40" s="634" t="s">
        <v>63</v>
      </c>
      <c r="E40" s="635"/>
      <c r="F40" s="635"/>
      <c r="G40" s="635"/>
      <c r="H40" s="635"/>
      <c r="I40" s="635"/>
      <c r="J40" s="635"/>
      <c r="K40" s="635"/>
      <c r="L40" s="635"/>
      <c r="M40" s="635"/>
      <c r="N40" s="635"/>
      <c r="O40" s="636"/>
      <c r="P40" s="3"/>
    </row>
    <row r="41" spans="1:16" s="20" customFormat="1" ht="15.75">
      <c r="A41" s="6"/>
      <c r="B41" s="94"/>
      <c r="C41" s="92"/>
      <c r="D41" s="637">
        <v>2014</v>
      </c>
      <c r="E41" s="638"/>
      <c r="F41" s="639"/>
      <c r="G41" s="640"/>
      <c r="H41" s="637">
        <v>2015</v>
      </c>
      <c r="I41" s="639"/>
      <c r="J41" s="639"/>
      <c r="K41" s="640"/>
      <c r="L41" s="637" t="s">
        <v>0</v>
      </c>
      <c r="M41" s="639"/>
      <c r="N41" s="639"/>
      <c r="O41" s="640"/>
      <c r="P41" s="3"/>
    </row>
    <row r="42" spans="1:16" s="20" customFormat="1" ht="15.75">
      <c r="A42" s="6"/>
      <c r="B42" s="87" t="s">
        <v>2</v>
      </c>
      <c r="C42" s="93"/>
      <c r="D42" s="9" t="s">
        <v>238</v>
      </c>
      <c r="E42" s="159" t="s">
        <v>238</v>
      </c>
      <c r="F42" s="498" t="s">
        <v>21</v>
      </c>
      <c r="G42" s="11" t="s">
        <v>21</v>
      </c>
      <c r="H42" s="9" t="s">
        <v>238</v>
      </c>
      <c r="I42" s="159" t="s">
        <v>238</v>
      </c>
      <c r="J42" s="498" t="s">
        <v>21</v>
      </c>
      <c r="K42" s="11" t="s">
        <v>21</v>
      </c>
      <c r="L42" s="9" t="s">
        <v>238</v>
      </c>
      <c r="M42" s="159" t="s">
        <v>238</v>
      </c>
      <c r="N42" s="498" t="s">
        <v>21</v>
      </c>
      <c r="O42" s="11" t="s">
        <v>21</v>
      </c>
      <c r="P42" s="3"/>
    </row>
    <row r="43" spans="1:16" s="20" customFormat="1" ht="16.5" thickBot="1">
      <c r="A43" s="6"/>
      <c r="B43" s="54" t="s">
        <v>3</v>
      </c>
      <c r="C43" s="53" t="s">
        <v>1</v>
      </c>
      <c r="D43" s="468" t="s">
        <v>239</v>
      </c>
      <c r="E43" s="500">
        <v>41437</v>
      </c>
      <c r="F43" s="499" t="s">
        <v>15</v>
      </c>
      <c r="G43" s="13" t="s">
        <v>12</v>
      </c>
      <c r="H43" s="468" t="s">
        <v>239</v>
      </c>
      <c r="I43" s="500">
        <v>41437</v>
      </c>
      <c r="J43" s="499" t="s">
        <v>15</v>
      </c>
      <c r="K43" s="13" t="s">
        <v>12</v>
      </c>
      <c r="L43" s="468" t="s">
        <v>239</v>
      </c>
      <c r="M43" s="500">
        <v>41437</v>
      </c>
      <c r="N43" s="499" t="s">
        <v>15</v>
      </c>
      <c r="O43" s="13" t="s">
        <v>12</v>
      </c>
      <c r="P43" s="3"/>
    </row>
    <row r="44" spans="1:16" s="20" customFormat="1">
      <c r="A44" s="6"/>
      <c r="B44" s="16"/>
      <c r="D44" s="508" t="s">
        <v>4</v>
      </c>
      <c r="E44" s="509" t="s">
        <v>5</v>
      </c>
      <c r="F44" s="509" t="s">
        <v>6</v>
      </c>
      <c r="G44" s="510" t="s">
        <v>7</v>
      </c>
      <c r="H44" s="508" t="s">
        <v>8</v>
      </c>
      <c r="I44" s="509" t="s">
        <v>9</v>
      </c>
      <c r="J44" s="509" t="s">
        <v>11</v>
      </c>
      <c r="K44" s="510" t="s">
        <v>13</v>
      </c>
      <c r="L44" s="508" t="s">
        <v>14</v>
      </c>
      <c r="M44" s="509" t="s">
        <v>240</v>
      </c>
      <c r="N44" s="509" t="s">
        <v>241</v>
      </c>
      <c r="O44" s="510" t="s">
        <v>242</v>
      </c>
      <c r="P44" s="3"/>
    </row>
    <row r="45" spans="1:16" s="20" customFormat="1" ht="18" thickBot="1">
      <c r="A45" s="6"/>
      <c r="B45" s="141" t="s">
        <v>38</v>
      </c>
      <c r="D45" s="16"/>
      <c r="E45" s="112"/>
      <c r="F45" s="112"/>
      <c r="G45" s="128"/>
      <c r="H45" s="127"/>
      <c r="I45" s="112"/>
      <c r="J45" s="129"/>
      <c r="K45" s="128"/>
      <c r="L45" s="127"/>
      <c r="M45" s="112"/>
      <c r="N45" s="129"/>
      <c r="O45" s="128"/>
      <c r="P45" s="3"/>
    </row>
    <row r="46" spans="1:16" s="20" customFormat="1">
      <c r="A46" s="6"/>
      <c r="B46" s="95">
        <v>19</v>
      </c>
      <c r="C46" s="20" t="s">
        <v>10</v>
      </c>
      <c r="D46" s="427">
        <f>'4. OEB_Adjustment_Input_Sheet'!D64</f>
        <v>2511.4923104097775</v>
      </c>
      <c r="E46" s="377">
        <f>'4. OEB_Adjustment_Input_Sheet'!E64</f>
        <v>2511.4923104097775</v>
      </c>
      <c r="F46" s="321">
        <f>G46-E46</f>
        <v>0</v>
      </c>
      <c r="G46" s="300">
        <f>'4. OEB_Adjustment_Input_Sheet'!G64</f>
        <v>2511.4923104097775</v>
      </c>
      <c r="H46" s="427">
        <f>'4. OEB_Adjustment_Input_Sheet'!H64</f>
        <v>2528.1599238359454</v>
      </c>
      <c r="I46" s="377">
        <f>'4. OEB_Adjustment_Input_Sheet'!I64</f>
        <v>2528.1599238359454</v>
      </c>
      <c r="J46" s="364">
        <f>K46-I46</f>
        <v>0</v>
      </c>
      <c r="K46" s="300">
        <f>'4. OEB_Adjustment_Input_Sheet'!K64</f>
        <v>2528.1599238359454</v>
      </c>
      <c r="L46" s="427">
        <f>D46+H46</f>
        <v>5039.6522342457229</v>
      </c>
      <c r="M46" s="377">
        <f>E46+I46</f>
        <v>5039.6522342457229</v>
      </c>
      <c r="N46" s="364">
        <f>O46-M46</f>
        <v>0</v>
      </c>
      <c r="O46" s="300">
        <f>G46+K46</f>
        <v>5039.6522342457229</v>
      </c>
      <c r="P46" s="205"/>
    </row>
    <row r="47" spans="1:16" s="20" customFormat="1">
      <c r="A47" s="6"/>
      <c r="B47" s="95">
        <v>20</v>
      </c>
      <c r="C47" s="85" t="s">
        <v>70</v>
      </c>
      <c r="D47" s="551" t="s">
        <v>17</v>
      </c>
      <c r="E47" s="115" t="s">
        <v>17</v>
      </c>
      <c r="F47" s="115" t="s">
        <v>17</v>
      </c>
      <c r="G47" s="298" t="s">
        <v>17</v>
      </c>
      <c r="H47" s="551" t="s">
        <v>17</v>
      </c>
      <c r="I47" s="115" t="s">
        <v>17</v>
      </c>
      <c r="J47" s="115" t="s">
        <v>17</v>
      </c>
      <c r="K47" s="298" t="s">
        <v>17</v>
      </c>
      <c r="L47" s="551" t="s">
        <v>17</v>
      </c>
      <c r="M47" s="115" t="s">
        <v>17</v>
      </c>
      <c r="N47" s="115" t="s">
        <v>17</v>
      </c>
      <c r="O47" s="298" t="s">
        <v>17</v>
      </c>
      <c r="P47" s="3"/>
    </row>
    <row r="48" spans="1:16" s="20" customFormat="1" ht="16.5" thickBot="1">
      <c r="A48" s="6"/>
      <c r="B48" s="95">
        <v>21</v>
      </c>
      <c r="C48" s="17" t="s">
        <v>40</v>
      </c>
      <c r="D48" s="331">
        <f>D46</f>
        <v>2511.4923104097775</v>
      </c>
      <c r="E48" s="566">
        <f>E46</f>
        <v>2511.4923104097775</v>
      </c>
      <c r="F48" s="567">
        <f t="shared" ref="F48:K48" si="12">F46</f>
        <v>0</v>
      </c>
      <c r="G48" s="569">
        <f t="shared" si="12"/>
        <v>2511.4923104097775</v>
      </c>
      <c r="H48" s="331">
        <f t="shared" si="12"/>
        <v>2528.1599238359454</v>
      </c>
      <c r="I48" s="537">
        <f t="shared" si="12"/>
        <v>2528.1599238359454</v>
      </c>
      <c r="J48" s="568">
        <f t="shared" si="12"/>
        <v>0</v>
      </c>
      <c r="K48" s="569">
        <f t="shared" si="12"/>
        <v>2528.1599238359454</v>
      </c>
      <c r="L48" s="365">
        <f>L46</f>
        <v>5039.6522342457229</v>
      </c>
      <c r="M48" s="566">
        <f>M46</f>
        <v>5039.6522342457229</v>
      </c>
      <c r="N48" s="568">
        <f>N46</f>
        <v>0</v>
      </c>
      <c r="O48" s="569">
        <f t="shared" ref="O48" si="13">O46</f>
        <v>5039.6522342457229</v>
      </c>
      <c r="P48" s="3"/>
    </row>
    <row r="49" spans="1:16" s="20" customFormat="1" ht="18" thickBot="1">
      <c r="A49" s="6"/>
      <c r="B49" s="67"/>
      <c r="C49" s="25"/>
      <c r="D49" s="552"/>
      <c r="E49" s="29"/>
      <c r="F49" s="18"/>
      <c r="G49" s="19"/>
      <c r="H49" s="552"/>
      <c r="I49" s="29"/>
      <c r="J49" s="366"/>
      <c r="K49" s="19"/>
      <c r="L49" s="552"/>
      <c r="M49" s="29"/>
      <c r="N49" s="366"/>
      <c r="O49" s="19"/>
      <c r="P49" s="3"/>
    </row>
    <row r="50" spans="1:16" s="20" customFormat="1" ht="16.5" thickBot="1">
      <c r="A50" s="6"/>
      <c r="B50" s="95">
        <v>22</v>
      </c>
      <c r="C50" s="17" t="s">
        <v>27</v>
      </c>
      <c r="D50" s="352">
        <f>D48*'4. OEB_Adjustment_Input_Sheet'!D8</f>
        <v>1180.4013858925953</v>
      </c>
      <c r="E50" s="534">
        <f>E48*'4. OEB_Adjustment_Input_Sheet'!E8</f>
        <v>1180.4013858925953</v>
      </c>
      <c r="F50" s="354">
        <f>G50-E50</f>
        <v>0</v>
      </c>
      <c r="G50" s="353">
        <f>G48*'4. OEB_Adjustment_Input_Sheet'!G8</f>
        <v>1180.4013858925953</v>
      </c>
      <c r="H50" s="352">
        <f>H48*'4. OEB_Adjustment_Input_Sheet'!H8</f>
        <v>1188.2351642028943</v>
      </c>
      <c r="I50" s="534">
        <f>I48*'4. OEB_Adjustment_Input_Sheet'!I8</f>
        <v>1188.2351642028943</v>
      </c>
      <c r="J50" s="367">
        <f>K50-I50</f>
        <v>0</v>
      </c>
      <c r="K50" s="353">
        <f>K48*'4. OEB_Adjustment_Input_Sheet'!K8</f>
        <v>1188.2351642028943</v>
      </c>
      <c r="L50" s="352">
        <f>D50+H50</f>
        <v>2368.6365500954898</v>
      </c>
      <c r="M50" s="534">
        <f>E50+I50</f>
        <v>2368.6365500954898</v>
      </c>
      <c r="N50" s="367">
        <f>O50-M50</f>
        <v>0</v>
      </c>
      <c r="O50" s="353">
        <f>G50+K50</f>
        <v>2368.6365500954898</v>
      </c>
      <c r="P50" s="3"/>
    </row>
    <row r="51" spans="1:16" s="20" customFormat="1" ht="18" thickBot="1">
      <c r="A51" s="6"/>
      <c r="B51" s="69"/>
      <c r="C51" s="25"/>
      <c r="D51" s="107"/>
      <c r="E51" s="18"/>
      <c r="F51" s="18"/>
      <c r="G51" s="19"/>
      <c r="H51" s="107"/>
      <c r="I51" s="18"/>
      <c r="J51" s="366"/>
      <c r="K51" s="19"/>
      <c r="L51" s="107"/>
      <c r="M51" s="18"/>
      <c r="N51" s="366"/>
      <c r="O51" s="19"/>
      <c r="P51" s="3"/>
    </row>
    <row r="52" spans="1:16" s="20" customFormat="1">
      <c r="A52" s="6"/>
      <c r="B52" s="95">
        <v>23</v>
      </c>
      <c r="C52" s="20" t="s">
        <v>41</v>
      </c>
      <c r="D52" s="427">
        <f>D48-D50</f>
        <v>1331.0909245171822</v>
      </c>
      <c r="E52" s="377">
        <f>E48-E50</f>
        <v>1331.0909245171822</v>
      </c>
      <c r="F52" s="321">
        <f>G52-E52</f>
        <v>0</v>
      </c>
      <c r="G52" s="300">
        <f>G48-G50</f>
        <v>1331.0909245171822</v>
      </c>
      <c r="H52" s="427">
        <f>H48-H50</f>
        <v>1339.9247596330511</v>
      </c>
      <c r="I52" s="377">
        <f>I48-I50</f>
        <v>1339.9247596330511</v>
      </c>
      <c r="J52" s="364">
        <f>K52-I52</f>
        <v>0</v>
      </c>
      <c r="K52" s="300">
        <f>K48-K50</f>
        <v>1339.9247596330511</v>
      </c>
      <c r="L52" s="427">
        <f>L48-L50</f>
        <v>2671.015684150233</v>
      </c>
      <c r="M52" s="377">
        <f>M48-M50</f>
        <v>2671.015684150233</v>
      </c>
      <c r="N52" s="364">
        <f>O52-M52</f>
        <v>0</v>
      </c>
      <c r="O52" s="300">
        <f>O48-O50</f>
        <v>2671.015684150233</v>
      </c>
      <c r="P52" s="3"/>
    </row>
    <row r="53" spans="1:16" s="20" customFormat="1">
      <c r="A53" s="6"/>
      <c r="B53" s="95">
        <v>24</v>
      </c>
      <c r="C53" s="85" t="s">
        <v>129</v>
      </c>
      <c r="D53" s="430">
        <f>D12*'4. OEB_Adjustment_Input_Sheet'!D22</f>
        <v>48.487105412125736</v>
      </c>
      <c r="E53" s="400">
        <f>E12*'4. OEB_Adjustment_Input_Sheet'!E22</f>
        <v>48.487105412125736</v>
      </c>
      <c r="F53" s="319">
        <f t="shared" ref="F53:F54" si="14">G53-E53</f>
        <v>0</v>
      </c>
      <c r="G53" s="309">
        <f>G12*'4. OEB_Adjustment_Input_Sheet'!G22</f>
        <v>48.487105412125736</v>
      </c>
      <c r="H53" s="430">
        <f>H12*'4. OEB_Adjustment_Input_Sheet'!H22</f>
        <v>48.777823271695453</v>
      </c>
      <c r="I53" s="400">
        <f>I12*'4. OEB_Adjustment_Input_Sheet'!I22</f>
        <v>48.777823271695453</v>
      </c>
      <c r="J53" s="368">
        <f>K53-I53</f>
        <v>0</v>
      </c>
      <c r="K53" s="309">
        <f>K12*'4. OEB_Adjustment_Input_Sheet'!K22</f>
        <v>48.777823271695453</v>
      </c>
      <c r="L53" s="430">
        <f>D53+H53</f>
        <v>97.264928683821182</v>
      </c>
      <c r="M53" s="400">
        <f>E53+I53</f>
        <v>97.264928683821182</v>
      </c>
      <c r="N53" s="368">
        <f>O53-M53</f>
        <v>0</v>
      </c>
      <c r="O53" s="309">
        <f>G53+K53</f>
        <v>97.264928683821182</v>
      </c>
      <c r="P53" s="3"/>
    </row>
    <row r="54" spans="1:16" s="20" customFormat="1">
      <c r="A54" s="6"/>
      <c r="B54" s="95">
        <v>25</v>
      </c>
      <c r="C54" s="85" t="s">
        <v>29</v>
      </c>
      <c r="D54" s="553">
        <f>D12*'4. OEB_Adjustment_Input_Sheet'!D23</f>
        <v>850.72773807198064</v>
      </c>
      <c r="E54" s="400">
        <f>E12*'4. OEB_Adjustment_Input_Sheet'!E23</f>
        <v>850.72773807198064</v>
      </c>
      <c r="F54" s="319">
        <f t="shared" si="14"/>
        <v>0</v>
      </c>
      <c r="G54" s="309">
        <f>G12*'4. OEB_Adjustment_Input_Sheet'!G23</f>
        <v>850.72773807198064</v>
      </c>
      <c r="H54" s="553">
        <f>H12*'4. OEB_Adjustment_Input_Sheet'!H23</f>
        <v>883.46258745961643</v>
      </c>
      <c r="I54" s="400">
        <f>I12*'4. OEB_Adjustment_Input_Sheet'!I23</f>
        <v>883.46258745961643</v>
      </c>
      <c r="J54" s="368">
        <f t="shared" ref="J54" si="15">K54-I54</f>
        <v>0</v>
      </c>
      <c r="K54" s="309">
        <f>K12*'4. OEB_Adjustment_Input_Sheet'!K23</f>
        <v>883.46258745961643</v>
      </c>
      <c r="L54" s="553">
        <f>D54+H54</f>
        <v>1734.190325531597</v>
      </c>
      <c r="M54" s="400">
        <f>E54+I54</f>
        <v>1734.190325531597</v>
      </c>
      <c r="N54" s="368">
        <f t="shared" ref="N54" si="16">O54-M54</f>
        <v>0</v>
      </c>
      <c r="O54" s="309">
        <f>G54+K54</f>
        <v>1734.190325531597</v>
      </c>
      <c r="P54" s="3"/>
    </row>
    <row r="55" spans="1:16" ht="16.5" thickBot="1">
      <c r="A55" s="6"/>
      <c r="B55" s="95">
        <v>26</v>
      </c>
      <c r="C55" s="17" t="s">
        <v>24</v>
      </c>
      <c r="D55" s="313">
        <f>D52-D53-D54</f>
        <v>431.87608103307593</v>
      </c>
      <c r="E55" s="538">
        <f>E52-E53-E54</f>
        <v>431.87608103307593</v>
      </c>
      <c r="F55" s="567">
        <f>G55-E55</f>
        <v>0</v>
      </c>
      <c r="G55" s="569">
        <f t="shared" ref="G55:I55" si="17">G52-G53-G54</f>
        <v>431.87608103307593</v>
      </c>
      <c r="H55" s="313">
        <f t="shared" si="17"/>
        <v>407.6843489017391</v>
      </c>
      <c r="I55" s="538">
        <f t="shared" si="17"/>
        <v>407.6843489017391</v>
      </c>
      <c r="J55" s="568">
        <f>K55-I55</f>
        <v>0</v>
      </c>
      <c r="K55" s="569">
        <f>K52-K53-K54</f>
        <v>407.6843489017391</v>
      </c>
      <c r="L55" s="313">
        <f>L52-L53-L54</f>
        <v>839.56042993481469</v>
      </c>
      <c r="M55" s="538">
        <f>M52-M53-M54</f>
        <v>839.56042993481469</v>
      </c>
      <c r="N55" s="568">
        <f>O55-M55</f>
        <v>0</v>
      </c>
      <c r="O55" s="569">
        <f>O52-O53-O54</f>
        <v>839.56042993481469</v>
      </c>
    </row>
    <row r="56" spans="1:16" ht="17.25">
      <c r="A56" s="6"/>
      <c r="B56" s="140"/>
      <c r="C56" s="20"/>
      <c r="D56" s="335"/>
      <c r="E56" s="35"/>
      <c r="F56" s="18"/>
      <c r="G56" s="334"/>
      <c r="H56" s="335"/>
      <c r="I56" s="35"/>
      <c r="J56" s="366"/>
      <c r="K56" s="334"/>
      <c r="L56" s="335"/>
      <c r="M56" s="35"/>
      <c r="N56" s="366"/>
      <c r="O56" s="334"/>
    </row>
    <row r="57" spans="1:16" ht="18" thickBot="1">
      <c r="A57" s="6"/>
      <c r="B57" s="141" t="s">
        <v>46</v>
      </c>
      <c r="C57" s="20"/>
      <c r="D57" s="107"/>
      <c r="E57" s="18"/>
      <c r="F57" s="18"/>
      <c r="G57" s="19"/>
      <c r="H57" s="107"/>
      <c r="I57" s="18"/>
      <c r="J57" s="366"/>
      <c r="K57" s="19"/>
      <c r="L57" s="107"/>
      <c r="M57" s="18"/>
      <c r="N57" s="366"/>
      <c r="O57" s="19"/>
    </row>
    <row r="58" spans="1:16" ht="15.75" thickBot="1">
      <c r="A58" s="6"/>
      <c r="B58" s="95">
        <v>27</v>
      </c>
      <c r="C58" s="85" t="s">
        <v>70</v>
      </c>
      <c r="D58" s="570" t="s">
        <v>17</v>
      </c>
      <c r="E58" s="369" t="s">
        <v>17</v>
      </c>
      <c r="F58" s="369" t="s">
        <v>17</v>
      </c>
      <c r="G58" s="370" t="s">
        <v>17</v>
      </c>
      <c r="H58" s="570" t="s">
        <v>17</v>
      </c>
      <c r="I58" s="369" t="s">
        <v>17</v>
      </c>
      <c r="J58" s="369" t="s">
        <v>17</v>
      </c>
      <c r="K58" s="370" t="s">
        <v>17</v>
      </c>
      <c r="L58" s="570" t="s">
        <v>17</v>
      </c>
      <c r="M58" s="369" t="s">
        <v>17</v>
      </c>
      <c r="N58" s="369" t="s">
        <v>17</v>
      </c>
      <c r="O58" s="370" t="s">
        <v>17</v>
      </c>
    </row>
    <row r="59" spans="1:16" ht="18" thickBot="1">
      <c r="A59" s="6"/>
      <c r="B59" s="69"/>
      <c r="C59" s="25"/>
      <c r="D59" s="573"/>
      <c r="E59" s="29"/>
      <c r="F59" s="18"/>
      <c r="G59" s="19"/>
      <c r="H59" s="573"/>
      <c r="I59" s="29"/>
      <c r="J59" s="366"/>
      <c r="K59" s="19"/>
      <c r="L59" s="552"/>
      <c r="M59" s="29"/>
      <c r="N59" s="366"/>
      <c r="O59" s="19"/>
    </row>
    <row r="60" spans="1:16" ht="16.5" thickBot="1">
      <c r="A60" s="6"/>
      <c r="B60" s="95">
        <v>28</v>
      </c>
      <c r="C60" s="17" t="s">
        <v>27</v>
      </c>
      <c r="D60" s="352">
        <f>D50*'4. OEB_Adjustment_Input_Sheet'!D18</f>
        <v>106.00004445315506</v>
      </c>
      <c r="E60" s="534">
        <f>E50*'4. OEB_Adjustment_Input_Sheet'!E18</f>
        <v>106.00004445315506</v>
      </c>
      <c r="F60" s="354">
        <f>G60-E60</f>
        <v>0</v>
      </c>
      <c r="G60" s="371">
        <f>G50*'4. OEB_Adjustment_Input_Sheet'!G18</f>
        <v>106.00004445315506</v>
      </c>
      <c r="H60" s="352">
        <f>H50*'4. OEB_Adjustment_Input_Sheet'!H18</f>
        <v>106.70351774541992</v>
      </c>
      <c r="I60" s="534">
        <f>I50*'4. OEB_Adjustment_Input_Sheet'!I18</f>
        <v>106.70351774541992</v>
      </c>
      <c r="J60" s="367">
        <f>K60-I60</f>
        <v>0</v>
      </c>
      <c r="K60" s="353">
        <f>K50*'4. OEB_Adjustment_Input_Sheet'!K18</f>
        <v>106.70351774541992</v>
      </c>
      <c r="L60" s="352">
        <f>D60+H60</f>
        <v>212.70356219857496</v>
      </c>
      <c r="M60" s="534">
        <f>E60+I60</f>
        <v>212.70356219857496</v>
      </c>
      <c r="N60" s="367">
        <f>O60-M60</f>
        <v>0</v>
      </c>
      <c r="O60" s="353">
        <f>G60+K60</f>
        <v>212.70356219857496</v>
      </c>
    </row>
    <row r="61" spans="1:16" ht="18" thickBot="1">
      <c r="A61" s="6"/>
      <c r="B61" s="69"/>
      <c r="C61" s="25"/>
      <c r="D61" s="107"/>
      <c r="E61" s="18"/>
      <c r="F61" s="18"/>
      <c r="G61" s="19"/>
      <c r="H61" s="107"/>
      <c r="I61" s="18"/>
      <c r="J61" s="366"/>
      <c r="K61" s="19"/>
      <c r="L61" s="107"/>
      <c r="M61" s="18"/>
      <c r="N61" s="366"/>
      <c r="O61" s="19"/>
    </row>
    <row r="62" spans="1:16">
      <c r="A62" s="6"/>
      <c r="B62" s="95">
        <v>29</v>
      </c>
      <c r="C62" s="20" t="s">
        <v>29</v>
      </c>
      <c r="D62" s="427">
        <f>D54*'4. OEB_Adjustment_Input_Sheet'!D16</f>
        <v>41.261633933848628</v>
      </c>
      <c r="E62" s="377">
        <f>E54*'4. OEB_Adjustment_Input_Sheet'!E16</f>
        <v>41.261633933848628</v>
      </c>
      <c r="F62" s="321">
        <f t="shared" ref="F62" si="18">G62-E62</f>
        <v>0</v>
      </c>
      <c r="G62" s="300">
        <f>G54*'4. OEB_Adjustment_Input_Sheet'!G16</f>
        <v>41.261633933848628</v>
      </c>
      <c r="H62" s="427">
        <f>H54*'4. OEB_Adjustment_Input_Sheet'!H16</f>
        <v>42.935497258521373</v>
      </c>
      <c r="I62" s="377">
        <f>I54*'4. OEB_Adjustment_Input_Sheet'!I16</f>
        <v>42.935497258521373</v>
      </c>
      <c r="J62" s="364">
        <f t="shared" ref="J62:J63" si="19">K62-I62</f>
        <v>0</v>
      </c>
      <c r="K62" s="300">
        <f>K54*'4. OEB_Adjustment_Input_Sheet'!K16</f>
        <v>42.935497258521373</v>
      </c>
      <c r="L62" s="427">
        <f>D62+H62</f>
        <v>84.197131192369994</v>
      </c>
      <c r="M62" s="377">
        <f>E62+I62</f>
        <v>84.197131192369994</v>
      </c>
      <c r="N62" s="364">
        <f t="shared" ref="N62:N63" si="20">O62-M62</f>
        <v>0</v>
      </c>
      <c r="O62" s="300">
        <f>G62+K62</f>
        <v>84.197131192369994</v>
      </c>
    </row>
    <row r="63" spans="1:16" ht="15.75" thickBot="1">
      <c r="A63" s="6"/>
      <c r="B63" s="96">
        <v>30</v>
      </c>
      <c r="C63" s="32" t="s">
        <v>42</v>
      </c>
      <c r="D63" s="550">
        <f>D55*'4. OEB_Adjustment_Input_Sheet'!D17</f>
        <v>20.946669495880681</v>
      </c>
      <c r="E63" s="490">
        <f>E55*'4. OEB_Adjustment_Input_Sheet'!E17</f>
        <v>20.946669495880681</v>
      </c>
      <c r="F63" s="372">
        <f>G63-E63</f>
        <v>0</v>
      </c>
      <c r="G63" s="320">
        <f>G55*'4. OEB_Adjustment_Input_Sheet'!G17</f>
        <v>20.946669495880681</v>
      </c>
      <c r="H63" s="550">
        <f>H55*'4. OEB_Adjustment_Input_Sheet'!H17</f>
        <v>19.813097343426342</v>
      </c>
      <c r="I63" s="490">
        <f>I55*'4. OEB_Adjustment_Input_Sheet'!I17</f>
        <v>19.813097343426342</v>
      </c>
      <c r="J63" s="373">
        <f t="shared" si="19"/>
        <v>0</v>
      </c>
      <c r="K63" s="320">
        <f>K55*'4. OEB_Adjustment_Input_Sheet'!K17</f>
        <v>19.813097343426342</v>
      </c>
      <c r="L63" s="550">
        <f>D63+H63</f>
        <v>40.759766839307019</v>
      </c>
      <c r="M63" s="490">
        <f>E63+I63</f>
        <v>40.759766839307019</v>
      </c>
      <c r="N63" s="373">
        <f t="shared" si="20"/>
        <v>0</v>
      </c>
      <c r="O63" s="320">
        <f>G63+K63</f>
        <v>40.759766839307019</v>
      </c>
    </row>
    <row r="64" spans="1:16" ht="15.75" thickBot="1">
      <c r="A64" s="6"/>
      <c r="B64" s="104"/>
      <c r="C64" s="20"/>
      <c r="D64" s="20"/>
      <c r="E64" s="112"/>
      <c r="F64" s="112"/>
      <c r="G64" s="112"/>
      <c r="H64" s="112"/>
      <c r="I64" s="112"/>
      <c r="J64" s="287"/>
      <c r="K64" s="112"/>
      <c r="L64" s="112"/>
      <c r="M64" s="112"/>
      <c r="N64" s="287"/>
      <c r="O64" s="112"/>
    </row>
    <row r="65" spans="2:15" ht="12.75" customHeight="1" thickBot="1">
      <c r="C65" s="20"/>
      <c r="D65" s="634" t="s">
        <v>23</v>
      </c>
      <c r="E65" s="635"/>
      <c r="F65" s="635"/>
      <c r="G65" s="635"/>
      <c r="H65" s="635"/>
      <c r="I65" s="635"/>
      <c r="J65" s="635"/>
      <c r="K65" s="635"/>
      <c r="L65" s="635"/>
      <c r="M65" s="635"/>
      <c r="N65" s="635"/>
      <c r="O65" s="636"/>
    </row>
    <row r="66" spans="2:15" ht="15.75">
      <c r="B66" s="94"/>
      <c r="C66" s="92"/>
      <c r="D66" s="637">
        <v>2014</v>
      </c>
      <c r="E66" s="638"/>
      <c r="F66" s="639"/>
      <c r="G66" s="640"/>
      <c r="H66" s="637">
        <v>2015</v>
      </c>
      <c r="I66" s="639"/>
      <c r="J66" s="639"/>
      <c r="K66" s="640"/>
      <c r="L66" s="637" t="s">
        <v>0</v>
      </c>
      <c r="M66" s="639"/>
      <c r="N66" s="639"/>
      <c r="O66" s="640"/>
    </row>
    <row r="67" spans="2:15" ht="15.75">
      <c r="B67" s="87" t="s">
        <v>2</v>
      </c>
      <c r="C67" s="93"/>
      <c r="D67" s="9" t="s">
        <v>238</v>
      </c>
      <c r="E67" s="159" t="s">
        <v>238</v>
      </c>
      <c r="F67" s="498" t="s">
        <v>21</v>
      </c>
      <c r="G67" s="11" t="s">
        <v>21</v>
      </c>
      <c r="H67" s="9" t="s">
        <v>238</v>
      </c>
      <c r="I67" s="159" t="s">
        <v>238</v>
      </c>
      <c r="J67" s="498" t="s">
        <v>21</v>
      </c>
      <c r="K67" s="11" t="s">
        <v>21</v>
      </c>
      <c r="L67" s="9" t="s">
        <v>238</v>
      </c>
      <c r="M67" s="159" t="s">
        <v>238</v>
      </c>
      <c r="N67" s="498" t="s">
        <v>21</v>
      </c>
      <c r="O67" s="11" t="s">
        <v>21</v>
      </c>
    </row>
    <row r="68" spans="2:15" ht="16.5" thickBot="1">
      <c r="B68" s="54" t="s">
        <v>3</v>
      </c>
      <c r="C68" s="53" t="s">
        <v>1</v>
      </c>
      <c r="D68" s="468" t="s">
        <v>239</v>
      </c>
      <c r="E68" s="500">
        <v>41437</v>
      </c>
      <c r="F68" s="499" t="s">
        <v>15</v>
      </c>
      <c r="G68" s="13" t="s">
        <v>12</v>
      </c>
      <c r="H68" s="468" t="s">
        <v>239</v>
      </c>
      <c r="I68" s="500">
        <v>41437</v>
      </c>
      <c r="J68" s="499" t="s">
        <v>15</v>
      </c>
      <c r="K68" s="13" t="s">
        <v>12</v>
      </c>
      <c r="L68" s="468" t="s">
        <v>239</v>
      </c>
      <c r="M68" s="500">
        <v>41437</v>
      </c>
      <c r="N68" s="499" t="s">
        <v>15</v>
      </c>
      <c r="O68" s="13" t="s">
        <v>12</v>
      </c>
    </row>
    <row r="69" spans="2:15">
      <c r="B69" s="16"/>
      <c r="C69" s="20"/>
      <c r="D69" s="508" t="s">
        <v>4</v>
      </c>
      <c r="E69" s="509" t="s">
        <v>5</v>
      </c>
      <c r="F69" s="509" t="s">
        <v>6</v>
      </c>
      <c r="G69" s="510" t="s">
        <v>7</v>
      </c>
      <c r="H69" s="508" t="s">
        <v>8</v>
      </c>
      <c r="I69" s="509" t="s">
        <v>9</v>
      </c>
      <c r="J69" s="509" t="s">
        <v>11</v>
      </c>
      <c r="K69" s="510" t="s">
        <v>13</v>
      </c>
      <c r="L69" s="508" t="s">
        <v>14</v>
      </c>
      <c r="M69" s="509" t="s">
        <v>240</v>
      </c>
      <c r="N69" s="509" t="s">
        <v>241</v>
      </c>
      <c r="O69" s="510" t="s">
        <v>242</v>
      </c>
    </row>
    <row r="70" spans="2:15" ht="18" thickBot="1">
      <c r="B70" s="141" t="s">
        <v>38</v>
      </c>
      <c r="C70" s="20"/>
      <c r="D70" s="16"/>
      <c r="E70" s="112"/>
      <c r="F70" s="112"/>
      <c r="G70" s="128"/>
      <c r="H70" s="127"/>
      <c r="I70" s="112"/>
      <c r="J70" s="129"/>
      <c r="K70" s="128"/>
      <c r="L70" s="127"/>
      <c r="M70" s="112"/>
      <c r="N70" s="129"/>
      <c r="O70" s="128"/>
    </row>
    <row r="71" spans="2:15">
      <c r="B71" s="95">
        <v>31</v>
      </c>
      <c r="C71" s="20" t="s">
        <v>10</v>
      </c>
      <c r="D71" s="427">
        <f>'4. OEB_Adjustment_Input_Sheet'!D91</f>
        <v>3706.6745017898493</v>
      </c>
      <c r="E71" s="377">
        <f>'4. OEB_Adjustment_Input_Sheet'!E91</f>
        <v>3706.6745017898493</v>
      </c>
      <c r="F71" s="321">
        <f>G71-E71</f>
        <v>0</v>
      </c>
      <c r="G71" s="300">
        <f>'4. OEB_Adjustment_Input_Sheet'!G91</f>
        <v>3706.6745017898493</v>
      </c>
      <c r="H71" s="427">
        <f>'4. OEB_Adjustment_Input_Sheet'!H91</f>
        <v>3658.9987803372182</v>
      </c>
      <c r="I71" s="377">
        <f>'4. OEB_Adjustment_Input_Sheet'!I91</f>
        <v>3658.9987803372182</v>
      </c>
      <c r="J71" s="364">
        <f>K71-I71</f>
        <v>0</v>
      </c>
      <c r="K71" s="321">
        <f>'4. OEB_Adjustment_Input_Sheet'!K91</f>
        <v>3658.9987803372182</v>
      </c>
      <c r="L71" s="427">
        <f>D71+H71</f>
        <v>7365.6732821270671</v>
      </c>
      <c r="M71" s="377">
        <f>E71+I71</f>
        <v>7365.6732821270671</v>
      </c>
      <c r="N71" s="364">
        <f>O71-M71</f>
        <v>0</v>
      </c>
      <c r="O71" s="300">
        <f>G71+K71</f>
        <v>7365.6732821270671</v>
      </c>
    </row>
    <row r="72" spans="2:15">
      <c r="B72" s="95">
        <v>32</v>
      </c>
      <c r="C72" s="85" t="s">
        <v>70</v>
      </c>
      <c r="D72" s="553">
        <f>'4. OEB_Adjustment_Input_Sheet'!D24</f>
        <v>1389.4679442144143</v>
      </c>
      <c r="E72" s="536">
        <f>'4. OEB_Adjustment_Input_Sheet'!E24</f>
        <v>1389.4679442144143</v>
      </c>
      <c r="F72" s="576">
        <f>G72-E72</f>
        <v>0</v>
      </c>
      <c r="G72" s="577">
        <f>'4. OEB_Adjustment_Input_Sheet'!G24</f>
        <v>1389.4679442144143</v>
      </c>
      <c r="H72" s="553">
        <f>'4. OEB_Adjustment_Input_Sheet'!H24</f>
        <v>1308.7679442144145</v>
      </c>
      <c r="I72" s="536">
        <f>'4. OEB_Adjustment_Input_Sheet'!I24</f>
        <v>1308.7679442144145</v>
      </c>
      <c r="J72" s="576">
        <f>K72-I72</f>
        <v>0</v>
      </c>
      <c r="K72" s="576">
        <f>'4. OEB_Adjustment_Input_Sheet'!K24</f>
        <v>1308.7679442144145</v>
      </c>
      <c r="L72" s="553">
        <f>D72+H72</f>
        <v>2698.2358884288287</v>
      </c>
      <c r="M72" s="536">
        <f>E72+I72</f>
        <v>2698.2358884288287</v>
      </c>
      <c r="N72" s="576">
        <f>O72-M72</f>
        <v>0</v>
      </c>
      <c r="O72" s="577">
        <f>G72+K72</f>
        <v>2698.2358884288287</v>
      </c>
    </row>
    <row r="73" spans="2:15" ht="16.5" thickBot="1">
      <c r="B73" s="95">
        <v>33</v>
      </c>
      <c r="C73" s="17" t="s">
        <v>40</v>
      </c>
      <c r="D73" s="331">
        <f>D71-D72</f>
        <v>2317.206557575435</v>
      </c>
      <c r="E73" s="566">
        <f>E71-E72</f>
        <v>2317.206557575435</v>
      </c>
      <c r="F73" s="567">
        <f>G73-E73</f>
        <v>0</v>
      </c>
      <c r="G73" s="569">
        <f>G71-G72</f>
        <v>2317.206557575435</v>
      </c>
      <c r="H73" s="331">
        <f>H71-H72</f>
        <v>2350.2308361228038</v>
      </c>
      <c r="I73" s="537">
        <f>I71-I72</f>
        <v>2350.2308361228038</v>
      </c>
      <c r="J73" s="568">
        <f>K73-I73</f>
        <v>0</v>
      </c>
      <c r="K73" s="567">
        <f>K71-K72</f>
        <v>2350.2308361228038</v>
      </c>
      <c r="L73" s="365">
        <f>L71-L72</f>
        <v>4667.4373936982383</v>
      </c>
      <c r="M73" s="566">
        <f>M71-M72</f>
        <v>4667.4373936982383</v>
      </c>
      <c r="N73" s="568">
        <f>O73-M73</f>
        <v>0</v>
      </c>
      <c r="O73" s="569">
        <f>O71-O72</f>
        <v>4667.4373936982383</v>
      </c>
    </row>
    <row r="74" spans="2:15" ht="18" thickBot="1">
      <c r="B74" s="67"/>
      <c r="C74" s="25"/>
      <c r="D74" s="574"/>
      <c r="E74" s="29"/>
      <c r="F74" s="18"/>
      <c r="G74" s="19"/>
      <c r="H74" s="574"/>
      <c r="I74" s="29"/>
      <c r="J74" s="366"/>
      <c r="K74" s="19"/>
      <c r="L74" s="552"/>
      <c r="M74" s="29"/>
      <c r="N74" s="366"/>
      <c r="O74" s="19"/>
    </row>
    <row r="75" spans="2:15" ht="16.5" thickBot="1">
      <c r="B75" s="95">
        <v>34</v>
      </c>
      <c r="C75" s="17" t="s">
        <v>27</v>
      </c>
      <c r="D75" s="352">
        <f>D73*'4. OEB_Adjustment_Input_Sheet'!D8</f>
        <v>1089.0870820604543</v>
      </c>
      <c r="E75" s="534">
        <f>E73*'4. OEB_Adjustment_Input_Sheet'!E8</f>
        <v>1089.0870820604543</v>
      </c>
      <c r="F75" s="354">
        <f>G75-E75</f>
        <v>0</v>
      </c>
      <c r="G75" s="353">
        <f>G73*'4. OEB_Adjustment_Input_Sheet'!G8</f>
        <v>1089.0870820604543</v>
      </c>
      <c r="H75" s="352">
        <f>H73*'4. OEB_Adjustment_Input_Sheet'!H8</f>
        <v>1104.6084929777178</v>
      </c>
      <c r="I75" s="534">
        <f>I73*'4. OEB_Adjustment_Input_Sheet'!I8</f>
        <v>1104.6084929777178</v>
      </c>
      <c r="J75" s="367">
        <f>K75-I75</f>
        <v>0</v>
      </c>
      <c r="K75" s="353">
        <f>K73*'4. OEB_Adjustment_Input_Sheet'!K8</f>
        <v>1104.6084929777178</v>
      </c>
      <c r="L75" s="352">
        <f>D75+H75</f>
        <v>2193.6955750381721</v>
      </c>
      <c r="M75" s="534">
        <f>E75+I75</f>
        <v>2193.6955750381721</v>
      </c>
      <c r="N75" s="367">
        <f>O75-M75</f>
        <v>0</v>
      </c>
      <c r="O75" s="353">
        <f>G75+K75</f>
        <v>2193.6955750381721</v>
      </c>
    </row>
    <row r="76" spans="2:15" ht="18" thickBot="1">
      <c r="B76" s="69"/>
      <c r="C76" s="25"/>
      <c r="D76" s="107"/>
      <c r="E76" s="18"/>
      <c r="F76" s="18"/>
      <c r="G76" s="19"/>
      <c r="H76" s="107"/>
      <c r="I76" s="18"/>
      <c r="J76" s="366"/>
      <c r="K76" s="19"/>
      <c r="L76" s="107"/>
      <c r="M76" s="18"/>
      <c r="N76" s="366"/>
      <c r="O76" s="19"/>
    </row>
    <row r="77" spans="2:15">
      <c r="B77" s="95">
        <v>35</v>
      </c>
      <c r="C77" s="20" t="s">
        <v>41</v>
      </c>
      <c r="D77" s="427">
        <f>D73-D75</f>
        <v>1228.1194755149806</v>
      </c>
      <c r="E77" s="377">
        <f>E73-E75</f>
        <v>1228.1194755149806</v>
      </c>
      <c r="F77" s="321">
        <f>G77-E77</f>
        <v>0</v>
      </c>
      <c r="G77" s="300">
        <f>G73-G75</f>
        <v>1228.1194755149806</v>
      </c>
      <c r="H77" s="427">
        <f>H73-H75</f>
        <v>1245.622343145086</v>
      </c>
      <c r="I77" s="377">
        <f>I73-I75</f>
        <v>1245.622343145086</v>
      </c>
      <c r="J77" s="364">
        <f>K77-I77</f>
        <v>0</v>
      </c>
      <c r="K77" s="300">
        <f>K73-K75</f>
        <v>1245.622343145086</v>
      </c>
      <c r="L77" s="427">
        <f>L73-L75</f>
        <v>2473.7418186600662</v>
      </c>
      <c r="M77" s="377">
        <f>M73-M75</f>
        <v>2473.7418186600662</v>
      </c>
      <c r="N77" s="364">
        <f>O77-M77</f>
        <v>0</v>
      </c>
      <c r="O77" s="300">
        <f>O73-O75</f>
        <v>2473.7418186600662</v>
      </c>
    </row>
    <row r="78" spans="2:15">
      <c r="B78" s="95">
        <v>36</v>
      </c>
      <c r="C78" s="85" t="s">
        <v>129</v>
      </c>
      <c r="D78" s="430">
        <f>D13*'4. OEB_Adjustment_Input_Sheet'!D22</f>
        <v>44.736206498875262</v>
      </c>
      <c r="E78" s="400">
        <f>E13*'4. OEB_Adjustment_Input_Sheet'!E22</f>
        <v>44.736206498875262</v>
      </c>
      <c r="F78" s="319">
        <f>G78-E78</f>
        <v>0</v>
      </c>
      <c r="G78" s="309">
        <f>G13*'4. OEB_Adjustment_Input_Sheet'!G22</f>
        <v>44.736206498875262</v>
      </c>
      <c r="H78" s="430">
        <f>H13*'4. OEB_Adjustment_Input_Sheet'!H22</f>
        <v>45.344894241558357</v>
      </c>
      <c r="I78" s="400">
        <f>I13*'4. OEB_Adjustment_Input_Sheet'!I22</f>
        <v>45.344894241558357</v>
      </c>
      <c r="J78" s="368">
        <f t="shared" ref="J78:J79" si="21">K78-I78</f>
        <v>0</v>
      </c>
      <c r="K78" s="309">
        <f>K13*'4. OEB_Adjustment_Input_Sheet'!K22</f>
        <v>45.344894241558357</v>
      </c>
      <c r="L78" s="430">
        <f>D78+H78</f>
        <v>90.081100740433612</v>
      </c>
      <c r="M78" s="400">
        <f>E78+I78</f>
        <v>90.081100740433612</v>
      </c>
      <c r="N78" s="368">
        <f>O78-M78</f>
        <v>0</v>
      </c>
      <c r="O78" s="309">
        <f>G78+K78</f>
        <v>90.081100740433612</v>
      </c>
    </row>
    <row r="79" spans="2:15">
      <c r="B79" s="95">
        <v>37</v>
      </c>
      <c r="C79" s="85" t="s">
        <v>29</v>
      </c>
      <c r="D79" s="553">
        <f>D13*'4. OEB_Adjustment_Input_Sheet'!D23</f>
        <v>784.91655546819879</v>
      </c>
      <c r="E79" s="400">
        <f>E13*'4. OEB_Adjustment_Input_Sheet'!E23</f>
        <v>784.91655546819879</v>
      </c>
      <c r="F79" s="319">
        <f>G79-E79</f>
        <v>0</v>
      </c>
      <c r="G79" s="309">
        <f>G13*'4. OEB_Adjustment_Input_Sheet'!G23</f>
        <v>784.91655546819879</v>
      </c>
      <c r="H79" s="553">
        <f>H13*'4. OEB_Adjustment_Input_Sheet'!H23</f>
        <v>821.28547171099206</v>
      </c>
      <c r="I79" s="400">
        <f>I13*'4. OEB_Adjustment_Input_Sheet'!I23</f>
        <v>821.28547171099206</v>
      </c>
      <c r="J79" s="368">
        <f t="shared" si="21"/>
        <v>0</v>
      </c>
      <c r="K79" s="309">
        <f>K13*'4. OEB_Adjustment_Input_Sheet'!K23</f>
        <v>821.28547171099206</v>
      </c>
      <c r="L79" s="553">
        <f>D79+H79</f>
        <v>1606.2020271791907</v>
      </c>
      <c r="M79" s="400">
        <f>E79+I79</f>
        <v>1606.2020271791907</v>
      </c>
      <c r="N79" s="368">
        <f t="shared" ref="N79" si="22">O79-M79</f>
        <v>0</v>
      </c>
      <c r="O79" s="309">
        <f>G79+K79</f>
        <v>1606.2020271791907</v>
      </c>
    </row>
    <row r="80" spans="2:15" ht="16.5" thickBot="1">
      <c r="B80" s="95">
        <v>38</v>
      </c>
      <c r="C80" s="17" t="s">
        <v>24</v>
      </c>
      <c r="D80" s="313">
        <f t="shared" ref="D80" si="23">D77-D78-D79</f>
        <v>398.46671354790669</v>
      </c>
      <c r="E80" s="538">
        <f t="shared" ref="E80:K80" si="24">E77-E78-E79</f>
        <v>398.46671354790669</v>
      </c>
      <c r="F80" s="567">
        <f>G80-E80</f>
        <v>0</v>
      </c>
      <c r="G80" s="569">
        <f t="shared" si="24"/>
        <v>398.46671354790669</v>
      </c>
      <c r="H80" s="313">
        <f t="shared" si="24"/>
        <v>378.9919771925355</v>
      </c>
      <c r="I80" s="538">
        <f t="shared" si="24"/>
        <v>378.9919771925355</v>
      </c>
      <c r="J80" s="568">
        <f>K80-I80</f>
        <v>0</v>
      </c>
      <c r="K80" s="569">
        <f t="shared" si="24"/>
        <v>378.9919771925355</v>
      </c>
      <c r="L80" s="313">
        <f>L77-L78-L79</f>
        <v>777.45869074044185</v>
      </c>
      <c r="M80" s="538">
        <f>M77-M78-M79</f>
        <v>777.45869074044185</v>
      </c>
      <c r="N80" s="568">
        <f>O80-M80</f>
        <v>0</v>
      </c>
      <c r="O80" s="569">
        <f>O77-O78-O79</f>
        <v>777.45869074044185</v>
      </c>
    </row>
    <row r="81" spans="2:15" ht="17.25">
      <c r="B81" s="140"/>
      <c r="C81" s="20"/>
      <c r="D81" s="107"/>
      <c r="E81" s="35"/>
      <c r="F81" s="18"/>
      <c r="G81" s="334"/>
      <c r="H81" s="107"/>
      <c r="I81" s="35"/>
      <c r="J81" s="366"/>
      <c r="K81" s="334"/>
      <c r="L81" s="335"/>
      <c r="M81" s="35"/>
      <c r="N81" s="366"/>
      <c r="O81" s="334"/>
    </row>
    <row r="82" spans="2:15" ht="18" thickBot="1">
      <c r="B82" s="141" t="s">
        <v>46</v>
      </c>
      <c r="C82" s="20"/>
      <c r="D82" s="107"/>
      <c r="E82" s="18"/>
      <c r="F82" s="18"/>
      <c r="G82" s="19"/>
      <c r="H82" s="107"/>
      <c r="I82" s="18"/>
      <c r="J82" s="366"/>
      <c r="K82" s="19"/>
      <c r="L82" s="107"/>
      <c r="M82" s="18"/>
      <c r="N82" s="366"/>
      <c r="O82" s="19"/>
    </row>
    <row r="83" spans="2:15" ht="15.75" thickBot="1">
      <c r="B83" s="95">
        <v>39</v>
      </c>
      <c r="C83" s="85" t="s">
        <v>70</v>
      </c>
      <c r="D83" s="575">
        <f>D72*'4. OEB_Adjustment_Input_Sheet'!D19</f>
        <v>74.614428604314043</v>
      </c>
      <c r="E83" s="572">
        <f>E72*'4. OEB_Adjustment_Input_Sheet'!E19</f>
        <v>74.614428604314043</v>
      </c>
      <c r="F83" s="375">
        <f>G83-E83</f>
        <v>0</v>
      </c>
      <c r="G83" s="376">
        <f>G72*'4. OEB_Adjustment_Input_Sheet'!G19</f>
        <v>74.614428604314043</v>
      </c>
      <c r="H83" s="575">
        <f>H72*'4. OEB_Adjustment_Input_Sheet'!H19</f>
        <v>70.280838604314056</v>
      </c>
      <c r="I83" s="572">
        <f>I72*'4. OEB_Adjustment_Input_Sheet'!I19</f>
        <v>70.280838604314056</v>
      </c>
      <c r="J83" s="375">
        <f>K83-I83</f>
        <v>0</v>
      </c>
      <c r="K83" s="376">
        <f>K72*'4. OEB_Adjustment_Input_Sheet'!K19</f>
        <v>70.280838604314056</v>
      </c>
      <c r="L83" s="571">
        <f>D83+H83</f>
        <v>144.8952672086281</v>
      </c>
      <c r="M83" s="572">
        <f>E83+I83</f>
        <v>144.8952672086281</v>
      </c>
      <c r="N83" s="375">
        <f>O83-M83</f>
        <v>0</v>
      </c>
      <c r="O83" s="376">
        <f>G83+K83</f>
        <v>144.8952672086281</v>
      </c>
    </row>
    <row r="84" spans="2:15" ht="18" thickBot="1">
      <c r="B84" s="69"/>
      <c r="C84" s="25"/>
      <c r="D84" s="107"/>
      <c r="E84" s="29"/>
      <c r="F84" s="18"/>
      <c r="G84" s="19"/>
      <c r="H84" s="107"/>
      <c r="I84" s="29"/>
      <c r="J84" s="366"/>
      <c r="K84" s="19"/>
      <c r="L84" s="552"/>
      <c r="M84" s="29"/>
      <c r="N84" s="366"/>
      <c r="O84" s="19"/>
    </row>
    <row r="85" spans="2:15" ht="16.5" thickBot="1">
      <c r="B85" s="95">
        <v>40</v>
      </c>
      <c r="C85" s="17" t="s">
        <v>27</v>
      </c>
      <c r="D85" s="352">
        <f>D75*'4. OEB_Adjustment_Input_Sheet'!D18</f>
        <v>97.80001996902881</v>
      </c>
      <c r="E85" s="534">
        <f>E75*'4. OEB_Adjustment_Input_Sheet'!E18</f>
        <v>97.80001996902881</v>
      </c>
      <c r="F85" s="354">
        <f>G85-E85</f>
        <v>0</v>
      </c>
      <c r="G85" s="371">
        <f>G75*'4. OEB_Adjustment_Input_Sheet'!G18</f>
        <v>97.80001996902881</v>
      </c>
      <c r="H85" s="352">
        <f>H75*'4. OEB_Adjustment_Input_Sheet'!H18</f>
        <v>99.193842669399061</v>
      </c>
      <c r="I85" s="534">
        <f>I75*'4. OEB_Adjustment_Input_Sheet'!I18</f>
        <v>99.193842669399061</v>
      </c>
      <c r="J85" s="367">
        <f>K85-I85</f>
        <v>0</v>
      </c>
      <c r="K85" s="353">
        <f>K75*'4. OEB_Adjustment_Input_Sheet'!K18</f>
        <v>99.193842669399061</v>
      </c>
      <c r="L85" s="352">
        <f>D85+H85</f>
        <v>196.99386263842786</v>
      </c>
      <c r="M85" s="534">
        <f>E85+I85</f>
        <v>196.99386263842786</v>
      </c>
      <c r="N85" s="367">
        <f>O85-M85</f>
        <v>0</v>
      </c>
      <c r="O85" s="353">
        <f>G85+K85</f>
        <v>196.99386263842786</v>
      </c>
    </row>
    <row r="86" spans="2:15" ht="18" thickBot="1">
      <c r="B86" s="69"/>
      <c r="C86" s="25"/>
      <c r="D86" s="107"/>
      <c r="E86" s="18"/>
      <c r="F86" s="18"/>
      <c r="G86" s="19"/>
      <c r="H86" s="107"/>
      <c r="I86" s="18"/>
      <c r="J86" s="366"/>
      <c r="K86" s="19"/>
      <c r="L86" s="107"/>
      <c r="M86" s="18"/>
      <c r="N86" s="366"/>
      <c r="O86" s="19"/>
    </row>
    <row r="87" spans="2:15">
      <c r="B87" s="95">
        <v>41</v>
      </c>
      <c r="C87" s="20" t="s">
        <v>29</v>
      </c>
      <c r="D87" s="427">
        <f>D79*'4. OEB_Adjustment_Input_Sheet'!D16</f>
        <v>38.069688022334041</v>
      </c>
      <c r="E87" s="377">
        <f>E79*'4. OEB_Adjustment_Input_Sheet'!E16</f>
        <v>38.069688022334041</v>
      </c>
      <c r="F87" s="321">
        <f t="shared" ref="F87:F88" si="25">G87-E87</f>
        <v>0</v>
      </c>
      <c r="G87" s="300">
        <f>G79*'4. OEB_Adjustment_Input_Sheet'!G16</f>
        <v>38.069688022334041</v>
      </c>
      <c r="H87" s="427">
        <f>H79*'4. OEB_Adjustment_Input_Sheet'!H16</f>
        <v>39.913744644815068</v>
      </c>
      <c r="I87" s="377">
        <f>I79*'4. OEB_Adjustment_Input_Sheet'!I16</f>
        <v>39.913744644815068</v>
      </c>
      <c r="J87" s="364">
        <f t="shared" ref="J87:J88" si="26">K87-I87</f>
        <v>0</v>
      </c>
      <c r="K87" s="300">
        <f>K79*'4. OEB_Adjustment_Input_Sheet'!K16</f>
        <v>39.913744644815068</v>
      </c>
      <c r="L87" s="427">
        <f>D87+H87</f>
        <v>77.983432667149117</v>
      </c>
      <c r="M87" s="377">
        <f>E87+I87</f>
        <v>77.983432667149117</v>
      </c>
      <c r="N87" s="364">
        <f t="shared" ref="N87:N88" si="27">O87-M87</f>
        <v>0</v>
      </c>
      <c r="O87" s="300">
        <f>G87+K87</f>
        <v>77.983432667149117</v>
      </c>
    </row>
    <row r="88" spans="2:15" ht="15.75" thickBot="1">
      <c r="B88" s="96">
        <v>42</v>
      </c>
      <c r="C88" s="32" t="s">
        <v>42</v>
      </c>
      <c r="D88" s="550">
        <f>D80*'4. OEB_Adjustment_Input_Sheet'!D17</f>
        <v>19.326262602532342</v>
      </c>
      <c r="E88" s="490">
        <f>E80*'4. OEB_Adjustment_Input_Sheet'!E17</f>
        <v>19.326262602532342</v>
      </c>
      <c r="F88" s="372">
        <f t="shared" si="25"/>
        <v>0</v>
      </c>
      <c r="G88" s="320">
        <f>G80*'4. OEB_Adjustment_Input_Sheet'!G17</f>
        <v>19.326262602532342</v>
      </c>
      <c r="H88" s="550">
        <f>H80*'4. OEB_Adjustment_Input_Sheet'!H17</f>
        <v>18.418673556445892</v>
      </c>
      <c r="I88" s="490">
        <f>I80*'4. OEB_Adjustment_Input_Sheet'!I17</f>
        <v>18.418673556445892</v>
      </c>
      <c r="J88" s="373">
        <f t="shared" si="26"/>
        <v>0</v>
      </c>
      <c r="K88" s="320">
        <f>K80*'4. OEB_Adjustment_Input_Sheet'!K17</f>
        <v>18.418673556445892</v>
      </c>
      <c r="L88" s="550">
        <f>D88+H88</f>
        <v>37.744936158978234</v>
      </c>
      <c r="M88" s="490">
        <f>E88+I88</f>
        <v>37.744936158978234</v>
      </c>
      <c r="N88" s="373">
        <f t="shared" si="27"/>
        <v>0</v>
      </c>
      <c r="O88" s="320">
        <f>G88+K88</f>
        <v>37.744936158978234</v>
      </c>
    </row>
    <row r="89" spans="2:15" ht="15.75" thickBot="1">
      <c r="B89" s="104"/>
      <c r="C89" s="20"/>
      <c r="D89" s="20"/>
      <c r="E89" s="112"/>
      <c r="F89" s="126"/>
      <c r="G89" s="126"/>
      <c r="H89" s="126"/>
      <c r="I89" s="112"/>
      <c r="J89" s="126"/>
      <c r="K89" s="126"/>
      <c r="L89" s="126"/>
      <c r="M89" s="112"/>
      <c r="N89" s="287"/>
      <c r="O89" s="112"/>
    </row>
    <row r="90" spans="2:15" ht="16.5" thickBot="1">
      <c r="C90" s="20"/>
      <c r="D90" s="634" t="s">
        <v>141</v>
      </c>
      <c r="E90" s="635"/>
      <c r="F90" s="635"/>
      <c r="G90" s="635"/>
      <c r="H90" s="635"/>
      <c r="I90" s="635"/>
      <c r="J90" s="635"/>
      <c r="K90" s="635"/>
      <c r="L90" s="635"/>
      <c r="M90" s="635"/>
      <c r="N90" s="635"/>
      <c r="O90" s="636"/>
    </row>
    <row r="91" spans="2:15" ht="15.75">
      <c r="B91" s="94"/>
      <c r="C91" s="92"/>
      <c r="D91" s="637">
        <v>2014</v>
      </c>
      <c r="E91" s="638"/>
      <c r="F91" s="639"/>
      <c r="G91" s="640"/>
      <c r="H91" s="637">
        <v>2015</v>
      </c>
      <c r="I91" s="639"/>
      <c r="J91" s="639"/>
      <c r="K91" s="640"/>
      <c r="L91" s="637" t="s">
        <v>0</v>
      </c>
      <c r="M91" s="639"/>
      <c r="N91" s="639"/>
      <c r="O91" s="640"/>
    </row>
    <row r="92" spans="2:15" ht="15.75">
      <c r="B92" s="87" t="s">
        <v>2</v>
      </c>
      <c r="C92" s="93"/>
      <c r="D92" s="9" t="s">
        <v>238</v>
      </c>
      <c r="E92" s="159" t="s">
        <v>238</v>
      </c>
      <c r="F92" s="498" t="s">
        <v>21</v>
      </c>
      <c r="G92" s="11" t="s">
        <v>21</v>
      </c>
      <c r="H92" s="9" t="s">
        <v>238</v>
      </c>
      <c r="I92" s="159" t="s">
        <v>238</v>
      </c>
      <c r="J92" s="498" t="s">
        <v>21</v>
      </c>
      <c r="K92" s="11" t="s">
        <v>21</v>
      </c>
      <c r="L92" s="9" t="s">
        <v>238</v>
      </c>
      <c r="M92" s="159" t="s">
        <v>238</v>
      </c>
      <c r="N92" s="498" t="s">
        <v>21</v>
      </c>
      <c r="O92" s="11" t="s">
        <v>21</v>
      </c>
    </row>
    <row r="93" spans="2:15" ht="16.5" thickBot="1">
      <c r="B93" s="54" t="s">
        <v>3</v>
      </c>
      <c r="C93" s="53" t="s">
        <v>1</v>
      </c>
      <c r="D93" s="468" t="s">
        <v>239</v>
      </c>
      <c r="E93" s="500">
        <v>41437</v>
      </c>
      <c r="F93" s="499" t="s">
        <v>15</v>
      </c>
      <c r="G93" s="13" t="s">
        <v>12</v>
      </c>
      <c r="H93" s="468" t="s">
        <v>239</v>
      </c>
      <c r="I93" s="500">
        <v>41437</v>
      </c>
      <c r="J93" s="499" t="s">
        <v>15</v>
      </c>
      <c r="K93" s="13" t="s">
        <v>12</v>
      </c>
      <c r="L93" s="468" t="s">
        <v>239</v>
      </c>
      <c r="M93" s="500">
        <v>41437</v>
      </c>
      <c r="N93" s="499" t="s">
        <v>15</v>
      </c>
      <c r="O93" s="13" t="s">
        <v>12</v>
      </c>
    </row>
    <row r="94" spans="2:15">
      <c r="B94" s="16"/>
      <c r="C94" s="20"/>
      <c r="D94" s="508" t="s">
        <v>4</v>
      </c>
      <c r="E94" s="509" t="s">
        <v>5</v>
      </c>
      <c r="F94" s="509" t="s">
        <v>6</v>
      </c>
      <c r="G94" s="510" t="s">
        <v>7</v>
      </c>
      <c r="H94" s="508" t="s">
        <v>8</v>
      </c>
      <c r="I94" s="509" t="s">
        <v>9</v>
      </c>
      <c r="J94" s="509" t="s">
        <v>11</v>
      </c>
      <c r="K94" s="510" t="s">
        <v>13</v>
      </c>
      <c r="L94" s="508" t="s">
        <v>14</v>
      </c>
      <c r="M94" s="509" t="s">
        <v>240</v>
      </c>
      <c r="N94" s="509" t="s">
        <v>241</v>
      </c>
      <c r="O94" s="510" t="s">
        <v>242</v>
      </c>
    </row>
    <row r="95" spans="2:15" ht="18" thickBot="1">
      <c r="B95" s="141" t="s">
        <v>38</v>
      </c>
      <c r="C95" s="20"/>
      <c r="D95" s="16"/>
      <c r="E95" s="112"/>
      <c r="F95" s="112"/>
      <c r="G95" s="128"/>
      <c r="H95" s="127"/>
      <c r="I95" s="112"/>
      <c r="J95" s="129"/>
      <c r="K95" s="128"/>
      <c r="L95" s="127"/>
      <c r="M95" s="112"/>
      <c r="N95" s="129"/>
      <c r="O95" s="128"/>
    </row>
    <row r="96" spans="2:15">
      <c r="B96" s="95">
        <v>43</v>
      </c>
      <c r="C96" s="20" t="s">
        <v>10</v>
      </c>
      <c r="D96" s="427">
        <f>D21+D46+D71</f>
        <v>11346.133305887772</v>
      </c>
      <c r="E96" s="377">
        <f t="shared" ref="E96:K96" si="28">E21+E46+E71</f>
        <v>11346.133305887772</v>
      </c>
      <c r="F96" s="321">
        <f t="shared" si="28"/>
        <v>0</v>
      </c>
      <c r="G96" s="300">
        <f t="shared" si="28"/>
        <v>11346.133305887772</v>
      </c>
      <c r="H96" s="427">
        <f t="shared" si="28"/>
        <v>11271.77512416137</v>
      </c>
      <c r="I96" s="377">
        <f t="shared" si="28"/>
        <v>11271.77512416137</v>
      </c>
      <c r="J96" s="364">
        <f t="shared" si="28"/>
        <v>0</v>
      </c>
      <c r="K96" s="300">
        <f t="shared" si="28"/>
        <v>11271.77512416137</v>
      </c>
      <c r="L96" s="427">
        <f>D96+H96</f>
        <v>22617.908430049141</v>
      </c>
      <c r="M96" s="377">
        <f>E96+I96</f>
        <v>22617.908430049141</v>
      </c>
      <c r="N96" s="364">
        <f>O96-M96</f>
        <v>0</v>
      </c>
      <c r="O96" s="300">
        <f>G96+K96</f>
        <v>22617.908430049141</v>
      </c>
    </row>
    <row r="97" spans="2:15">
      <c r="B97" s="95">
        <v>44</v>
      </c>
      <c r="C97" s="85" t="s">
        <v>70</v>
      </c>
      <c r="D97" s="553">
        <f t="shared" ref="D97" si="29">D72</f>
        <v>1389.4679442144143</v>
      </c>
      <c r="E97" s="536">
        <f t="shared" ref="E97:K97" si="30">E72</f>
        <v>1389.4679442144143</v>
      </c>
      <c r="F97" s="576">
        <f>F72</f>
        <v>0</v>
      </c>
      <c r="G97" s="577">
        <f t="shared" si="30"/>
        <v>1389.4679442144143</v>
      </c>
      <c r="H97" s="553">
        <f t="shared" si="30"/>
        <v>1308.7679442144145</v>
      </c>
      <c r="I97" s="536">
        <f t="shared" si="30"/>
        <v>1308.7679442144145</v>
      </c>
      <c r="J97" s="576">
        <f t="shared" si="30"/>
        <v>0</v>
      </c>
      <c r="K97" s="577">
        <f t="shared" si="30"/>
        <v>1308.7679442144145</v>
      </c>
      <c r="L97" s="578">
        <f>D97+H97</f>
        <v>2698.2358884288287</v>
      </c>
      <c r="M97" s="536">
        <f>E97+I97</f>
        <v>2698.2358884288287</v>
      </c>
      <c r="N97" s="576">
        <f>O97-M97</f>
        <v>0</v>
      </c>
      <c r="O97" s="577">
        <f>G97+K97</f>
        <v>2698.2358884288287</v>
      </c>
    </row>
    <row r="98" spans="2:15" ht="16.5" thickBot="1">
      <c r="B98" s="95">
        <v>45</v>
      </c>
      <c r="C98" s="17" t="s">
        <v>40</v>
      </c>
      <c r="D98" s="331">
        <f>D96-D97</f>
        <v>9956.6653616733565</v>
      </c>
      <c r="E98" s="566">
        <f>E96-E97</f>
        <v>9956.6653616733565</v>
      </c>
      <c r="F98" s="567">
        <f t="shared" ref="F98:K98" si="31">F96-F97</f>
        <v>0</v>
      </c>
      <c r="G98" s="569">
        <f t="shared" si="31"/>
        <v>9956.6653616733565</v>
      </c>
      <c r="H98" s="331">
        <f t="shared" si="31"/>
        <v>9963.0071799469551</v>
      </c>
      <c r="I98" s="537">
        <f t="shared" si="31"/>
        <v>9963.0071799469551</v>
      </c>
      <c r="J98" s="568">
        <f>J96-J97</f>
        <v>0</v>
      </c>
      <c r="K98" s="569">
        <f t="shared" si="31"/>
        <v>9963.0071799469551</v>
      </c>
      <c r="L98" s="331">
        <f>L96-L97</f>
        <v>19919.672541620312</v>
      </c>
      <c r="M98" s="566">
        <f>M96-M97</f>
        <v>19919.672541620312</v>
      </c>
      <c r="N98" s="568">
        <f>O98-M98</f>
        <v>0</v>
      </c>
      <c r="O98" s="569">
        <f>O96-O97</f>
        <v>19919.672541620312</v>
      </c>
    </row>
    <row r="99" spans="2:15" ht="18" thickBot="1">
      <c r="B99" s="67"/>
      <c r="C99" s="25"/>
      <c r="D99" s="335"/>
      <c r="E99" s="29"/>
      <c r="F99" s="18"/>
      <c r="G99" s="19"/>
      <c r="H99" s="335"/>
      <c r="I99" s="29"/>
      <c r="J99" s="366"/>
      <c r="K99" s="19"/>
      <c r="L99" s="552"/>
      <c r="M99" s="29"/>
      <c r="N99" s="366"/>
      <c r="O99" s="19"/>
    </row>
    <row r="100" spans="2:15" ht="16.5" thickBot="1">
      <c r="B100" s="95">
        <v>46</v>
      </c>
      <c r="C100" s="17" t="s">
        <v>27</v>
      </c>
      <c r="D100" s="352">
        <f t="shared" ref="D100" si="32">D25+D50+D75</f>
        <v>4679.6327199864763</v>
      </c>
      <c r="E100" s="534">
        <f t="shared" ref="E100:K100" si="33">E25+E50+E75</f>
        <v>4679.6327199864763</v>
      </c>
      <c r="F100" s="354">
        <f t="shared" si="33"/>
        <v>0</v>
      </c>
      <c r="G100" s="353">
        <f t="shared" si="33"/>
        <v>4679.6327199864763</v>
      </c>
      <c r="H100" s="352">
        <f t="shared" si="33"/>
        <v>4682.6133745750685</v>
      </c>
      <c r="I100" s="534">
        <f t="shared" si="33"/>
        <v>4682.6133745750685</v>
      </c>
      <c r="J100" s="367">
        <f t="shared" si="33"/>
        <v>0</v>
      </c>
      <c r="K100" s="353">
        <f t="shared" si="33"/>
        <v>4682.6133745750685</v>
      </c>
      <c r="L100" s="352">
        <f>D100+H100</f>
        <v>9362.2460945615458</v>
      </c>
      <c r="M100" s="534">
        <f>E100+I100</f>
        <v>9362.2460945615458</v>
      </c>
      <c r="N100" s="367">
        <f>O100-M100</f>
        <v>0</v>
      </c>
      <c r="O100" s="353">
        <f>G100+K100</f>
        <v>9362.2460945615458</v>
      </c>
    </row>
    <row r="101" spans="2:15" ht="18" thickBot="1">
      <c r="B101" s="69"/>
      <c r="C101" s="25"/>
      <c r="D101" s="335"/>
      <c r="E101" s="18"/>
      <c r="F101" s="18"/>
      <c r="G101" s="19"/>
      <c r="H101" s="335"/>
      <c r="I101" s="18"/>
      <c r="J101" s="366"/>
      <c r="K101" s="19"/>
      <c r="L101" s="107"/>
      <c r="M101" s="18"/>
      <c r="N101" s="366"/>
      <c r="O101" s="19"/>
    </row>
    <row r="102" spans="2:15">
      <c r="B102" s="95">
        <v>47</v>
      </c>
      <c r="C102" s="20" t="s">
        <v>41</v>
      </c>
      <c r="D102" s="427">
        <f t="shared" ref="D102:D104" si="34">D27+D52+D77</f>
        <v>5277.0326416868793</v>
      </c>
      <c r="E102" s="377">
        <f t="shared" ref="E102:K104" si="35">E27+E52+E77</f>
        <v>5277.0326416868793</v>
      </c>
      <c r="F102" s="321">
        <f t="shared" si="35"/>
        <v>0</v>
      </c>
      <c r="G102" s="300">
        <f t="shared" si="35"/>
        <v>5277.0326416868793</v>
      </c>
      <c r="H102" s="427">
        <f t="shared" si="35"/>
        <v>5280.3938053718857</v>
      </c>
      <c r="I102" s="377">
        <f t="shared" si="35"/>
        <v>5280.3938053718857</v>
      </c>
      <c r="J102" s="364">
        <f t="shared" si="35"/>
        <v>0</v>
      </c>
      <c r="K102" s="300">
        <f t="shared" si="35"/>
        <v>5280.3938053718857</v>
      </c>
      <c r="L102" s="427">
        <f>L98-L100</f>
        <v>10557.426447058766</v>
      </c>
      <c r="M102" s="377">
        <f>M98-M100</f>
        <v>10557.426447058766</v>
      </c>
      <c r="N102" s="364">
        <f>O102-M102</f>
        <v>0</v>
      </c>
      <c r="O102" s="300">
        <f>O98-O100</f>
        <v>10557.426447058766</v>
      </c>
    </row>
    <row r="103" spans="2:15">
      <c r="B103" s="95">
        <v>48</v>
      </c>
      <c r="C103" s="85" t="s">
        <v>129</v>
      </c>
      <c r="D103" s="430">
        <f t="shared" si="34"/>
        <v>192.22431259044862</v>
      </c>
      <c r="E103" s="400">
        <f t="shared" si="35"/>
        <v>192.22431259044862</v>
      </c>
      <c r="F103" s="319">
        <f t="shared" si="35"/>
        <v>0</v>
      </c>
      <c r="G103" s="309">
        <f t="shared" si="35"/>
        <v>192.22431259044862</v>
      </c>
      <c r="H103" s="430">
        <f t="shared" si="35"/>
        <v>192.22431259044859</v>
      </c>
      <c r="I103" s="400">
        <f t="shared" si="35"/>
        <v>192.22431259044859</v>
      </c>
      <c r="J103" s="368">
        <f t="shared" si="35"/>
        <v>0</v>
      </c>
      <c r="K103" s="309">
        <f t="shared" si="35"/>
        <v>192.22431259044859</v>
      </c>
      <c r="L103" s="430">
        <f>D103+H103</f>
        <v>384.44862518089724</v>
      </c>
      <c r="M103" s="400">
        <f>E103+I103</f>
        <v>384.44862518089724</v>
      </c>
      <c r="N103" s="368">
        <f>O103-M103</f>
        <v>0</v>
      </c>
      <c r="O103" s="309">
        <f>G103+K103</f>
        <v>384.44862518089724</v>
      </c>
    </row>
    <row r="104" spans="2:15">
      <c r="B104" s="95">
        <v>49</v>
      </c>
      <c r="C104" s="85" t="s">
        <v>29</v>
      </c>
      <c r="D104" s="553">
        <f t="shared" si="34"/>
        <v>3372.6606953034916</v>
      </c>
      <c r="E104" s="400">
        <f t="shared" si="35"/>
        <v>3372.6606953034916</v>
      </c>
      <c r="F104" s="319">
        <f t="shared" si="35"/>
        <v>0</v>
      </c>
      <c r="G104" s="309">
        <f t="shared" si="35"/>
        <v>3372.6606953034916</v>
      </c>
      <c r="H104" s="553">
        <f t="shared" si="35"/>
        <v>3481.5614388505901</v>
      </c>
      <c r="I104" s="400">
        <f t="shared" si="35"/>
        <v>3481.5614388505901</v>
      </c>
      <c r="J104" s="368">
        <f t="shared" si="35"/>
        <v>0</v>
      </c>
      <c r="K104" s="309">
        <f t="shared" si="35"/>
        <v>3481.5614388505901</v>
      </c>
      <c r="L104" s="553">
        <f>D104+H104</f>
        <v>6854.2221341540817</v>
      </c>
      <c r="M104" s="400">
        <f>E104+I104</f>
        <v>6854.2221341540817</v>
      </c>
      <c r="N104" s="368">
        <f t="shared" ref="N104" si="36">O104-M104</f>
        <v>0</v>
      </c>
      <c r="O104" s="309">
        <f>G104+K104</f>
        <v>6854.2221341540817</v>
      </c>
    </row>
    <row r="105" spans="2:15" ht="16.5" thickBot="1">
      <c r="B105" s="95">
        <v>50</v>
      </c>
      <c r="C105" s="17" t="s">
        <v>24</v>
      </c>
      <c r="D105" s="313">
        <f t="shared" ref="D105" si="37">D102-D103-D104</f>
        <v>1712.1476337929389</v>
      </c>
      <c r="E105" s="538">
        <f t="shared" ref="E105:K105" si="38">E102-E103-E104</f>
        <v>1712.1476337929389</v>
      </c>
      <c r="F105" s="567">
        <f>G105-E105</f>
        <v>0</v>
      </c>
      <c r="G105" s="569">
        <f t="shared" si="38"/>
        <v>1712.1476337929389</v>
      </c>
      <c r="H105" s="313">
        <f t="shared" si="38"/>
        <v>1606.6080539308468</v>
      </c>
      <c r="I105" s="538">
        <f t="shared" si="38"/>
        <v>1606.6080539308468</v>
      </c>
      <c r="J105" s="568">
        <f>K105-I105</f>
        <v>0</v>
      </c>
      <c r="K105" s="569">
        <f t="shared" si="38"/>
        <v>1606.6080539308468</v>
      </c>
      <c r="L105" s="313">
        <f>L102-L103-L104</f>
        <v>3318.7556877237867</v>
      </c>
      <c r="M105" s="538">
        <f>M102-M103-M104</f>
        <v>3318.7556877237867</v>
      </c>
      <c r="N105" s="568">
        <f>O105-M105</f>
        <v>0</v>
      </c>
      <c r="O105" s="569">
        <f>O102-O103-O104</f>
        <v>3318.7556877237867</v>
      </c>
    </row>
    <row r="106" spans="2:15" ht="17.25">
      <c r="B106" s="140"/>
      <c r="C106" s="20"/>
      <c r="D106" s="335"/>
      <c r="E106" s="35"/>
      <c r="F106" s="18"/>
      <c r="G106" s="334"/>
      <c r="H106" s="335"/>
      <c r="I106" s="35"/>
      <c r="J106" s="366"/>
      <c r="K106" s="334"/>
      <c r="L106" s="335"/>
      <c r="M106" s="35"/>
      <c r="N106" s="366"/>
      <c r="O106" s="334"/>
    </row>
    <row r="107" spans="2:15" ht="18" thickBot="1">
      <c r="B107" s="141" t="s">
        <v>46</v>
      </c>
      <c r="C107" s="20"/>
      <c r="D107" s="335"/>
      <c r="E107" s="18"/>
      <c r="F107" s="18"/>
      <c r="G107" s="19"/>
      <c r="H107" s="335"/>
      <c r="I107" s="18"/>
      <c r="J107" s="366"/>
      <c r="K107" s="19"/>
      <c r="L107" s="107"/>
      <c r="M107" s="18"/>
      <c r="N107" s="366"/>
      <c r="O107" s="19"/>
    </row>
    <row r="108" spans="2:15" ht="15.75" thickBot="1">
      <c r="B108" s="95">
        <v>51</v>
      </c>
      <c r="C108" s="85" t="s">
        <v>70</v>
      </c>
      <c r="D108" s="575">
        <f>D83</f>
        <v>74.614428604314043</v>
      </c>
      <c r="E108" s="572">
        <f>E83</f>
        <v>74.614428604314043</v>
      </c>
      <c r="F108" s="375">
        <f t="shared" ref="F108:K108" si="39">F83</f>
        <v>0</v>
      </c>
      <c r="G108" s="376">
        <f t="shared" si="39"/>
        <v>74.614428604314043</v>
      </c>
      <c r="H108" s="575">
        <f>H83</f>
        <v>70.280838604314056</v>
      </c>
      <c r="I108" s="572">
        <f>I83</f>
        <v>70.280838604314056</v>
      </c>
      <c r="J108" s="375">
        <f t="shared" si="39"/>
        <v>0</v>
      </c>
      <c r="K108" s="376">
        <f t="shared" si="39"/>
        <v>70.280838604314056</v>
      </c>
      <c r="L108" s="571">
        <f>D108+H108</f>
        <v>144.8952672086281</v>
      </c>
      <c r="M108" s="572">
        <f>E108+I108</f>
        <v>144.8952672086281</v>
      </c>
      <c r="N108" s="375">
        <f>O108-M108</f>
        <v>0</v>
      </c>
      <c r="O108" s="376">
        <f>G108+K108</f>
        <v>144.8952672086281</v>
      </c>
    </row>
    <row r="109" spans="2:15" ht="18" thickBot="1">
      <c r="B109" s="69"/>
      <c r="C109" s="126"/>
      <c r="D109" s="107"/>
      <c r="E109" s="29"/>
      <c r="F109" s="18"/>
      <c r="G109" s="19"/>
      <c r="H109" s="107"/>
      <c r="I109" s="29"/>
      <c r="J109" s="366"/>
      <c r="K109" s="19"/>
      <c r="L109" s="552"/>
      <c r="M109" s="29"/>
      <c r="N109" s="366"/>
      <c r="O109" s="19"/>
    </row>
    <row r="110" spans="2:15" ht="16.5" thickBot="1">
      <c r="B110" s="95">
        <v>52</v>
      </c>
      <c r="C110" s="17" t="s">
        <v>27</v>
      </c>
      <c r="D110" s="352">
        <f t="shared" ref="D110" si="40">D35+D60+D85</f>
        <v>420.23101825478562</v>
      </c>
      <c r="E110" s="534">
        <f t="shared" ref="E110:K110" si="41">E35+E60+E85</f>
        <v>420.23101825478562</v>
      </c>
      <c r="F110" s="354">
        <f t="shared" si="41"/>
        <v>0</v>
      </c>
      <c r="G110" s="371">
        <f t="shared" si="41"/>
        <v>420.23101825478562</v>
      </c>
      <c r="H110" s="352">
        <f t="shared" si="41"/>
        <v>420.49868103684116</v>
      </c>
      <c r="I110" s="534">
        <f t="shared" si="41"/>
        <v>420.49868103684116</v>
      </c>
      <c r="J110" s="367">
        <f t="shared" si="41"/>
        <v>0</v>
      </c>
      <c r="K110" s="353">
        <f t="shared" si="41"/>
        <v>420.49868103684116</v>
      </c>
      <c r="L110" s="352">
        <f>D110+H110</f>
        <v>840.72969929162673</v>
      </c>
      <c r="M110" s="534">
        <f>E110+I110</f>
        <v>840.72969929162673</v>
      </c>
      <c r="N110" s="367">
        <f>O110-M110</f>
        <v>0</v>
      </c>
      <c r="O110" s="353">
        <f>G110+K110</f>
        <v>840.72969929162673</v>
      </c>
    </row>
    <row r="111" spans="2:15" ht="18" thickBot="1">
      <c r="B111" s="69"/>
      <c r="C111" s="126"/>
      <c r="D111" s="107"/>
      <c r="E111" s="18"/>
      <c r="F111" s="18"/>
      <c r="G111" s="19"/>
      <c r="H111" s="107"/>
      <c r="I111" s="18"/>
      <c r="J111" s="366"/>
      <c r="K111" s="19"/>
      <c r="L111" s="107"/>
      <c r="M111" s="18"/>
      <c r="N111" s="366"/>
      <c r="O111" s="19"/>
    </row>
    <row r="112" spans="2:15">
      <c r="B112" s="95">
        <v>53</v>
      </c>
      <c r="C112" s="20" t="s">
        <v>29</v>
      </c>
      <c r="D112" s="427">
        <f t="shared" ref="D112:D113" si="42">D37+D62+D87</f>
        <v>163.57935067225648</v>
      </c>
      <c r="E112" s="377">
        <f t="shared" ref="E112:K113" si="43">E37+E62+E87</f>
        <v>163.57935067225648</v>
      </c>
      <c r="F112" s="321">
        <f t="shared" si="43"/>
        <v>0</v>
      </c>
      <c r="G112" s="300">
        <f t="shared" si="43"/>
        <v>163.57935067225648</v>
      </c>
      <c r="H112" s="427">
        <f t="shared" si="43"/>
        <v>169.20079439128051</v>
      </c>
      <c r="I112" s="377">
        <f t="shared" si="43"/>
        <v>169.20079439128051</v>
      </c>
      <c r="J112" s="364">
        <f t="shared" si="43"/>
        <v>0</v>
      </c>
      <c r="K112" s="300">
        <f t="shared" si="43"/>
        <v>169.20079439128051</v>
      </c>
      <c r="L112" s="427">
        <f>D112+H112</f>
        <v>332.78014506353702</v>
      </c>
      <c r="M112" s="377">
        <f>E112+I112</f>
        <v>332.78014506353702</v>
      </c>
      <c r="N112" s="364">
        <f t="shared" ref="N112:N113" si="44">O112-M112</f>
        <v>0</v>
      </c>
      <c r="O112" s="300">
        <f>G112+K112</f>
        <v>332.78014506353702</v>
      </c>
    </row>
    <row r="113" spans="2:15" ht="15.75" thickBot="1">
      <c r="B113" s="96">
        <v>54</v>
      </c>
      <c r="C113" s="32" t="s">
        <v>42</v>
      </c>
      <c r="D113" s="550">
        <f t="shared" si="42"/>
        <v>83.041854337999666</v>
      </c>
      <c r="E113" s="490">
        <f t="shared" si="43"/>
        <v>83.041854337999666</v>
      </c>
      <c r="F113" s="372">
        <f t="shared" si="43"/>
        <v>0</v>
      </c>
      <c r="G113" s="320">
        <f t="shared" si="43"/>
        <v>83.041854337999666</v>
      </c>
      <c r="H113" s="550">
        <f t="shared" si="43"/>
        <v>78.0797247944802</v>
      </c>
      <c r="I113" s="490">
        <f t="shared" si="43"/>
        <v>78.0797247944802</v>
      </c>
      <c r="J113" s="373">
        <f t="shared" si="43"/>
        <v>0</v>
      </c>
      <c r="K113" s="320">
        <f t="shared" si="43"/>
        <v>78.0797247944802</v>
      </c>
      <c r="L113" s="550">
        <f>D113+H113</f>
        <v>161.12157913247987</v>
      </c>
      <c r="M113" s="490">
        <f>E113+I113</f>
        <v>161.12157913247987</v>
      </c>
      <c r="N113" s="373">
        <f t="shared" si="44"/>
        <v>0</v>
      </c>
      <c r="O113" s="320">
        <f>G113+K113</f>
        <v>161.12157913247987</v>
      </c>
    </row>
    <row r="114" spans="2:15"/>
    <row r="115" spans="2:15" hidden="1"/>
    <row r="116" spans="2:15" hidden="1"/>
    <row r="117" spans="2:15" hidden="1"/>
    <row r="118" spans="2:15" hidden="1"/>
    <row r="119" spans="2:15" hidden="1"/>
    <row r="120" spans="2:15" hidden="1"/>
    <row r="121" spans="2:15" hidden="1"/>
    <row r="122" spans="2:15" hidden="1"/>
    <row r="123" spans="2:15" hidden="1"/>
    <row r="124" spans="2:15" hidden="1"/>
    <row r="125" spans="2:15" hidden="1"/>
    <row r="126" spans="2:15" hidden="1"/>
    <row r="127" spans="2:15" hidden="1"/>
    <row r="128" spans="2:15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sheetProtection password="9F78" sheet="1" objects="1" scenarios="1"/>
  <mergeCells count="20">
    <mergeCell ref="D40:O40"/>
    <mergeCell ref="D41:G41"/>
    <mergeCell ref="H41:K41"/>
    <mergeCell ref="L41:O41"/>
    <mergeCell ref="D65:O65"/>
    <mergeCell ref="B1:K1"/>
    <mergeCell ref="D2:K2"/>
    <mergeCell ref="D3:G3"/>
    <mergeCell ref="H3:K3"/>
    <mergeCell ref="D16:G16"/>
    <mergeCell ref="H16:K16"/>
    <mergeCell ref="D15:O15"/>
    <mergeCell ref="L16:O16"/>
    <mergeCell ref="D66:G66"/>
    <mergeCell ref="H66:K66"/>
    <mergeCell ref="L66:O66"/>
    <mergeCell ref="D90:O90"/>
    <mergeCell ref="D91:G91"/>
    <mergeCell ref="H91:K91"/>
    <mergeCell ref="L91:O91"/>
  </mergeCells>
  <pageMargins left="1" right="1" top="1" bottom="1" header="0.5" footer="0.5"/>
  <pageSetup scale="48" fitToHeight="2" orientation="landscape" r:id="rId1"/>
  <headerFooter>
    <oddHeader>&amp;COPG Rate Base and Cost of Capital</oddHeader>
  </headerFooter>
  <rowBreaks count="1" manualBreakCount="1">
    <brk id="63" max="16383" man="1"/>
  </rowBreaks>
  <ignoredErrors>
    <ignoredError sqref="F27 F13 J13 J27 F73 J73 F77 J77 J10:J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9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11" width="16.7109375" customWidth="1"/>
    <col min="12" max="12" width="8.7109375" customWidth="1"/>
    <col min="13" max="15" width="0" hidden="1" customWidth="1"/>
    <col min="16" max="16384" width="9.140625" hidden="1"/>
  </cols>
  <sheetData>
    <row r="1" spans="1:14" ht="18.75" thickBot="1">
      <c r="A1" s="71"/>
      <c r="B1" s="643" t="s">
        <v>114</v>
      </c>
      <c r="C1" s="643"/>
      <c r="D1" s="643"/>
      <c r="E1" s="643"/>
      <c r="F1" s="643"/>
      <c r="G1" s="643"/>
      <c r="H1" s="643"/>
      <c r="I1" s="643"/>
      <c r="J1" s="643"/>
      <c r="K1" s="643"/>
      <c r="L1" s="584"/>
      <c r="M1" s="98"/>
      <c r="N1" s="98"/>
    </row>
    <row r="2" spans="1:14" ht="15.75" customHeight="1" thickBot="1">
      <c r="A2" s="71"/>
      <c r="B2" s="32"/>
      <c r="C2" s="32"/>
      <c r="D2" s="634" t="s">
        <v>141</v>
      </c>
      <c r="E2" s="635"/>
      <c r="F2" s="635"/>
      <c r="G2" s="635"/>
      <c r="H2" s="635"/>
      <c r="I2" s="635"/>
      <c r="J2" s="635"/>
      <c r="K2" s="636"/>
    </row>
    <row r="3" spans="1:14" ht="15.75">
      <c r="B3" s="94"/>
      <c r="C3" s="92"/>
      <c r="D3" s="637">
        <v>2014</v>
      </c>
      <c r="E3" s="638"/>
      <c r="F3" s="639"/>
      <c r="G3" s="640"/>
      <c r="H3" s="639">
        <v>2015</v>
      </c>
      <c r="I3" s="639"/>
      <c r="J3" s="639"/>
      <c r="K3" s="640"/>
    </row>
    <row r="4" spans="1:14" ht="15.75">
      <c r="B4" s="87" t="s">
        <v>2</v>
      </c>
      <c r="C4" s="93"/>
      <c r="D4" s="9" t="s">
        <v>238</v>
      </c>
      <c r="E4" s="159" t="s">
        <v>238</v>
      </c>
      <c r="F4" s="498" t="s">
        <v>21</v>
      </c>
      <c r="G4" s="11" t="s">
        <v>21</v>
      </c>
      <c r="H4" s="52" t="s">
        <v>238</v>
      </c>
      <c r="I4" s="159" t="s">
        <v>238</v>
      </c>
      <c r="J4" s="498" t="s">
        <v>21</v>
      </c>
      <c r="K4" s="11" t="s">
        <v>21</v>
      </c>
    </row>
    <row r="5" spans="1:14" ht="16.5" thickBot="1">
      <c r="B5" s="54" t="s">
        <v>3</v>
      </c>
      <c r="C5" s="53" t="s">
        <v>1</v>
      </c>
      <c r="D5" s="468" t="s">
        <v>239</v>
      </c>
      <c r="E5" s="500">
        <v>41437</v>
      </c>
      <c r="F5" s="499" t="s">
        <v>15</v>
      </c>
      <c r="G5" s="13" t="s">
        <v>12</v>
      </c>
      <c r="H5" s="565" t="s">
        <v>239</v>
      </c>
      <c r="I5" s="500">
        <v>41437</v>
      </c>
      <c r="J5" s="499" t="s">
        <v>15</v>
      </c>
      <c r="K5" s="13" t="s">
        <v>12</v>
      </c>
    </row>
    <row r="6" spans="1:14" ht="15.75">
      <c r="B6" s="14"/>
      <c r="C6" s="15"/>
      <c r="D6" s="485" t="s">
        <v>4</v>
      </c>
      <c r="E6" s="486" t="s">
        <v>5</v>
      </c>
      <c r="F6" s="487" t="s">
        <v>6</v>
      </c>
      <c r="G6" s="488" t="s">
        <v>7</v>
      </c>
      <c r="H6" s="487" t="s">
        <v>8</v>
      </c>
      <c r="I6" s="486" t="s">
        <v>9</v>
      </c>
      <c r="J6" s="487" t="s">
        <v>11</v>
      </c>
      <c r="K6" s="488" t="s">
        <v>13</v>
      </c>
    </row>
    <row r="7" spans="1:14" ht="16.5" thickBot="1">
      <c r="B7" s="21" t="s">
        <v>75</v>
      </c>
      <c r="C7" s="20"/>
      <c r="D7" s="16"/>
      <c r="E7" s="71"/>
      <c r="F7" s="71"/>
      <c r="G7" s="106"/>
      <c r="H7" s="71"/>
      <c r="I7" s="71"/>
      <c r="J7" s="71"/>
      <c r="K7" s="106"/>
    </row>
    <row r="8" spans="1:14" ht="15">
      <c r="B8" s="67">
        <v>1</v>
      </c>
      <c r="C8" s="85" t="s">
        <v>80</v>
      </c>
      <c r="D8" s="557">
        <f>'4. OEB_Adjustment_Input_Sheet'!D140</f>
        <v>0.15</v>
      </c>
      <c r="E8" s="188">
        <f>'4. OEB_Adjustment_Input_Sheet'!E140</f>
        <v>0.15</v>
      </c>
      <c r="F8" s="231">
        <f>G8-E8</f>
        <v>0</v>
      </c>
      <c r="G8" s="143">
        <f>'4. OEB_Adjustment_Input_Sheet'!G140</f>
        <v>0.15</v>
      </c>
      <c r="H8" s="188">
        <f>'4. OEB_Adjustment_Input_Sheet'!H140</f>
        <v>0.15</v>
      </c>
      <c r="I8" s="188">
        <f>'4. OEB_Adjustment_Input_Sheet'!I140</f>
        <v>0.15</v>
      </c>
      <c r="J8" s="231">
        <f>K8-I8</f>
        <v>0</v>
      </c>
      <c r="K8" s="143">
        <f>'4. OEB_Adjustment_Input_Sheet'!K140</f>
        <v>0.15</v>
      </c>
    </row>
    <row r="9" spans="1:14" ht="15">
      <c r="B9" s="67">
        <v>2</v>
      </c>
      <c r="C9" s="85" t="s">
        <v>81</v>
      </c>
      <c r="D9" s="135">
        <f>'4. OEB_Adjustment_Input_Sheet'!D141</f>
        <v>0.11</v>
      </c>
      <c r="E9" s="180">
        <f>'4. OEB_Adjustment_Input_Sheet'!E141</f>
        <v>0.11</v>
      </c>
      <c r="F9" s="232">
        <f>G9-E9</f>
        <v>0</v>
      </c>
      <c r="G9" s="23">
        <f>'4. OEB_Adjustment_Input_Sheet'!G141</f>
        <v>0.11</v>
      </c>
      <c r="H9" s="180">
        <f>'4. OEB_Adjustment_Input_Sheet'!H141</f>
        <v>0.11</v>
      </c>
      <c r="I9" s="180">
        <f>'4. OEB_Adjustment_Input_Sheet'!I141</f>
        <v>0.11</v>
      </c>
      <c r="J9" s="232">
        <f>K9-I9</f>
        <v>0</v>
      </c>
      <c r="K9" s="23">
        <f>'4. OEB_Adjustment_Input_Sheet'!K141</f>
        <v>0.11</v>
      </c>
    </row>
    <row r="10" spans="1:14" ht="15">
      <c r="B10" s="67">
        <v>3</v>
      </c>
      <c r="C10" s="85" t="s">
        <v>82</v>
      </c>
      <c r="D10" s="558">
        <f>'4. OEB_Adjustment_Input_Sheet'!D142</f>
        <v>-0.01</v>
      </c>
      <c r="E10" s="181">
        <f>'4. OEB_Adjustment_Input_Sheet'!E142</f>
        <v>-0.01</v>
      </c>
      <c r="F10" s="233">
        <f>G10-E10</f>
        <v>0</v>
      </c>
      <c r="G10" s="182">
        <f>'4. OEB_Adjustment_Input_Sheet'!G142</f>
        <v>-0.01</v>
      </c>
      <c r="H10" s="181">
        <f>'4. OEB_Adjustment_Input_Sheet'!H142</f>
        <v>-0.01</v>
      </c>
      <c r="I10" s="181">
        <f>'4. OEB_Adjustment_Input_Sheet'!I142</f>
        <v>-0.01</v>
      </c>
      <c r="J10" s="233">
        <f>K10-I10</f>
        <v>0</v>
      </c>
      <c r="K10" s="182">
        <f>'4. OEB_Adjustment_Input_Sheet'!K142</f>
        <v>-0.01</v>
      </c>
    </row>
    <row r="11" spans="1:14" ht="16.5" thickBot="1">
      <c r="B11" s="67">
        <v>4</v>
      </c>
      <c r="C11" s="17" t="s">
        <v>78</v>
      </c>
      <c r="D11" s="81">
        <f>SUM(D8:D10)</f>
        <v>0.25</v>
      </c>
      <c r="E11" s="79">
        <f>SUM(E8:E10)</f>
        <v>0.25</v>
      </c>
      <c r="F11" s="234">
        <f>G11-E11</f>
        <v>0</v>
      </c>
      <c r="G11" s="80">
        <f>SUM(G8:G10)</f>
        <v>0.25</v>
      </c>
      <c r="H11" s="79">
        <f>SUM(H8:H10)</f>
        <v>0.25</v>
      </c>
      <c r="I11" s="79">
        <f>SUM(I8:I10)</f>
        <v>0.25</v>
      </c>
      <c r="J11" s="234">
        <f>K11-I11</f>
        <v>0</v>
      </c>
      <c r="K11" s="80">
        <f>SUM(K8:K10)</f>
        <v>0.25</v>
      </c>
    </row>
    <row r="12" spans="1:14" ht="18">
      <c r="B12" s="16"/>
      <c r="C12" s="579"/>
      <c r="D12" s="105"/>
      <c r="E12" s="71"/>
      <c r="F12" s="71"/>
      <c r="G12" s="106"/>
      <c r="H12" s="71"/>
      <c r="I12" s="71"/>
      <c r="J12" s="71"/>
      <c r="K12" s="106"/>
    </row>
    <row r="13" spans="1:14" ht="16.5" thickBot="1">
      <c r="B13" s="21" t="s">
        <v>135</v>
      </c>
      <c r="C13" s="20"/>
      <c r="D13" s="105"/>
      <c r="E13" s="71"/>
      <c r="F13" s="71"/>
      <c r="G13" s="106"/>
      <c r="H13" s="71"/>
      <c r="I13" s="71"/>
      <c r="J13" s="71"/>
      <c r="K13" s="106"/>
    </row>
    <row r="14" spans="1:14" ht="15">
      <c r="B14" s="67">
        <v>5</v>
      </c>
      <c r="C14" s="209" t="s">
        <v>79</v>
      </c>
      <c r="D14" s="427">
        <f>D30</f>
        <v>613.46120867034051</v>
      </c>
      <c r="E14" s="377">
        <f>E30</f>
        <v>604.39454200367391</v>
      </c>
      <c r="F14" s="321">
        <f>G14-E14</f>
        <v>0</v>
      </c>
      <c r="G14" s="300">
        <f>G30</f>
        <v>604.39454200367391</v>
      </c>
      <c r="H14" s="586">
        <f>H30</f>
        <v>519.83583051193591</v>
      </c>
      <c r="I14" s="377">
        <f>I30</f>
        <v>525.04249717860262</v>
      </c>
      <c r="J14" s="321">
        <f>K14-I14</f>
        <v>0</v>
      </c>
      <c r="K14" s="300">
        <f>K30</f>
        <v>525.04249717860262</v>
      </c>
    </row>
    <row r="15" spans="1:14" ht="15">
      <c r="B15" s="67">
        <v>6</v>
      </c>
      <c r="C15" s="580" t="s">
        <v>94</v>
      </c>
      <c r="D15" s="378">
        <f>D43</f>
        <v>1386.7190585641627</v>
      </c>
      <c r="E15" s="380">
        <f>E43</f>
        <v>1466.4190585641627</v>
      </c>
      <c r="F15" s="319">
        <f>G15-E15</f>
        <v>0</v>
      </c>
      <c r="G15" s="379">
        <f>G43</f>
        <v>1466.4190585641627</v>
      </c>
      <c r="H15" s="380">
        <f>H43</f>
        <v>1415.3680802350289</v>
      </c>
      <c r="I15" s="380">
        <f>I43</f>
        <v>1481.8080802350289</v>
      </c>
      <c r="J15" s="319">
        <f>K15-I15</f>
        <v>0</v>
      </c>
      <c r="K15" s="379">
        <f>K43</f>
        <v>1481.8080802350289</v>
      </c>
    </row>
    <row r="16" spans="1:14" ht="15">
      <c r="B16" s="67">
        <v>7</v>
      </c>
      <c r="C16" s="580" t="s">
        <v>95</v>
      </c>
      <c r="D16" s="381">
        <f>D52</f>
        <v>1076.123991436712</v>
      </c>
      <c r="E16" s="384">
        <f>E52</f>
        <v>1183.0239914367119</v>
      </c>
      <c r="F16" s="382">
        <f>G16-E16</f>
        <v>0</v>
      </c>
      <c r="G16" s="383">
        <f>G52</f>
        <v>1183.0239914367119</v>
      </c>
      <c r="H16" s="384">
        <f>H52</f>
        <v>1284.5874955602794</v>
      </c>
      <c r="I16" s="384">
        <f>I52</f>
        <v>1335.4074955602794</v>
      </c>
      <c r="J16" s="382">
        <f>K16-I16</f>
        <v>0</v>
      </c>
      <c r="K16" s="383">
        <f>K52</f>
        <v>1335.4074955602794</v>
      </c>
      <c r="L16" s="1"/>
    </row>
    <row r="17" spans="2:15" ht="16.5" thickBot="1">
      <c r="B17" s="67">
        <v>8</v>
      </c>
      <c r="C17" s="208" t="s">
        <v>76</v>
      </c>
      <c r="D17" s="385">
        <f>D14+D15-D16</f>
        <v>924.05627579779116</v>
      </c>
      <c r="E17" s="387">
        <f>E14+E15-E16</f>
        <v>887.78960913112473</v>
      </c>
      <c r="F17" s="341">
        <f>G17-E17</f>
        <v>0</v>
      </c>
      <c r="G17" s="386">
        <f>G14+G15-G16</f>
        <v>887.78960913112473</v>
      </c>
      <c r="H17" s="387">
        <f>H14+H15-H16</f>
        <v>650.61641518668534</v>
      </c>
      <c r="I17" s="387">
        <f>I14+I15-I16</f>
        <v>671.44308185335217</v>
      </c>
      <c r="J17" s="341">
        <f>K17-I17</f>
        <v>0</v>
      </c>
      <c r="K17" s="386">
        <f>K14+K15-K16</f>
        <v>671.44308185335217</v>
      </c>
    </row>
    <row r="18" spans="2:15" ht="15">
      <c r="B18" s="95"/>
      <c r="C18" s="20"/>
      <c r="D18" s="105"/>
      <c r="E18" s="71"/>
      <c r="F18" s="71"/>
      <c r="G18" s="106"/>
      <c r="H18" s="71"/>
      <c r="I18" s="71"/>
      <c r="J18" s="71"/>
      <c r="K18" s="106"/>
    </row>
    <row r="19" spans="2:15" ht="16.5" thickBot="1">
      <c r="B19" s="21" t="s">
        <v>136</v>
      </c>
      <c r="C19" s="71"/>
      <c r="D19" s="105"/>
      <c r="E19" s="71"/>
      <c r="F19" s="71"/>
      <c r="G19" s="106"/>
      <c r="H19" s="71"/>
      <c r="I19" s="71"/>
      <c r="J19" s="71"/>
      <c r="K19" s="106"/>
    </row>
    <row r="20" spans="2:15" ht="15.75">
      <c r="B20" s="67">
        <v>9</v>
      </c>
      <c r="C20" s="209" t="s">
        <v>88</v>
      </c>
      <c r="D20" s="388">
        <f>D17*D8</f>
        <v>138.60844136966867</v>
      </c>
      <c r="E20" s="391">
        <f>E17*E8</f>
        <v>133.1684413696687</v>
      </c>
      <c r="F20" s="397">
        <f>G20-E20</f>
        <v>0</v>
      </c>
      <c r="G20" s="390">
        <f>G17*G8</f>
        <v>133.1684413696687</v>
      </c>
      <c r="H20" s="391">
        <f>H17*H8</f>
        <v>97.592462278002799</v>
      </c>
      <c r="I20" s="391">
        <f>I17*I8</f>
        <v>100.71646227800282</v>
      </c>
      <c r="J20" s="397">
        <f>K20-I20</f>
        <v>0</v>
      </c>
      <c r="K20" s="390">
        <f>K17*K8</f>
        <v>100.71646227800282</v>
      </c>
    </row>
    <row r="21" spans="2:15" ht="15">
      <c r="B21" s="67">
        <v>10</v>
      </c>
      <c r="C21" s="209" t="s">
        <v>89</v>
      </c>
      <c r="D21" s="392">
        <f>D17*(D9+D10)</f>
        <v>92.405627579779122</v>
      </c>
      <c r="E21" s="395">
        <f>E17*(E9+E10)</f>
        <v>88.778960913112485</v>
      </c>
      <c r="F21" s="319">
        <f>G21-E21</f>
        <v>0</v>
      </c>
      <c r="G21" s="394">
        <f>G17*(G9+G10)</f>
        <v>88.778960913112485</v>
      </c>
      <c r="H21" s="395">
        <f>H17*(H9+H10)</f>
        <v>65.061641518668537</v>
      </c>
      <c r="I21" s="395">
        <f>I17*(I9+I10)</f>
        <v>67.14430818533522</v>
      </c>
      <c r="J21" s="319">
        <f>K21-I21</f>
        <v>0</v>
      </c>
      <c r="K21" s="394">
        <f>K17*(K9+K10)</f>
        <v>67.14430818533522</v>
      </c>
    </row>
    <row r="22" spans="2:15" ht="15">
      <c r="B22" s="67">
        <v>11</v>
      </c>
      <c r="C22" s="209" t="s">
        <v>90</v>
      </c>
      <c r="D22" s="392">
        <f>'4. OEB_Adjustment_Input_Sheet'!D146</f>
        <v>-10.399999999999999</v>
      </c>
      <c r="E22" s="395">
        <f>'4. OEB_Adjustment_Input_Sheet'!E146</f>
        <v>-10.399999999999999</v>
      </c>
      <c r="F22" s="401">
        <f>G22-E22</f>
        <v>0</v>
      </c>
      <c r="G22" s="394">
        <f>'4. OEB_Adjustment_Input_Sheet'!G146</f>
        <v>-10.399999999999999</v>
      </c>
      <c r="H22" s="395">
        <f>'4. OEB_Adjustment_Input_Sheet'!H146</f>
        <v>-10.399999999999999</v>
      </c>
      <c r="I22" s="395">
        <f>'4. OEB_Adjustment_Input_Sheet'!I146</f>
        <v>-10.399999999999999</v>
      </c>
      <c r="J22" s="401">
        <f>K22-I22</f>
        <v>0</v>
      </c>
      <c r="K22" s="394">
        <f>'4. OEB_Adjustment_Input_Sheet'!K146</f>
        <v>-10.399999999999999</v>
      </c>
    </row>
    <row r="23" spans="2:15" ht="16.5" thickBot="1">
      <c r="B23" s="170">
        <v>12</v>
      </c>
      <c r="C23" s="208" t="s">
        <v>77</v>
      </c>
      <c r="D23" s="418">
        <f>SUM(D20:D22)</f>
        <v>220.61406894944778</v>
      </c>
      <c r="E23" s="591">
        <f>SUM(E20:E22)</f>
        <v>211.54740228278118</v>
      </c>
      <c r="F23" s="620">
        <f>G23-E23</f>
        <v>0</v>
      </c>
      <c r="G23" s="419">
        <f>SUM(G20:G22)</f>
        <v>211.54740228278118</v>
      </c>
      <c r="H23" s="591">
        <f>SUM(H20:H22)</f>
        <v>152.25410379667133</v>
      </c>
      <c r="I23" s="591">
        <f>SUM(I20:I22)</f>
        <v>157.46077046333804</v>
      </c>
      <c r="J23" s="620">
        <f>K23-I23</f>
        <v>0</v>
      </c>
      <c r="K23" s="419">
        <f>SUM(K20:K22)</f>
        <v>157.46077046333804</v>
      </c>
    </row>
    <row r="24" spans="2:15">
      <c r="B24" s="105"/>
      <c r="C24" s="71"/>
      <c r="D24" s="206"/>
      <c r="E24" s="71"/>
      <c r="F24" s="71"/>
      <c r="G24" s="106"/>
      <c r="H24" s="71"/>
      <c r="I24" s="71"/>
      <c r="J24" s="71"/>
      <c r="K24" s="106"/>
    </row>
    <row r="25" spans="2:15" ht="16.5" thickBot="1">
      <c r="B25" s="21" t="s">
        <v>137</v>
      </c>
      <c r="C25" s="71"/>
      <c r="D25" s="206"/>
      <c r="E25" s="71"/>
      <c r="F25" s="71"/>
      <c r="G25" s="106"/>
      <c r="H25" s="71"/>
      <c r="I25" s="71"/>
      <c r="J25" s="71"/>
      <c r="K25" s="106"/>
      <c r="O25" s="1"/>
    </row>
    <row r="26" spans="2:15" ht="15.75">
      <c r="B26" s="67">
        <v>13</v>
      </c>
      <c r="C26" s="208" t="s">
        <v>91</v>
      </c>
      <c r="D26" s="396">
        <f>'5. Rate_Base_&amp;_Cost_of_Capital'!E98*'4. OEB_Adjustment_Input_Sheet'!E8*'4. OEB_Adjustment_Input_Sheet'!E18</f>
        <v>420.23101825478568</v>
      </c>
      <c r="E26" s="399">
        <f>'5. Rate_Base_&amp;_Cost_of_Capital'!E98*'4. OEB_Adjustment_Input_Sheet'!E8*'4. OEB_Adjustment_Input_Sheet'!E18</f>
        <v>420.23101825478568</v>
      </c>
      <c r="F26" s="397">
        <f>G26-E26</f>
        <v>0</v>
      </c>
      <c r="G26" s="398">
        <f>'5. Rate_Base_&amp;_Cost_of_Capital'!G98*'4. OEB_Adjustment_Input_Sheet'!G8*'4. OEB_Adjustment_Input_Sheet'!G18</f>
        <v>420.23101825478568</v>
      </c>
      <c r="H26" s="399">
        <f>'5. Rate_Base_&amp;_Cost_of_Capital'!H98*'4. OEB_Adjustment_Input_Sheet'!H8*'4. OEB_Adjustment_Input_Sheet'!H18</f>
        <v>420.49868103684116</v>
      </c>
      <c r="I26" s="399">
        <f>'5. Rate_Base_&amp;_Cost_of_Capital'!I98*'4. OEB_Adjustment_Input_Sheet'!I8*'4. OEB_Adjustment_Input_Sheet'!I18</f>
        <v>420.49868103684116</v>
      </c>
      <c r="J26" s="397">
        <f>K26-I26</f>
        <v>0</v>
      </c>
      <c r="K26" s="398">
        <f>'5. Rate_Base_&amp;_Cost_of_Capital'!K98*'4. OEB_Adjustment_Input_Sheet'!K8*'4. OEB_Adjustment_Input_Sheet'!K18</f>
        <v>420.49868103684116</v>
      </c>
    </row>
    <row r="27" spans="2:15" ht="15">
      <c r="B27" s="67">
        <v>14</v>
      </c>
      <c r="C27" s="209" t="s">
        <v>50</v>
      </c>
      <c r="D27" s="430">
        <f>'4. OEB_Adjustment_Input_Sheet'!D101</f>
        <v>39.683878533892937</v>
      </c>
      <c r="E27" s="400">
        <f>'4. OEB_Adjustment_Input_Sheet'!E101</f>
        <v>39.683878533892937</v>
      </c>
      <c r="F27" s="319">
        <f>G27-E27</f>
        <v>0</v>
      </c>
      <c r="G27" s="309">
        <f>'4. OEB_Adjustment_Input_Sheet'!G101</f>
        <v>39.683878533892937</v>
      </c>
      <c r="H27" s="400">
        <f>'4. OEB_Adjustment_Input_Sheet'!H101</f>
        <v>40.616954321576657</v>
      </c>
      <c r="I27" s="400">
        <f>'4. OEB_Adjustment_Input_Sheet'!I101</f>
        <v>40.616954321576657</v>
      </c>
      <c r="J27" s="319">
        <f>K27-I27</f>
        <v>0</v>
      </c>
      <c r="K27" s="309">
        <f>'4. OEB_Adjustment_Input_Sheet'!K101</f>
        <v>40.616954321576657</v>
      </c>
    </row>
    <row r="28" spans="2:15" ht="15">
      <c r="B28" s="67">
        <v>15</v>
      </c>
      <c r="C28" s="209" t="s">
        <v>74</v>
      </c>
      <c r="D28" s="430">
        <f>((D26-D27+D29+D15-D16)*D8/(1-D11))+((D26-D27+D29+D15-D16)*(D9+D10)/(1-D11))+(D22/(1-D11))</f>
        <v>220.61406894944781</v>
      </c>
      <c r="E28" s="400">
        <f>((E26-E27+E29+E15-E16)*E8/(1-E11))+((E26-E27+E29+E15-E16)*(E9+E10)/(1-E11))+(E22/(1-E11))</f>
        <v>211.54740228278118</v>
      </c>
      <c r="F28" s="401">
        <f>G28-E28</f>
        <v>0</v>
      </c>
      <c r="G28" s="309">
        <f>((G26-G27+G29+G15-G16)*G8/(1-G11))+((G26-G27+G29+G15-G16)*(G9+G10)/(1-G11))+(G22/(1-G11))</f>
        <v>211.54740228278118</v>
      </c>
      <c r="H28" s="400">
        <f>((H26-H27+H29+H15-H16)*H8/(1-H11))+((H26-H27+H29+H15-H16)*(H9+H10)/(1-H11))+(H22/(1-H11))</f>
        <v>152.2541037966713</v>
      </c>
      <c r="I28" s="400">
        <f>((I26-I27+I29+I15-I16)*I8/(1-I11))+((I26-I27+I29+I15-I16)*(I9+I10)/(1-I11))+(I22/(1-I11))</f>
        <v>157.46077046333801</v>
      </c>
      <c r="J28" s="401">
        <f>K28-I28</f>
        <v>0</v>
      </c>
      <c r="K28" s="309">
        <f>((K26-K27+K29+K15-K16)*K8/(1-K11))+((K26-K27+K29+K15-K16)*(K9+K10)/(1-K11))+(K22/(1-K11))</f>
        <v>157.46077046333801</v>
      </c>
      <c r="L28" s="171"/>
      <c r="M28" s="171"/>
    </row>
    <row r="29" spans="2:15" ht="15">
      <c r="B29" s="67">
        <v>16</v>
      </c>
      <c r="C29" s="209" t="s">
        <v>93</v>
      </c>
      <c r="D29" s="381">
        <f>'4. OEB_Adjustment_Input_Sheet'!D147</f>
        <v>12.3</v>
      </c>
      <c r="E29" s="384">
        <f>'4. OEB_Adjustment_Input_Sheet'!E147</f>
        <v>12.3</v>
      </c>
      <c r="F29" s="337">
        <f>G29-E29</f>
        <v>0</v>
      </c>
      <c r="G29" s="383">
        <f>'4. OEB_Adjustment_Input_Sheet'!G147</f>
        <v>12.3</v>
      </c>
      <c r="H29" s="384">
        <f>'4. OEB_Adjustment_Input_Sheet'!H147</f>
        <v>-12.3</v>
      </c>
      <c r="I29" s="384">
        <f>'4. OEB_Adjustment_Input_Sheet'!I147</f>
        <v>-12.3</v>
      </c>
      <c r="J29" s="337">
        <f>K29-I29</f>
        <v>0</v>
      </c>
      <c r="K29" s="383">
        <f>'4. OEB_Adjustment_Input_Sheet'!K147</f>
        <v>-12.3</v>
      </c>
    </row>
    <row r="30" spans="2:15" ht="16.5" thickBot="1">
      <c r="B30" s="67">
        <v>17</v>
      </c>
      <c r="C30" s="208" t="s">
        <v>92</v>
      </c>
      <c r="D30" s="313">
        <f>D26-D27+D28+D29</f>
        <v>613.46120867034051</v>
      </c>
      <c r="E30" s="402">
        <f>E26-E27+E28+E29</f>
        <v>604.39454200367391</v>
      </c>
      <c r="F30" s="341">
        <f>G30-E30</f>
        <v>0</v>
      </c>
      <c r="G30" s="315">
        <f>G26-G27+G28+G29</f>
        <v>604.39454200367391</v>
      </c>
      <c r="H30" s="402">
        <f>H26-H27+H28+H29</f>
        <v>519.83583051193591</v>
      </c>
      <c r="I30" s="402">
        <f>I26-I27+I28+I29</f>
        <v>525.04249717860262</v>
      </c>
      <c r="J30" s="341">
        <f>K30-I30</f>
        <v>0</v>
      </c>
      <c r="K30" s="315">
        <f>K26-K27+K28+K29</f>
        <v>525.04249717860262</v>
      </c>
    </row>
    <row r="31" spans="2:15" ht="18">
      <c r="B31" s="105"/>
      <c r="C31" s="190"/>
      <c r="D31" s="274"/>
      <c r="E31" s="275"/>
      <c r="F31" s="71"/>
      <c r="G31" s="106"/>
      <c r="H31" s="275"/>
      <c r="I31" s="275"/>
      <c r="J31" s="71"/>
      <c r="K31" s="106"/>
    </row>
    <row r="32" spans="2:15" ht="15.75">
      <c r="B32" s="21" t="s">
        <v>138</v>
      </c>
      <c r="C32" s="71"/>
      <c r="D32" s="274"/>
      <c r="E32" s="71"/>
      <c r="F32" s="71"/>
      <c r="G32" s="204"/>
      <c r="H32" s="71"/>
      <c r="I32" s="71"/>
      <c r="J32" s="71"/>
      <c r="K32" s="204"/>
    </row>
    <row r="33" spans="2:12" ht="16.5" thickBot="1">
      <c r="B33" s="105"/>
      <c r="C33" s="208" t="s">
        <v>96</v>
      </c>
      <c r="D33" s="105"/>
      <c r="E33" s="71"/>
      <c r="F33" s="71"/>
      <c r="G33" s="106"/>
      <c r="H33" s="71"/>
      <c r="I33" s="71"/>
      <c r="J33" s="71"/>
      <c r="K33" s="106"/>
    </row>
    <row r="34" spans="2:12" ht="15">
      <c r="B34" s="67">
        <v>18</v>
      </c>
      <c r="C34" s="209" t="s">
        <v>97</v>
      </c>
      <c r="D34" s="299">
        <f>'4. OEB_Adjustment_Input_Sheet'!D123</f>
        <v>418.0077304305637</v>
      </c>
      <c r="E34" s="377">
        <f>'4. OEB_Adjustment_Input_Sheet'!E123</f>
        <v>418.0077304305637</v>
      </c>
      <c r="F34" s="321">
        <f t="shared" ref="F34:F43" si="0">G34-E34</f>
        <v>0</v>
      </c>
      <c r="G34" s="300">
        <f>'4. OEB_Adjustment_Input_Sheet'!G123</f>
        <v>418.0077304305637</v>
      </c>
      <c r="H34" s="377">
        <f>'4. OEB_Adjustment_Input_Sheet'!H123</f>
        <v>433.57034676979333</v>
      </c>
      <c r="I34" s="377">
        <f>'4. OEB_Adjustment_Input_Sheet'!I123</f>
        <v>433.57034676979333</v>
      </c>
      <c r="J34" s="321">
        <f t="shared" ref="J34:J43" si="1">K34-I34</f>
        <v>0</v>
      </c>
      <c r="K34" s="300">
        <f>'4. OEB_Adjustment_Input_Sheet'!K123</f>
        <v>433.57034676979333</v>
      </c>
    </row>
    <row r="35" spans="2:12" ht="15">
      <c r="B35" s="67">
        <v>19</v>
      </c>
      <c r="C35" s="209" t="s">
        <v>98</v>
      </c>
      <c r="D35" s="305">
        <f>'4. OEB_Adjustment_Input_Sheet'!D152</f>
        <v>59.260469603080523</v>
      </c>
      <c r="E35" s="400">
        <f>'4. OEB_Adjustment_Input_Sheet'!E152</f>
        <v>59.260469603080523</v>
      </c>
      <c r="F35" s="401">
        <f t="shared" si="0"/>
        <v>0</v>
      </c>
      <c r="G35" s="309">
        <f>'4. OEB_Adjustment_Input_Sheet'!G152</f>
        <v>59.260469603080523</v>
      </c>
      <c r="H35" s="400">
        <f>'4. OEB_Adjustment_Input_Sheet'!H152</f>
        <v>62.175748549348178</v>
      </c>
      <c r="I35" s="400">
        <f>'4. OEB_Adjustment_Input_Sheet'!I152</f>
        <v>62.175748549348178</v>
      </c>
      <c r="J35" s="401">
        <f t="shared" si="1"/>
        <v>0</v>
      </c>
      <c r="K35" s="309">
        <f>'4. OEB_Adjustment_Input_Sheet'!K152</f>
        <v>62.175748549348178</v>
      </c>
    </row>
    <row r="36" spans="2:12" ht="15">
      <c r="B36" s="67">
        <v>20</v>
      </c>
      <c r="C36" s="209" t="s">
        <v>99</v>
      </c>
      <c r="D36" s="305">
        <f>'4. OEB_Adjustment_Input_Sheet'!D153</f>
        <v>62.632625982601645</v>
      </c>
      <c r="E36" s="400">
        <f>'4. OEB_Adjustment_Input_Sheet'!E153</f>
        <v>62.632625982601645</v>
      </c>
      <c r="F36" s="401">
        <f t="shared" si="0"/>
        <v>0</v>
      </c>
      <c r="G36" s="309">
        <f>'4. OEB_Adjustment_Input_Sheet'!G153</f>
        <v>62.632625982601645</v>
      </c>
      <c r="H36" s="400">
        <f>'4. OEB_Adjustment_Input_Sheet'!H153</f>
        <v>116.49271543185633</v>
      </c>
      <c r="I36" s="400">
        <f>'4. OEB_Adjustment_Input_Sheet'!I153</f>
        <v>116.49271543185633</v>
      </c>
      <c r="J36" s="401">
        <f t="shared" si="1"/>
        <v>0</v>
      </c>
      <c r="K36" s="309">
        <f>'4. OEB_Adjustment_Input_Sheet'!K153</f>
        <v>116.49271543185633</v>
      </c>
    </row>
    <row r="37" spans="2:12" ht="15">
      <c r="B37" s="67">
        <v>21</v>
      </c>
      <c r="C37" s="209" t="s">
        <v>100</v>
      </c>
      <c r="D37" s="305">
        <f>'4. OEB_Adjustment_Input_Sheet'!D154</f>
        <v>682</v>
      </c>
      <c r="E37" s="400">
        <f>'4. OEB_Adjustment_Input_Sheet'!E154</f>
        <v>761.7</v>
      </c>
      <c r="F37" s="401">
        <f t="shared" si="0"/>
        <v>0</v>
      </c>
      <c r="G37" s="309">
        <f>'4. OEB_Adjustment_Input_Sheet'!G154</f>
        <v>761.7</v>
      </c>
      <c r="H37" s="400">
        <f>'4. OEB_Adjustment_Input_Sheet'!H154</f>
        <v>672.69999999999993</v>
      </c>
      <c r="I37" s="400">
        <f>'4. OEB_Adjustment_Input_Sheet'!I154</f>
        <v>739.14</v>
      </c>
      <c r="J37" s="401">
        <f t="shared" si="1"/>
        <v>0</v>
      </c>
      <c r="K37" s="309">
        <f>'4. OEB_Adjustment_Input_Sheet'!K154</f>
        <v>739.14</v>
      </c>
      <c r="L37" s="1"/>
    </row>
    <row r="38" spans="2:12" ht="15.75" customHeight="1">
      <c r="B38" s="67">
        <v>22</v>
      </c>
      <c r="C38" s="209" t="s">
        <v>104</v>
      </c>
      <c r="D38" s="305">
        <f>'4. OEB_Adjustment_Input_Sheet'!D155</f>
        <v>41.932302390847298</v>
      </c>
      <c r="E38" s="400">
        <f>'4. OEB_Adjustment_Input_Sheet'!E155</f>
        <v>41.932302390847298</v>
      </c>
      <c r="F38" s="401">
        <f t="shared" si="0"/>
        <v>0</v>
      </c>
      <c r="G38" s="309">
        <f>'4. OEB_Adjustment_Input_Sheet'!G155</f>
        <v>41.932302390847298</v>
      </c>
      <c r="H38" s="400">
        <f>'4. OEB_Adjustment_Input_Sheet'!H155</f>
        <v>0</v>
      </c>
      <c r="I38" s="400">
        <f>'4. OEB_Adjustment_Input_Sheet'!I155</f>
        <v>0</v>
      </c>
      <c r="J38" s="401">
        <f t="shared" si="1"/>
        <v>0</v>
      </c>
      <c r="K38" s="309">
        <f>'4. OEB_Adjustment_Input_Sheet'!K155</f>
        <v>0</v>
      </c>
    </row>
    <row r="39" spans="2:12" ht="15.75" customHeight="1">
      <c r="B39" s="67">
        <v>23</v>
      </c>
      <c r="C39" s="209" t="s">
        <v>105</v>
      </c>
      <c r="D39" s="305">
        <f>'4. OEB_Adjustment_Input_Sheet'!D156</f>
        <v>-12.44</v>
      </c>
      <c r="E39" s="400">
        <f>'4. OEB_Adjustment_Input_Sheet'!E156</f>
        <v>-12.44</v>
      </c>
      <c r="F39" s="401">
        <f t="shared" si="0"/>
        <v>0</v>
      </c>
      <c r="G39" s="309">
        <f>'4. OEB_Adjustment_Input_Sheet'!G156</f>
        <v>-12.44</v>
      </c>
      <c r="H39" s="400">
        <f>'4. OEB_Adjustment_Input_Sheet'!H156</f>
        <v>0</v>
      </c>
      <c r="I39" s="400">
        <f>'4. OEB_Adjustment_Input_Sheet'!I156</f>
        <v>0</v>
      </c>
      <c r="J39" s="401">
        <f t="shared" si="1"/>
        <v>0</v>
      </c>
      <c r="K39" s="309">
        <f>'4. OEB_Adjustment_Input_Sheet'!K156</f>
        <v>0</v>
      </c>
    </row>
    <row r="40" spans="2:12" ht="15.75" customHeight="1">
      <c r="B40" s="67">
        <v>24</v>
      </c>
      <c r="C40" s="209" t="s">
        <v>101</v>
      </c>
      <c r="D40" s="305">
        <f>'4. OEB_Adjustment_Input_Sheet'!D157</f>
        <v>74.614428604314043</v>
      </c>
      <c r="E40" s="400">
        <f>'4. OEB_Adjustment_Input_Sheet'!E157</f>
        <v>74.614428604314043</v>
      </c>
      <c r="F40" s="319">
        <f t="shared" si="0"/>
        <v>0</v>
      </c>
      <c r="G40" s="309">
        <f>'4. OEB_Adjustment_Input_Sheet'!G157</f>
        <v>74.614428604314043</v>
      </c>
      <c r="H40" s="400">
        <f>'4. OEB_Adjustment_Input_Sheet'!H157</f>
        <v>70.280838604314056</v>
      </c>
      <c r="I40" s="400">
        <f>'4. OEB_Adjustment_Input_Sheet'!I157</f>
        <v>70.280838604314056</v>
      </c>
      <c r="J40" s="319">
        <f t="shared" si="1"/>
        <v>0</v>
      </c>
      <c r="K40" s="309">
        <f>'4. OEB_Adjustment_Input_Sheet'!K157</f>
        <v>70.280838604314056</v>
      </c>
    </row>
    <row r="41" spans="2:12" ht="15.75" customHeight="1">
      <c r="B41" s="67">
        <v>25</v>
      </c>
      <c r="C41" s="209" t="s">
        <v>102</v>
      </c>
      <c r="D41" s="305">
        <f>'4. OEB_Adjustment_Input_Sheet'!D158</f>
        <v>14.8</v>
      </c>
      <c r="E41" s="400">
        <f>'4. OEB_Adjustment_Input_Sheet'!E158</f>
        <v>14.8</v>
      </c>
      <c r="F41" s="401">
        <f t="shared" si="0"/>
        <v>0</v>
      </c>
      <c r="G41" s="309">
        <f>'4. OEB_Adjustment_Input_Sheet'!G158</f>
        <v>14.8</v>
      </c>
      <c r="H41" s="400">
        <f>'4. OEB_Adjustment_Input_Sheet'!H158</f>
        <v>10.399999999999999</v>
      </c>
      <c r="I41" s="400">
        <f>'4. OEB_Adjustment_Input_Sheet'!I158</f>
        <v>10.399999999999999</v>
      </c>
      <c r="J41" s="401">
        <f t="shared" si="1"/>
        <v>0</v>
      </c>
      <c r="K41" s="309">
        <f>'4. OEB_Adjustment_Input_Sheet'!K158</f>
        <v>10.399999999999999</v>
      </c>
    </row>
    <row r="42" spans="2:12" ht="15">
      <c r="B42" s="67">
        <v>26</v>
      </c>
      <c r="C42" s="209" t="s">
        <v>103</v>
      </c>
      <c r="D42" s="310">
        <f>'4. OEB_Adjustment_Input_Sheet'!D159</f>
        <v>45.911501552755347</v>
      </c>
      <c r="E42" s="403">
        <f>'4. OEB_Adjustment_Input_Sheet'!E159</f>
        <v>45.911501552755347</v>
      </c>
      <c r="F42" s="382">
        <f t="shared" si="0"/>
        <v>0</v>
      </c>
      <c r="G42" s="316">
        <f>'4. OEB_Adjustment_Input_Sheet'!G159</f>
        <v>45.911501552755347</v>
      </c>
      <c r="H42" s="403">
        <f>'4. OEB_Adjustment_Input_Sheet'!H159</f>
        <v>49.748430879716956</v>
      </c>
      <c r="I42" s="403">
        <f>'4. OEB_Adjustment_Input_Sheet'!I159</f>
        <v>49.748430879716956</v>
      </c>
      <c r="J42" s="382">
        <f t="shared" si="1"/>
        <v>0</v>
      </c>
      <c r="K42" s="316">
        <f>'4. OEB_Adjustment_Input_Sheet'!K159</f>
        <v>49.748430879716956</v>
      </c>
    </row>
    <row r="43" spans="2:12" ht="16.5" thickBot="1">
      <c r="B43" s="67">
        <v>27</v>
      </c>
      <c r="C43" s="208" t="s">
        <v>106</v>
      </c>
      <c r="D43" s="313">
        <f>SUM(D34:D42)</f>
        <v>1386.7190585641627</v>
      </c>
      <c r="E43" s="402">
        <f>SUM(E34:E42)</f>
        <v>1466.4190585641627</v>
      </c>
      <c r="F43" s="341">
        <f t="shared" si="0"/>
        <v>0</v>
      </c>
      <c r="G43" s="315">
        <f>SUM(G34:G42)</f>
        <v>1466.4190585641627</v>
      </c>
      <c r="H43" s="402">
        <f>SUM(H34:H42)</f>
        <v>1415.3680802350289</v>
      </c>
      <c r="I43" s="402">
        <f>SUM(I34:I42)</f>
        <v>1481.8080802350289</v>
      </c>
      <c r="J43" s="341">
        <f t="shared" si="1"/>
        <v>0</v>
      </c>
      <c r="K43" s="315">
        <f>SUM(K34:K42)</f>
        <v>1481.8080802350289</v>
      </c>
    </row>
    <row r="44" spans="2:12" ht="15">
      <c r="B44" s="105"/>
      <c r="C44" s="209"/>
      <c r="D44" s="178"/>
      <c r="E44" s="71"/>
      <c r="F44" s="71"/>
      <c r="G44" s="106"/>
      <c r="H44" s="71"/>
      <c r="I44" s="71"/>
      <c r="J44" s="71"/>
      <c r="K44" s="106"/>
    </row>
    <row r="45" spans="2:12" ht="16.5" thickBot="1">
      <c r="B45" s="105"/>
      <c r="C45" s="208" t="s">
        <v>107</v>
      </c>
      <c r="D45" s="105"/>
      <c r="E45" s="71"/>
      <c r="F45" s="71"/>
      <c r="G45" s="106"/>
      <c r="H45" s="71"/>
      <c r="I45" s="71"/>
      <c r="J45" s="71"/>
      <c r="K45" s="106"/>
    </row>
    <row r="46" spans="2:12" ht="15">
      <c r="B46" s="67">
        <v>28</v>
      </c>
      <c r="C46" s="209" t="s">
        <v>108</v>
      </c>
      <c r="D46" s="299">
        <f>'4. OEB_Adjustment_Input_Sheet'!D163</f>
        <v>419.00489579058075</v>
      </c>
      <c r="E46" s="377">
        <f>'4. OEB_Adjustment_Input_Sheet'!E163</f>
        <v>419.00489579058075</v>
      </c>
      <c r="F46" s="404">
        <f>G46-E46</f>
        <v>0</v>
      </c>
      <c r="G46" s="300">
        <f>'4. OEB_Adjustment_Input_Sheet'!G163</f>
        <v>419.00489579058075</v>
      </c>
      <c r="H46" s="377">
        <f>'4. OEB_Adjustment_Input_Sheet'!H163</f>
        <v>467.04733320203496</v>
      </c>
      <c r="I46" s="377">
        <f>'4. OEB_Adjustment_Input_Sheet'!I163</f>
        <v>467.04733320203496</v>
      </c>
      <c r="J46" s="404">
        <f t="shared" ref="J46:J52" si="2">K46-I46</f>
        <v>0</v>
      </c>
      <c r="K46" s="300">
        <f>'4. OEB_Adjustment_Input_Sheet'!K163</f>
        <v>467.04733320203496</v>
      </c>
    </row>
    <row r="47" spans="2:12" ht="15">
      <c r="B47" s="67">
        <v>29</v>
      </c>
      <c r="C47" s="209" t="s">
        <v>109</v>
      </c>
      <c r="D47" s="305">
        <f>'4. OEB_Adjustment_Input_Sheet'!D164</f>
        <v>148.8420818585692</v>
      </c>
      <c r="E47" s="400">
        <f>'4. OEB_Adjustment_Input_Sheet'!E164</f>
        <v>148.8420818585692</v>
      </c>
      <c r="F47" s="401">
        <f t="shared" ref="F47:F52" si="3">G47-E47</f>
        <v>0</v>
      </c>
      <c r="G47" s="309">
        <f>'4. OEB_Adjustment_Input_Sheet'!G164</f>
        <v>148.8420818585692</v>
      </c>
      <c r="H47" s="400">
        <f>'4. OEB_Adjustment_Input_Sheet'!H164</f>
        <v>197.57021728728165</v>
      </c>
      <c r="I47" s="400">
        <f>'4. OEB_Adjustment_Input_Sheet'!I164</f>
        <v>197.57021728728165</v>
      </c>
      <c r="J47" s="401">
        <f t="shared" si="2"/>
        <v>0</v>
      </c>
      <c r="K47" s="309">
        <f>'4. OEB_Adjustment_Input_Sheet'!K164</f>
        <v>197.57021728728165</v>
      </c>
    </row>
    <row r="48" spans="2:12" ht="15">
      <c r="B48" s="67">
        <v>30</v>
      </c>
      <c r="C48" s="209" t="s">
        <v>110</v>
      </c>
      <c r="D48" s="305">
        <f>'4. OEB_Adjustment_Input_Sheet'!D165</f>
        <v>170.07701378756204</v>
      </c>
      <c r="E48" s="400">
        <f>'4. OEB_Adjustment_Input_Sheet'!E165</f>
        <v>170.07701378756204</v>
      </c>
      <c r="F48" s="401">
        <f t="shared" si="3"/>
        <v>0</v>
      </c>
      <c r="G48" s="309">
        <f>'4. OEB_Adjustment_Input_Sheet'!G165</f>
        <v>170.07701378756204</v>
      </c>
      <c r="H48" s="400">
        <f>'4. OEB_Adjustment_Input_Sheet'!H165</f>
        <v>172.76994507096285</v>
      </c>
      <c r="I48" s="400">
        <f>'4. OEB_Adjustment_Input_Sheet'!I165</f>
        <v>172.76994507096285</v>
      </c>
      <c r="J48" s="401">
        <f t="shared" si="2"/>
        <v>0</v>
      </c>
      <c r="K48" s="309">
        <f>'4. OEB_Adjustment_Input_Sheet'!K165</f>
        <v>172.76994507096285</v>
      </c>
    </row>
    <row r="49" spans="2:11" ht="15">
      <c r="B49" s="67">
        <v>31</v>
      </c>
      <c r="C49" s="209" t="s">
        <v>111</v>
      </c>
      <c r="D49" s="305">
        <f>'4. OEB_Adjustment_Input_Sheet'!D166</f>
        <v>238</v>
      </c>
      <c r="E49" s="400">
        <f>'4. OEB_Adjustment_Input_Sheet'!E166</f>
        <v>355.3</v>
      </c>
      <c r="F49" s="319">
        <f t="shared" si="3"/>
        <v>0</v>
      </c>
      <c r="G49" s="309">
        <f>'4. OEB_Adjustment_Input_Sheet'!G166</f>
        <v>355.3</v>
      </c>
      <c r="H49" s="400">
        <f>'4. OEB_Adjustment_Input_Sheet'!H166</f>
        <v>340.2</v>
      </c>
      <c r="I49" s="400">
        <f>'4. OEB_Adjustment_Input_Sheet'!I166</f>
        <v>401.76</v>
      </c>
      <c r="J49" s="319">
        <f t="shared" si="2"/>
        <v>0</v>
      </c>
      <c r="K49" s="309">
        <f>'4. OEB_Adjustment_Input_Sheet'!K166</f>
        <v>401.76</v>
      </c>
    </row>
    <row r="50" spans="2:11" ht="15">
      <c r="B50" s="67">
        <v>32</v>
      </c>
      <c r="C50" s="209" t="s">
        <v>112</v>
      </c>
      <c r="D50" s="305">
        <f>'4. OEB_Adjustment_Input_Sheet'!D167</f>
        <v>99.7</v>
      </c>
      <c r="E50" s="400">
        <f>'4. OEB_Adjustment_Input_Sheet'!E167</f>
        <v>89.3</v>
      </c>
      <c r="F50" s="401">
        <f t="shared" si="3"/>
        <v>0</v>
      </c>
      <c r="G50" s="309">
        <f>'4. OEB_Adjustment_Input_Sheet'!G167</f>
        <v>89.3</v>
      </c>
      <c r="H50" s="400">
        <f>'4. OEB_Adjustment_Input_Sheet'!H167</f>
        <v>106.5</v>
      </c>
      <c r="I50" s="400">
        <f>'4. OEB_Adjustment_Input_Sheet'!I167</f>
        <v>95.76</v>
      </c>
      <c r="J50" s="401">
        <f t="shared" si="2"/>
        <v>0</v>
      </c>
      <c r="K50" s="309">
        <f>'4. OEB_Adjustment_Input_Sheet'!K167</f>
        <v>95.76</v>
      </c>
    </row>
    <row r="51" spans="2:11" ht="15">
      <c r="B51" s="67">
        <v>33</v>
      </c>
      <c r="C51" s="209" t="s">
        <v>103</v>
      </c>
      <c r="D51" s="310">
        <f>'4. OEB_Adjustment_Input_Sheet'!D168</f>
        <v>0.5</v>
      </c>
      <c r="E51" s="403">
        <f>'4. OEB_Adjustment_Input_Sheet'!E168</f>
        <v>0.5</v>
      </c>
      <c r="F51" s="382">
        <f t="shared" si="3"/>
        <v>0</v>
      </c>
      <c r="G51" s="316">
        <f>'4. OEB_Adjustment_Input_Sheet'!G168</f>
        <v>0.5</v>
      </c>
      <c r="H51" s="403">
        <f>'4. OEB_Adjustment_Input_Sheet'!H168</f>
        <v>0.5</v>
      </c>
      <c r="I51" s="403">
        <f>'4. OEB_Adjustment_Input_Sheet'!I168</f>
        <v>0.5</v>
      </c>
      <c r="J51" s="382">
        <f t="shared" si="2"/>
        <v>0</v>
      </c>
      <c r="K51" s="316">
        <f>'4. OEB_Adjustment_Input_Sheet'!K168</f>
        <v>0.5</v>
      </c>
    </row>
    <row r="52" spans="2:11" ht="16.5" thickBot="1">
      <c r="B52" s="68">
        <v>34</v>
      </c>
      <c r="C52" s="211" t="s">
        <v>113</v>
      </c>
      <c r="D52" s="313">
        <f>SUM(D46:D51)</f>
        <v>1076.123991436712</v>
      </c>
      <c r="E52" s="402">
        <f>SUM(E46:E51)</f>
        <v>1183.0239914367119</v>
      </c>
      <c r="F52" s="341">
        <f t="shared" si="3"/>
        <v>0</v>
      </c>
      <c r="G52" s="315">
        <f>SUM(G46:G51)</f>
        <v>1183.0239914367119</v>
      </c>
      <c r="H52" s="402">
        <f>SUM(H46:H51)</f>
        <v>1284.5874955602794</v>
      </c>
      <c r="I52" s="402">
        <f>SUM(I46:I51)</f>
        <v>1335.4074955602794</v>
      </c>
      <c r="J52" s="341">
        <f t="shared" si="2"/>
        <v>0</v>
      </c>
      <c r="K52" s="315">
        <f>SUM(K46:K51)</f>
        <v>1335.4074955602794</v>
      </c>
    </row>
    <row r="53" spans="2:11"/>
    <row r="54" spans="2:11" hidden="1"/>
    <row r="55" spans="2:11" hidden="1"/>
    <row r="56" spans="2:11" hidden="1"/>
    <row r="57" spans="2:11" hidden="1"/>
    <row r="58" spans="2:11" hidden="1"/>
    <row r="59" spans="2:11" hidden="1"/>
    <row r="60" spans="2:11" hidden="1"/>
    <row r="61" spans="2:11" hidden="1"/>
    <row r="62" spans="2:11" hidden="1"/>
    <row r="63" spans="2:11" hidden="1"/>
    <row r="64" spans="2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sheetProtection password="9F78" sheet="1" objects="1" scenarios="1"/>
  <mergeCells count="4">
    <mergeCell ref="B1:K1"/>
    <mergeCell ref="D2:K2"/>
    <mergeCell ref="D3:G3"/>
    <mergeCell ref="H3:K3"/>
  </mergeCells>
  <pageMargins left="1" right="1" top="1" bottom="1" header="0.5" footer="0.5"/>
  <pageSetup scale="53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P171"/>
  <sheetViews>
    <sheetView showGridLines="0" zoomScale="75" zoomScaleNormal="75" workbookViewId="0"/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39.5703125" style="3" customWidth="1"/>
    <col min="4" max="15" width="16.7109375" style="3" customWidth="1"/>
    <col min="16" max="16" width="8.7109375" style="3" customWidth="1"/>
    <col min="17" max="16384" width="9.140625" style="3" hidden="1"/>
  </cols>
  <sheetData>
    <row r="1" spans="2:16" ht="15.75" customHeight="1" thickBot="1">
      <c r="B1" s="440" t="s">
        <v>53</v>
      </c>
      <c r="C1" s="440"/>
      <c r="D1" s="463"/>
      <c r="E1" s="440"/>
      <c r="F1" s="440"/>
      <c r="G1" s="440"/>
      <c r="H1" s="463"/>
      <c r="I1" s="440"/>
      <c r="J1" s="440"/>
      <c r="K1" s="440"/>
      <c r="L1" s="463"/>
      <c r="M1" s="440"/>
      <c r="N1" s="440"/>
      <c r="O1" s="440"/>
    </row>
    <row r="2" spans="2:16" ht="15.75" customHeight="1" thickBot="1">
      <c r="B2" s="46"/>
      <c r="C2" s="46"/>
      <c r="D2" s="634" t="s">
        <v>62</v>
      </c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6"/>
    </row>
    <row r="3" spans="2:16" ht="15.75">
      <c r="B3" s="94"/>
      <c r="C3" s="92"/>
      <c r="D3" s="637">
        <v>2014</v>
      </c>
      <c r="E3" s="638"/>
      <c r="F3" s="639"/>
      <c r="G3" s="640"/>
      <c r="H3" s="637">
        <v>2015</v>
      </c>
      <c r="I3" s="639"/>
      <c r="J3" s="639"/>
      <c r="K3" s="640"/>
      <c r="L3" s="637" t="s">
        <v>0</v>
      </c>
      <c r="M3" s="639"/>
      <c r="N3" s="639"/>
      <c r="O3" s="640"/>
    </row>
    <row r="4" spans="2:16" ht="15.75">
      <c r="B4" s="87" t="s">
        <v>2</v>
      </c>
      <c r="C4" s="93"/>
      <c r="D4" s="9" t="s">
        <v>238</v>
      </c>
      <c r="E4" s="159" t="s">
        <v>238</v>
      </c>
      <c r="F4" s="498" t="s">
        <v>21</v>
      </c>
      <c r="G4" s="11" t="s">
        <v>21</v>
      </c>
      <c r="H4" s="9" t="s">
        <v>238</v>
      </c>
      <c r="I4" s="159" t="s">
        <v>238</v>
      </c>
      <c r="J4" s="498" t="s">
        <v>21</v>
      </c>
      <c r="K4" s="11" t="s">
        <v>21</v>
      </c>
      <c r="L4" s="9" t="s">
        <v>238</v>
      </c>
      <c r="M4" s="159" t="s">
        <v>238</v>
      </c>
      <c r="N4" s="498" t="s">
        <v>21</v>
      </c>
      <c r="O4" s="11" t="s">
        <v>21</v>
      </c>
    </row>
    <row r="5" spans="2:16" ht="16.5" thickBot="1">
      <c r="B5" s="54" t="s">
        <v>3</v>
      </c>
      <c r="C5" s="53" t="s">
        <v>1</v>
      </c>
      <c r="D5" s="506" t="s">
        <v>239</v>
      </c>
      <c r="E5" s="526">
        <v>41437</v>
      </c>
      <c r="F5" s="498" t="s">
        <v>15</v>
      </c>
      <c r="G5" s="11" t="s">
        <v>12</v>
      </c>
      <c r="H5" s="506" t="s">
        <v>239</v>
      </c>
      <c r="I5" s="526">
        <v>41437</v>
      </c>
      <c r="J5" s="498" t="s">
        <v>15</v>
      </c>
      <c r="K5" s="11" t="s">
        <v>12</v>
      </c>
      <c r="L5" s="506" t="s">
        <v>239</v>
      </c>
      <c r="M5" s="526">
        <v>41437</v>
      </c>
      <c r="N5" s="498" t="s">
        <v>15</v>
      </c>
      <c r="O5" s="11" t="s">
        <v>12</v>
      </c>
    </row>
    <row r="6" spans="2:16">
      <c r="B6" s="47"/>
      <c r="C6" s="110"/>
      <c r="D6" s="508" t="s">
        <v>4</v>
      </c>
      <c r="E6" s="509" t="s">
        <v>5</v>
      </c>
      <c r="F6" s="509" t="s">
        <v>6</v>
      </c>
      <c r="G6" s="510" t="s">
        <v>7</v>
      </c>
      <c r="H6" s="508" t="s">
        <v>8</v>
      </c>
      <c r="I6" s="509" t="s">
        <v>9</v>
      </c>
      <c r="J6" s="509" t="s">
        <v>11</v>
      </c>
      <c r="K6" s="510" t="s">
        <v>13</v>
      </c>
      <c r="L6" s="508" t="s">
        <v>14</v>
      </c>
      <c r="M6" s="509" t="s">
        <v>240</v>
      </c>
      <c r="N6" s="509" t="s">
        <v>241</v>
      </c>
      <c r="O6" s="510" t="s">
        <v>242</v>
      </c>
    </row>
    <row r="7" spans="2:16" ht="15" customHeight="1" thickBot="1">
      <c r="B7" s="175" t="s">
        <v>65</v>
      </c>
      <c r="C7" s="20"/>
      <c r="D7" s="16"/>
      <c r="E7" s="587"/>
      <c r="F7" s="49"/>
      <c r="G7" s="50"/>
      <c r="H7" s="62"/>
      <c r="I7" s="49"/>
      <c r="J7" s="49"/>
      <c r="K7" s="50"/>
      <c r="L7" s="62"/>
      <c r="M7" s="58"/>
      <c r="N7" s="58"/>
      <c r="O7" s="61"/>
      <c r="P7" s="20"/>
    </row>
    <row r="8" spans="2:16">
      <c r="B8" s="60">
        <v>1</v>
      </c>
      <c r="C8" s="64" t="s">
        <v>30</v>
      </c>
      <c r="D8" s="405">
        <f>'4. OEB_Adjustment_Input_Sheet'!D14*'4. OEB_Adjustment_Input_Sheet'!D37/'5. Rate_Base_&amp;_Cost_of_Capital'!D98</f>
        <v>3.6045573642730977</v>
      </c>
      <c r="E8" s="589">
        <f>'4. OEB_Adjustment_Input_Sheet'!E14*'4. OEB_Adjustment_Input_Sheet'!E37/'5. Rate_Base_&amp;_Cost_of_Capital'!E98</f>
        <v>3.6045573642730977</v>
      </c>
      <c r="F8" s="389">
        <f>G8-E8</f>
        <v>0</v>
      </c>
      <c r="G8" s="406">
        <f>'4. OEB_Adjustment_Input_Sheet'!G14*'4. OEB_Adjustment_Input_Sheet'!G37/'5. Rate_Base_&amp;_Cost_of_Capital'!G98</f>
        <v>3.6045573642730977</v>
      </c>
      <c r="H8" s="589">
        <f>'4. OEB_Adjustment_Input_Sheet'!H14*'4. OEB_Adjustment_Input_Sheet'!H37/'5. Rate_Base_&amp;_Cost_of_Capital'!H98</f>
        <v>4.5697548132912251</v>
      </c>
      <c r="I8" s="589">
        <f>'4. OEB_Adjustment_Input_Sheet'!I14*'4. OEB_Adjustment_Input_Sheet'!I37/'5. Rate_Base_&amp;_Cost_of_Capital'!I98</f>
        <v>4.5697548132912251</v>
      </c>
      <c r="J8" s="389">
        <f>K8-I8</f>
        <v>0</v>
      </c>
      <c r="K8" s="406">
        <f>'4. OEB_Adjustment_Input_Sheet'!K14*'4. OEB_Adjustment_Input_Sheet'!K37/'5. Rate_Base_&amp;_Cost_of_Capital'!K98</f>
        <v>4.5697548132912251</v>
      </c>
      <c r="L8" s="589">
        <f t="shared" ref="L8:M10" si="0">H8+D8</f>
        <v>8.1743121775643228</v>
      </c>
      <c r="M8" s="589">
        <f t="shared" si="0"/>
        <v>8.1743121775643228</v>
      </c>
      <c r="N8" s="389">
        <f>O8-M8</f>
        <v>0</v>
      </c>
      <c r="O8" s="406">
        <f>G8+K8</f>
        <v>8.1743121775643228</v>
      </c>
      <c r="P8" s="20"/>
    </row>
    <row r="9" spans="2:16">
      <c r="B9" s="60">
        <v>2</v>
      </c>
      <c r="C9" s="64" t="s">
        <v>48</v>
      </c>
      <c r="D9" s="407">
        <f>('5. Rate_Base_&amp;_Cost_of_Capital'!D112+('5. Rate_Base_&amp;_Cost_of_Capital'!D105*'4. OEB_Adjustment_Input_Sheet'!D17))*'5. Rate_Base_&amp;_Cost_of_Capital'!D23/'5. Rate_Base_&amp;_Cost_of_Capital'!D98</f>
        <v>127.01695095566046</v>
      </c>
      <c r="E9" s="588">
        <f>('5. Rate_Base_&amp;_Cost_of_Capital'!E112+('5. Rate_Base_&amp;_Cost_of_Capital'!E105*'4. OEB_Adjustment_Input_Sheet'!E17))*'5. Rate_Base_&amp;_Cost_of_Capital'!E23/'5. Rate_Base_&amp;_Cost_of_Capital'!E98</f>
        <v>127.01695095566046</v>
      </c>
      <c r="F9" s="393">
        <f>G9-E9</f>
        <v>0</v>
      </c>
      <c r="G9" s="408">
        <f>('5. Rate_Base_&amp;_Cost_of_Capital'!G112+('5. Rate_Base_&amp;_Cost_of_Capital'!G105*'4. OEB_Adjustment_Input_Sheet'!G17))*'5. Rate_Base_&amp;_Cost_of_Capital'!G23/'5. Rate_Base_&amp;_Cost_of_Capital'!G98</f>
        <v>127.01695095566046</v>
      </c>
      <c r="H9" s="588">
        <f>('5. Rate_Base_&amp;_Cost_of_Capital'!H112+('5. Rate_Base_&amp;_Cost_of_Capital'!H105*'4. OEB_Adjustment_Input_Sheet'!H17))*'5. Rate_Base_&amp;_Cost_of_Capital'!H23/'5. Rate_Base_&amp;_Cost_of_Capital'!H98</f>
        <v>126.199506382552</v>
      </c>
      <c r="I9" s="588">
        <f>('5. Rate_Base_&amp;_Cost_of_Capital'!I112+('5. Rate_Base_&amp;_Cost_of_Capital'!I105*'4. OEB_Adjustment_Input_Sheet'!I17))*'5. Rate_Base_&amp;_Cost_of_Capital'!I23/'5. Rate_Base_&amp;_Cost_of_Capital'!I98</f>
        <v>126.199506382552</v>
      </c>
      <c r="J9" s="393">
        <f>K9-I9</f>
        <v>0</v>
      </c>
      <c r="K9" s="408">
        <f>('5. Rate_Base_&amp;_Cost_of_Capital'!K112+('5. Rate_Base_&amp;_Cost_of_Capital'!K105*'4. OEB_Adjustment_Input_Sheet'!K17))*'5. Rate_Base_&amp;_Cost_of_Capital'!K23/'5. Rate_Base_&amp;_Cost_of_Capital'!K98</f>
        <v>126.199506382552</v>
      </c>
      <c r="L9" s="588">
        <f t="shared" si="0"/>
        <v>253.21645733821248</v>
      </c>
      <c r="M9" s="588">
        <f t="shared" si="0"/>
        <v>253.21645733821248</v>
      </c>
      <c r="N9" s="393">
        <f>O9-M9</f>
        <v>0</v>
      </c>
      <c r="O9" s="408">
        <f>G9+K9</f>
        <v>253.21645733821248</v>
      </c>
      <c r="P9" s="20"/>
    </row>
    <row r="10" spans="2:16">
      <c r="B10" s="60">
        <v>3</v>
      </c>
      <c r="C10" s="64" t="s">
        <v>49</v>
      </c>
      <c r="D10" s="407">
        <f>'5. Rate_Base_&amp;_Cost_of_Capital'!D110*'5. Rate_Base_&amp;_Cost_of_Capital'!D23/'5. Rate_Base_&amp;_Cost_of_Capital'!D98</f>
        <v>216.43095383260177</v>
      </c>
      <c r="E10" s="588">
        <f>'5. Rate_Base_&amp;_Cost_of_Capital'!E110*'5. Rate_Base_&amp;_Cost_of_Capital'!E23/'5. Rate_Base_&amp;_Cost_of_Capital'!E98</f>
        <v>216.43095383260177</v>
      </c>
      <c r="F10" s="393">
        <f>G10-E10</f>
        <v>0</v>
      </c>
      <c r="G10" s="408">
        <f>'5. Rate_Base_&amp;_Cost_of_Capital'!G110*'5. Rate_Base_&amp;_Cost_of_Capital'!G23/'5. Rate_Base_&amp;_Cost_of_Capital'!G98</f>
        <v>216.43095383260177</v>
      </c>
      <c r="H10" s="588">
        <f>'5. Rate_Base_&amp;_Cost_of_Capital'!H110*'5. Rate_Base_&amp;_Cost_of_Capital'!H23/'5. Rate_Base_&amp;_Cost_of_Capital'!H98</f>
        <v>214.60132062202217</v>
      </c>
      <c r="I10" s="588">
        <f>'5. Rate_Base_&amp;_Cost_of_Capital'!I110*'5. Rate_Base_&amp;_Cost_of_Capital'!I23/'5. Rate_Base_&amp;_Cost_of_Capital'!I98</f>
        <v>214.60132062202217</v>
      </c>
      <c r="J10" s="393">
        <f>K10-I10</f>
        <v>0</v>
      </c>
      <c r="K10" s="408">
        <f>'5. Rate_Base_&amp;_Cost_of_Capital'!K110*'5. Rate_Base_&amp;_Cost_of_Capital'!K23/'5. Rate_Base_&amp;_Cost_of_Capital'!K98</f>
        <v>214.60132062202217</v>
      </c>
      <c r="L10" s="588">
        <f t="shared" si="0"/>
        <v>431.03227445462392</v>
      </c>
      <c r="M10" s="588">
        <f t="shared" si="0"/>
        <v>431.03227445462392</v>
      </c>
      <c r="N10" s="393">
        <f>O10-M10</f>
        <v>0</v>
      </c>
      <c r="O10" s="408">
        <f>G10+K10</f>
        <v>431.03227445462392</v>
      </c>
      <c r="P10" s="20"/>
    </row>
    <row r="11" spans="2:16" ht="16.5" customHeight="1">
      <c r="B11" s="60">
        <v>4</v>
      </c>
      <c r="C11" s="142" t="s">
        <v>70</v>
      </c>
      <c r="D11" s="411" t="s">
        <v>17</v>
      </c>
      <c r="E11" s="412" t="s">
        <v>17</v>
      </c>
      <c r="F11" s="412" t="s">
        <v>17</v>
      </c>
      <c r="G11" s="413" t="s">
        <v>17</v>
      </c>
      <c r="H11" s="412" t="s">
        <v>17</v>
      </c>
      <c r="I11" s="412" t="s">
        <v>17</v>
      </c>
      <c r="J11" s="412" t="s">
        <v>17</v>
      </c>
      <c r="K11" s="413" t="s">
        <v>17</v>
      </c>
      <c r="L11" s="412" t="s">
        <v>17</v>
      </c>
      <c r="M11" s="412" t="s">
        <v>17</v>
      </c>
      <c r="N11" s="412" t="s">
        <v>17</v>
      </c>
      <c r="O11" s="413" t="s">
        <v>17</v>
      </c>
      <c r="P11" s="20"/>
    </row>
    <row r="12" spans="2:16" ht="16.5" thickBot="1">
      <c r="B12" s="60">
        <v>5</v>
      </c>
      <c r="C12" s="57" t="s">
        <v>0</v>
      </c>
      <c r="D12" s="418">
        <f t="shared" ref="D12" si="1">SUM(D8:D11)</f>
        <v>347.05246215253533</v>
      </c>
      <c r="E12" s="591">
        <f t="shared" ref="E12:M12" si="2">SUM(E8:E11)</f>
        <v>347.05246215253533</v>
      </c>
      <c r="F12" s="592">
        <f>G12-E12</f>
        <v>0</v>
      </c>
      <c r="G12" s="419">
        <f t="shared" si="2"/>
        <v>347.05246215253533</v>
      </c>
      <c r="H12" s="591">
        <f t="shared" ref="H12" si="3">SUM(H8:H11)</f>
        <v>345.3705818178654</v>
      </c>
      <c r="I12" s="591">
        <f t="shared" si="2"/>
        <v>345.3705818178654</v>
      </c>
      <c r="J12" s="592">
        <f>K12-I12</f>
        <v>0</v>
      </c>
      <c r="K12" s="419">
        <f t="shared" si="2"/>
        <v>345.3705818178654</v>
      </c>
      <c r="L12" s="593">
        <f t="shared" ref="L12" si="4">SUM(L8:L11)</f>
        <v>692.42304397040073</v>
      </c>
      <c r="M12" s="593">
        <f t="shared" si="2"/>
        <v>692.42304397040073</v>
      </c>
      <c r="N12" s="592">
        <f>O12-M12</f>
        <v>0</v>
      </c>
      <c r="O12" s="409">
        <f t="shared" ref="O12" si="5">G12+K12</f>
        <v>692.42304397040073</v>
      </c>
      <c r="P12" s="20"/>
    </row>
    <row r="13" spans="2:16" ht="15.75">
      <c r="B13" s="60"/>
      <c r="C13" s="57"/>
      <c r="D13" s="423"/>
      <c r="E13" s="49"/>
      <c r="F13" s="49"/>
      <c r="G13" s="50"/>
      <c r="H13" s="423"/>
      <c r="I13" s="49"/>
      <c r="J13" s="49"/>
      <c r="K13" s="50"/>
      <c r="L13" s="49"/>
      <c r="M13" s="49"/>
      <c r="N13" s="49"/>
      <c r="O13" s="50"/>
      <c r="P13" s="20"/>
    </row>
    <row r="14" spans="2:16" ht="16.5" thickBot="1">
      <c r="B14" s="65" t="s">
        <v>45</v>
      </c>
      <c r="C14" s="57"/>
      <c r="D14" s="423"/>
      <c r="E14" s="49"/>
      <c r="F14" s="49"/>
      <c r="G14" s="50"/>
      <c r="H14" s="423"/>
      <c r="I14" s="49"/>
      <c r="J14" s="49"/>
      <c r="K14" s="50"/>
      <c r="L14" s="49"/>
      <c r="M14" s="49"/>
      <c r="N14" s="49"/>
      <c r="O14" s="50"/>
      <c r="P14" s="20"/>
    </row>
    <row r="15" spans="2:16">
      <c r="B15" s="60">
        <v>6</v>
      </c>
      <c r="C15" s="64" t="s">
        <v>32</v>
      </c>
      <c r="D15" s="405">
        <f>'4. OEB_Adjustment_Input_Sheet'!D40</f>
        <v>145.45911683262707</v>
      </c>
      <c r="E15" s="589">
        <f>'4. OEB_Adjustment_Input_Sheet'!E40</f>
        <v>149.24911683262698</v>
      </c>
      <c r="F15" s="389">
        <f>G15-E15</f>
        <v>0</v>
      </c>
      <c r="G15" s="410">
        <f>'4. OEB_Adjustment_Input_Sheet'!G40</f>
        <v>149.24911683262698</v>
      </c>
      <c r="H15" s="589">
        <f>'4. OEB_Adjustment_Input_Sheet'!H40</f>
        <v>141.07843110817137</v>
      </c>
      <c r="I15" s="589">
        <f>'4. OEB_Adjustment_Input_Sheet'!I40</f>
        <v>144.208431108171</v>
      </c>
      <c r="J15" s="389">
        <f>K15-I15</f>
        <v>0</v>
      </c>
      <c r="K15" s="406">
        <f>'4. OEB_Adjustment_Input_Sheet'!K40</f>
        <v>144.208431108171</v>
      </c>
      <c r="L15" s="589">
        <f t="shared" ref="L15:M17" si="6">H15+D15</f>
        <v>286.53754794079845</v>
      </c>
      <c r="M15" s="589">
        <f t="shared" si="6"/>
        <v>293.45754794079801</v>
      </c>
      <c r="N15" s="389">
        <f>O15-M15</f>
        <v>0</v>
      </c>
      <c r="O15" s="406">
        <f>G15+K15</f>
        <v>293.45754794079801</v>
      </c>
      <c r="P15" s="20"/>
    </row>
    <row r="16" spans="2:16">
      <c r="B16" s="60">
        <v>7</v>
      </c>
      <c r="C16" s="83" t="s">
        <v>85</v>
      </c>
      <c r="D16" s="407">
        <f>'4. OEB_Adjustment_Input_Sheet'!D41</f>
        <v>253.25149018551281</v>
      </c>
      <c r="E16" s="588">
        <f>'4. OEB_Adjustment_Input_Sheet'!E41</f>
        <v>267.22934020054009</v>
      </c>
      <c r="F16" s="393">
        <f>G16-E16</f>
        <v>0</v>
      </c>
      <c r="G16" s="408">
        <f>'4. OEB_Adjustment_Input_Sheet'!G41</f>
        <v>267.22934020054009</v>
      </c>
      <c r="H16" s="588">
        <f>'4. OEB_Adjustment_Input_Sheet'!H41</f>
        <v>269.54028325460223</v>
      </c>
      <c r="I16" s="588">
        <f>'4. OEB_Adjustment_Input_Sheet'!I41</f>
        <v>280.79924680226668</v>
      </c>
      <c r="J16" s="393">
        <f>K16-I16</f>
        <v>0</v>
      </c>
      <c r="K16" s="408">
        <f>'4. OEB_Adjustment_Input_Sheet'!K41</f>
        <v>280.79924680226668</v>
      </c>
      <c r="L16" s="588">
        <f t="shared" si="6"/>
        <v>522.79177344011509</v>
      </c>
      <c r="M16" s="588">
        <f t="shared" si="6"/>
        <v>548.02858700280672</v>
      </c>
      <c r="N16" s="393">
        <f>O16-M16</f>
        <v>0</v>
      </c>
      <c r="O16" s="408">
        <f>G16+K16</f>
        <v>548.02858700280672</v>
      </c>
      <c r="P16" s="20"/>
    </row>
    <row r="17" spans="2:16">
      <c r="B17" s="60">
        <v>8</v>
      </c>
      <c r="C17" s="83" t="s">
        <v>68</v>
      </c>
      <c r="D17" s="407">
        <f>'4. OEB_Adjustment_Input_Sheet'!D42</f>
        <v>82.051238318380328</v>
      </c>
      <c r="E17" s="588">
        <f>'4. OEB_Adjustment_Input_Sheet'!E42</f>
        <v>82.051238318380328</v>
      </c>
      <c r="F17" s="393">
        <f>G17-E17</f>
        <v>0</v>
      </c>
      <c r="G17" s="408">
        <f>'4. OEB_Adjustment_Input_Sheet'!G42</f>
        <v>82.051238318380328</v>
      </c>
      <c r="H17" s="588">
        <f>'4. OEB_Adjustment_Input_Sheet'!H42</f>
        <v>81.939909081497532</v>
      </c>
      <c r="I17" s="588">
        <f>'4. OEB_Adjustment_Input_Sheet'!I42</f>
        <v>81.939909081497532</v>
      </c>
      <c r="J17" s="393">
        <f>K17-I17</f>
        <v>0</v>
      </c>
      <c r="K17" s="408">
        <f>'4. OEB_Adjustment_Input_Sheet'!K42</f>
        <v>81.939909081497532</v>
      </c>
      <c r="L17" s="588">
        <f t="shared" si="6"/>
        <v>163.99114739987786</v>
      </c>
      <c r="M17" s="588">
        <f t="shared" si="6"/>
        <v>163.99114739987786</v>
      </c>
      <c r="N17" s="393">
        <f>O17-M17</f>
        <v>0</v>
      </c>
      <c r="O17" s="408">
        <f>G17+K17</f>
        <v>163.99114739987786</v>
      </c>
      <c r="P17" s="20"/>
    </row>
    <row r="18" spans="2:16">
      <c r="B18" s="60">
        <v>9</v>
      </c>
      <c r="C18" s="64" t="s">
        <v>34</v>
      </c>
      <c r="D18" s="407">
        <f>'4. OEB_Adjustment_Input_Sheet'!D43</f>
        <v>0.30000000000000004</v>
      </c>
      <c r="E18" s="588">
        <f>'4. OEB_Adjustment_Input_Sheet'!E43</f>
        <v>0.30000000000000004</v>
      </c>
      <c r="F18" s="393">
        <f>G18-E18</f>
        <v>0</v>
      </c>
      <c r="G18" s="408">
        <f>'4. OEB_Adjustment_Input_Sheet'!G43</f>
        <v>0.30000000000000004</v>
      </c>
      <c r="H18" s="588">
        <f>'4. OEB_Adjustment_Input_Sheet'!H43</f>
        <v>0.30000000000000004</v>
      </c>
      <c r="I18" s="588">
        <f>'4. OEB_Adjustment_Input_Sheet'!I43</f>
        <v>0.30000000000000004</v>
      </c>
      <c r="J18" s="393">
        <f>K18-I18</f>
        <v>0</v>
      </c>
      <c r="K18" s="408">
        <f>'4. OEB_Adjustment_Input_Sheet'!K43</f>
        <v>0.30000000000000004</v>
      </c>
      <c r="L18" s="588">
        <f>D18+H18</f>
        <v>0.60000000000000009</v>
      </c>
      <c r="M18" s="588">
        <f>E18+I18</f>
        <v>0.60000000000000009</v>
      </c>
      <c r="N18" s="393">
        <f>O18-M18</f>
        <v>0</v>
      </c>
      <c r="O18" s="408">
        <f>G18+K18</f>
        <v>0.60000000000000009</v>
      </c>
      <c r="P18" s="20"/>
    </row>
    <row r="19" spans="2:16" ht="16.5" thickBot="1">
      <c r="B19" s="60">
        <v>10</v>
      </c>
      <c r="C19" s="57" t="s">
        <v>0</v>
      </c>
      <c r="D19" s="418">
        <f t="shared" ref="D19" si="7">SUM(D15:D18)</f>
        <v>481.06184533652021</v>
      </c>
      <c r="E19" s="591">
        <f t="shared" ref="E19:M19" si="8">SUM(E15:E18)</f>
        <v>498.8296953515474</v>
      </c>
      <c r="F19" s="592">
        <f>G19-E19</f>
        <v>0</v>
      </c>
      <c r="G19" s="419">
        <f t="shared" si="8"/>
        <v>498.8296953515474</v>
      </c>
      <c r="H19" s="591">
        <f t="shared" ref="H19" si="9">SUM(H15:H18)</f>
        <v>492.85862344427119</v>
      </c>
      <c r="I19" s="591">
        <f t="shared" si="8"/>
        <v>507.24758699193524</v>
      </c>
      <c r="J19" s="592">
        <f>K19-I19</f>
        <v>0</v>
      </c>
      <c r="K19" s="419">
        <f t="shared" si="8"/>
        <v>507.24758699193524</v>
      </c>
      <c r="L19" s="591">
        <f t="shared" ref="L19" si="10">SUM(L15:L18)</f>
        <v>973.92046878079145</v>
      </c>
      <c r="M19" s="591">
        <f t="shared" si="8"/>
        <v>1006.0772823434826</v>
      </c>
      <c r="N19" s="592">
        <f>O19-M19</f>
        <v>0</v>
      </c>
      <c r="O19" s="419">
        <f t="shared" ref="O19" si="11">G19+K19</f>
        <v>1006.0772823434827</v>
      </c>
      <c r="P19" s="20"/>
    </row>
    <row r="20" spans="2:16" ht="15.75">
      <c r="B20" s="60"/>
      <c r="C20" s="57"/>
      <c r="D20" s="423"/>
      <c r="E20" s="49"/>
      <c r="F20" s="49"/>
      <c r="G20" s="50"/>
      <c r="H20" s="423"/>
      <c r="I20" s="49"/>
      <c r="J20" s="49"/>
      <c r="K20" s="50"/>
      <c r="L20" s="49"/>
      <c r="M20" s="49"/>
      <c r="N20" s="49"/>
      <c r="O20" s="50"/>
      <c r="P20" s="20"/>
    </row>
    <row r="21" spans="2:16" ht="15.75">
      <c r="B21" s="65" t="s">
        <v>51</v>
      </c>
      <c r="C21" s="57"/>
      <c r="D21" s="423"/>
      <c r="E21" s="49"/>
      <c r="F21" s="49"/>
      <c r="G21" s="50"/>
      <c r="H21" s="423"/>
      <c r="I21" s="49"/>
      <c r="J21" s="49"/>
      <c r="K21" s="50"/>
      <c r="L21" s="49"/>
      <c r="M21" s="49"/>
      <c r="N21" s="49"/>
      <c r="O21" s="50"/>
      <c r="P21" s="20"/>
    </row>
    <row r="22" spans="2:16" ht="16.5" customHeight="1" thickBot="1">
      <c r="B22" s="60">
        <v>11</v>
      </c>
      <c r="C22" s="66" t="s">
        <v>50</v>
      </c>
      <c r="D22" s="411" t="s">
        <v>17</v>
      </c>
      <c r="E22" s="412" t="s">
        <v>17</v>
      </c>
      <c r="F22" s="412" t="s">
        <v>17</v>
      </c>
      <c r="G22" s="413" t="s">
        <v>17</v>
      </c>
      <c r="H22" s="412" t="s">
        <v>17</v>
      </c>
      <c r="I22" s="412" t="s">
        <v>17</v>
      </c>
      <c r="J22" s="412" t="s">
        <v>17</v>
      </c>
      <c r="K22" s="413" t="s">
        <v>17</v>
      </c>
      <c r="L22" s="412" t="s">
        <v>17</v>
      </c>
      <c r="M22" s="412" t="s">
        <v>17</v>
      </c>
      <c r="N22" s="412" t="s">
        <v>17</v>
      </c>
      <c r="O22" s="414" t="str">
        <f>K22</f>
        <v>n/a</v>
      </c>
      <c r="P22" s="20"/>
    </row>
    <row r="23" spans="2:16">
      <c r="B23" s="60">
        <v>12</v>
      </c>
      <c r="C23" s="64" t="s">
        <v>36</v>
      </c>
      <c r="D23" s="405">
        <f>'4. OEB_Adjustment_Input_Sheet'!D48</f>
        <v>19.850682924358257</v>
      </c>
      <c r="E23" s="589">
        <f>'4. OEB_Adjustment_Input_Sheet'!E48</f>
        <v>33.973975774983501</v>
      </c>
      <c r="F23" s="389">
        <f>G23-E23</f>
        <v>0</v>
      </c>
      <c r="G23" s="406">
        <f>'4. OEB_Adjustment_Input_Sheet'!G48</f>
        <v>33.973975774983501</v>
      </c>
      <c r="H23" s="589">
        <f>'4. OEB_Adjustment_Input_Sheet'!H48</f>
        <v>20.212682924358255</v>
      </c>
      <c r="I23" s="589">
        <f>'4. OEB_Adjustment_Input_Sheet'!I48</f>
        <v>34.619021631995999</v>
      </c>
      <c r="J23" s="389">
        <f>K23-I23</f>
        <v>0</v>
      </c>
      <c r="K23" s="406">
        <f>'4. OEB_Adjustment_Input_Sheet'!K48</f>
        <v>34.619021631995999</v>
      </c>
      <c r="L23" s="589">
        <f>D23+H23</f>
        <v>40.063365848716515</v>
      </c>
      <c r="M23" s="589">
        <f>E23+I23</f>
        <v>68.592997406979492</v>
      </c>
      <c r="N23" s="389">
        <f>O23-M23</f>
        <v>0</v>
      </c>
      <c r="O23" s="406">
        <f>G23+K23</f>
        <v>68.592997406979492</v>
      </c>
      <c r="P23" s="20"/>
    </row>
    <row r="24" spans="2:16" ht="16.5" thickBot="1">
      <c r="B24" s="60">
        <v>13</v>
      </c>
      <c r="C24" s="57" t="s">
        <v>0</v>
      </c>
      <c r="D24" s="418">
        <f>SUM(D22:D23)</f>
        <v>19.850682924358257</v>
      </c>
      <c r="E24" s="591">
        <f>SUM(E22:E23)</f>
        <v>33.973975774983501</v>
      </c>
      <c r="F24" s="592">
        <f>G24-E24</f>
        <v>0</v>
      </c>
      <c r="G24" s="419">
        <f t="shared" ref="G24:M24" si="12">SUM(G22:G23)</f>
        <v>33.973975774983501</v>
      </c>
      <c r="H24" s="591">
        <f t="shared" ref="H24" si="13">SUM(H22:H23)</f>
        <v>20.212682924358255</v>
      </c>
      <c r="I24" s="591">
        <f t="shared" si="12"/>
        <v>34.619021631995999</v>
      </c>
      <c r="J24" s="592">
        <f>K24-I24</f>
        <v>0</v>
      </c>
      <c r="K24" s="419">
        <f t="shared" si="12"/>
        <v>34.619021631995999</v>
      </c>
      <c r="L24" s="591">
        <f t="shared" ref="L24" si="14">SUM(L22:L23)</f>
        <v>40.063365848716515</v>
      </c>
      <c r="M24" s="591">
        <f t="shared" si="12"/>
        <v>68.592997406979492</v>
      </c>
      <c r="N24" s="592">
        <f>O24-M24</f>
        <v>0</v>
      </c>
      <c r="O24" s="419">
        <f t="shared" ref="O24" si="15">G24+K24</f>
        <v>68.592997406979492</v>
      </c>
      <c r="P24" s="20"/>
    </row>
    <row r="25" spans="2:16" ht="16.5" thickBot="1">
      <c r="B25" s="60"/>
      <c r="C25" s="57"/>
      <c r="D25" s="423"/>
      <c r="E25" s="49"/>
      <c r="F25" s="49"/>
      <c r="G25" s="50"/>
      <c r="H25" s="423"/>
      <c r="I25" s="49"/>
      <c r="J25" s="49"/>
      <c r="K25" s="50"/>
      <c r="L25" s="49"/>
      <c r="M25" s="49"/>
      <c r="N25" s="49"/>
      <c r="O25" s="50"/>
      <c r="P25" s="20"/>
    </row>
    <row r="26" spans="2:16" ht="16.5" thickBot="1">
      <c r="B26" s="60">
        <v>14</v>
      </c>
      <c r="C26" s="179" t="s">
        <v>116</v>
      </c>
      <c r="D26" s="415">
        <f>('6. Taxes'!D23-'6. Taxes'!D22)*0.21114-0.3</f>
        <v>48.476310517986406</v>
      </c>
      <c r="E26" s="590">
        <f>('6. Taxes'!E23-'6. Taxes'!E22)*0.2178-0.3</f>
        <v>48.040144217189741</v>
      </c>
      <c r="F26" s="416">
        <f>G26-E26</f>
        <v>0</v>
      </c>
      <c r="G26" s="417">
        <f>('6. Taxes'!G23-'6. Taxes'!G22)*0.2178-0.3</f>
        <v>48.040144217189741</v>
      </c>
      <c r="H26" s="415">
        <f>('6. Taxes'!H23-'6. Taxes'!H22)*0.38007-0.3</f>
        <v>61.519945230000879</v>
      </c>
      <c r="I26" s="590">
        <f>('6. Taxes'!I23-'6. Taxes'!I22)*0.3697-0.3</f>
        <v>61.758126840296072</v>
      </c>
      <c r="J26" s="416">
        <f>K26-I26</f>
        <v>0</v>
      </c>
      <c r="K26" s="417">
        <f>('6. Taxes'!K23-'6. Taxes'!K22)*0.3697-0.3</f>
        <v>61.758126840296072</v>
      </c>
      <c r="L26" s="590">
        <f>D26+H26</f>
        <v>109.99625574798728</v>
      </c>
      <c r="M26" s="590">
        <f>E26+I26</f>
        <v>109.79827105748581</v>
      </c>
      <c r="N26" s="416">
        <f>O26-M26</f>
        <v>0</v>
      </c>
      <c r="O26" s="417">
        <f>G26+K26</f>
        <v>109.79827105748581</v>
      </c>
      <c r="P26" s="594"/>
    </row>
    <row r="27" spans="2:16" ht="16.5" thickBot="1">
      <c r="B27" s="60"/>
      <c r="C27" s="57"/>
      <c r="D27" s="423"/>
      <c r="E27" s="49"/>
      <c r="F27" s="49"/>
      <c r="G27" s="50"/>
      <c r="H27" s="423"/>
      <c r="I27" s="49"/>
      <c r="J27" s="49"/>
      <c r="K27" s="50"/>
      <c r="L27" s="49"/>
      <c r="M27" s="49"/>
      <c r="N27" s="49"/>
      <c r="O27" s="50"/>
      <c r="P27" s="20"/>
    </row>
    <row r="28" spans="2:16" ht="16.5" customHeight="1" thickBot="1">
      <c r="B28" s="160">
        <v>15</v>
      </c>
      <c r="C28" s="161" t="s">
        <v>52</v>
      </c>
      <c r="D28" s="415">
        <f>D12+D19-D24+D26</f>
        <v>856.73993508268381</v>
      </c>
      <c r="E28" s="590">
        <f>ROUND((E12+E19-E24+E26),2)</f>
        <v>859.95</v>
      </c>
      <c r="F28" s="416">
        <f>G28-E28</f>
        <v>0</v>
      </c>
      <c r="G28" s="417">
        <f>ROUND((G12+G19-G24+G26),2)</f>
        <v>859.95</v>
      </c>
      <c r="H28" s="415">
        <f>H12+H19-H24+H26</f>
        <v>879.53646756777925</v>
      </c>
      <c r="I28" s="590">
        <f>I12+I19-I24+I26</f>
        <v>879.7572740181007</v>
      </c>
      <c r="J28" s="416">
        <f>K28-I28</f>
        <v>0</v>
      </c>
      <c r="K28" s="417">
        <f>K12+K19-K24+K26</f>
        <v>879.7572740181007</v>
      </c>
      <c r="L28" s="590">
        <f>D28+H28</f>
        <v>1736.2764026504631</v>
      </c>
      <c r="M28" s="590">
        <f>ROUND((E28+I28),2)</f>
        <v>1739.71</v>
      </c>
      <c r="N28" s="416">
        <f>O28-M28</f>
        <v>0</v>
      </c>
      <c r="O28" s="417">
        <f>ROUND((G28+K28),2)</f>
        <v>1739.71</v>
      </c>
      <c r="P28" s="20"/>
    </row>
    <row r="29" spans="2:16" s="4" customFormat="1" ht="16.5" customHeight="1" thickBot="1">
      <c r="B29" s="110"/>
      <c r="C29" s="59"/>
      <c r="D29" s="5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236"/>
    </row>
    <row r="30" spans="2:16" s="4" customFormat="1" ht="16.5" customHeight="1" thickBot="1">
      <c r="B30" s="46"/>
      <c r="C30" s="46"/>
      <c r="D30" s="634" t="s">
        <v>63</v>
      </c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6"/>
      <c r="P30" s="25"/>
    </row>
    <row r="31" spans="2:16" s="4" customFormat="1" ht="16.5" customHeight="1">
      <c r="B31" s="94"/>
      <c r="C31" s="92"/>
      <c r="D31" s="637">
        <v>2014</v>
      </c>
      <c r="E31" s="638"/>
      <c r="F31" s="639"/>
      <c r="G31" s="640"/>
      <c r="H31" s="637">
        <v>2015</v>
      </c>
      <c r="I31" s="639"/>
      <c r="J31" s="639"/>
      <c r="K31" s="640"/>
      <c r="L31" s="637" t="s">
        <v>0</v>
      </c>
      <c r="M31" s="639"/>
      <c r="N31" s="639"/>
      <c r="O31" s="640"/>
      <c r="P31" s="25"/>
    </row>
    <row r="32" spans="2:16" s="4" customFormat="1" ht="16.5" customHeight="1">
      <c r="B32" s="87" t="s">
        <v>2</v>
      </c>
      <c r="C32" s="93"/>
      <c r="D32" s="9" t="s">
        <v>238</v>
      </c>
      <c r="E32" s="159" t="s">
        <v>238</v>
      </c>
      <c r="F32" s="498" t="s">
        <v>21</v>
      </c>
      <c r="G32" s="11" t="s">
        <v>21</v>
      </c>
      <c r="H32" s="9" t="s">
        <v>238</v>
      </c>
      <c r="I32" s="159" t="s">
        <v>238</v>
      </c>
      <c r="J32" s="498" t="s">
        <v>21</v>
      </c>
      <c r="K32" s="11" t="s">
        <v>21</v>
      </c>
      <c r="L32" s="9" t="s">
        <v>238</v>
      </c>
      <c r="M32" s="159" t="s">
        <v>238</v>
      </c>
      <c r="N32" s="498" t="s">
        <v>21</v>
      </c>
      <c r="O32" s="11" t="s">
        <v>21</v>
      </c>
      <c r="P32" s="25"/>
    </row>
    <row r="33" spans="2:16" s="4" customFormat="1" ht="16.5" customHeight="1" thickBot="1">
      <c r="B33" s="54" t="s">
        <v>3</v>
      </c>
      <c r="C33" s="53" t="s">
        <v>1</v>
      </c>
      <c r="D33" s="468" t="s">
        <v>239</v>
      </c>
      <c r="E33" s="500">
        <v>41437</v>
      </c>
      <c r="F33" s="499" t="s">
        <v>15</v>
      </c>
      <c r="G33" s="13" t="s">
        <v>12</v>
      </c>
      <c r="H33" s="468" t="s">
        <v>239</v>
      </c>
      <c r="I33" s="500">
        <v>41437</v>
      </c>
      <c r="J33" s="499" t="s">
        <v>15</v>
      </c>
      <c r="K33" s="13" t="s">
        <v>12</v>
      </c>
      <c r="L33" s="468" t="s">
        <v>239</v>
      </c>
      <c r="M33" s="500">
        <v>41437</v>
      </c>
      <c r="N33" s="499" t="s">
        <v>15</v>
      </c>
      <c r="O33" s="13" t="s">
        <v>12</v>
      </c>
      <c r="P33" s="25"/>
    </row>
    <row r="34" spans="2:16" s="4" customFormat="1" ht="16.5" customHeight="1">
      <c r="B34" s="47"/>
      <c r="C34" s="110"/>
      <c r="D34" s="508" t="s">
        <v>4</v>
      </c>
      <c r="E34" s="509" t="s">
        <v>5</v>
      </c>
      <c r="F34" s="509" t="s">
        <v>6</v>
      </c>
      <c r="G34" s="510" t="s">
        <v>7</v>
      </c>
      <c r="H34" s="508" t="s">
        <v>8</v>
      </c>
      <c r="I34" s="509" t="s">
        <v>9</v>
      </c>
      <c r="J34" s="509" t="s">
        <v>11</v>
      </c>
      <c r="K34" s="510" t="s">
        <v>13</v>
      </c>
      <c r="L34" s="508" t="s">
        <v>14</v>
      </c>
      <c r="M34" s="509" t="s">
        <v>240</v>
      </c>
      <c r="N34" s="509" t="s">
        <v>241</v>
      </c>
      <c r="O34" s="510" t="s">
        <v>242</v>
      </c>
      <c r="P34" s="25"/>
    </row>
    <row r="35" spans="2:16" s="4" customFormat="1" ht="16.5" customHeight="1" thickBot="1">
      <c r="B35" s="63" t="s">
        <v>47</v>
      </c>
      <c r="C35" s="57"/>
      <c r="D35" s="16"/>
      <c r="E35" s="587"/>
      <c r="F35" s="49"/>
      <c r="G35" s="50"/>
      <c r="H35" s="62"/>
      <c r="I35" s="49"/>
      <c r="J35" s="49"/>
      <c r="K35" s="50"/>
      <c r="L35" s="62"/>
      <c r="M35" s="58"/>
      <c r="N35" s="58"/>
      <c r="O35" s="61"/>
      <c r="P35" s="25"/>
    </row>
    <row r="36" spans="2:16" s="4" customFormat="1" ht="16.5" customHeight="1">
      <c r="B36" s="60">
        <v>16</v>
      </c>
      <c r="C36" s="64" t="s">
        <v>30</v>
      </c>
      <c r="D36" s="405">
        <f>'4. OEB_Adjustment_Input_Sheet'!D14*'5. Rate_Base_&amp;_Cost_of_Capital'!D48/'5. Rate_Base_&amp;_Cost_of_Capital'!D98</f>
        <v>1.76538167984242</v>
      </c>
      <c r="E36" s="589">
        <f>'4. OEB_Adjustment_Input_Sheet'!E14*'5. Rate_Base_&amp;_Cost_of_Capital'!E48/'5. Rate_Base_&amp;_Cost_of_Capital'!E98</f>
        <v>1.76538167984242</v>
      </c>
      <c r="F36" s="389">
        <f>G36-E36</f>
        <v>0</v>
      </c>
      <c r="G36" s="406">
        <f>'4. OEB_Adjustment_Input_Sheet'!G14*'5. Rate_Base_&amp;_Cost_of_Capital'!G48/'5. Rate_Base_&amp;_Cost_of_Capital'!G98</f>
        <v>1.76538167984242</v>
      </c>
      <c r="H36" s="589">
        <f>'4. OEB_Adjustment_Input_Sheet'!H14*'5. Rate_Base_&amp;_Cost_of_Capital'!H48/'5. Rate_Base_&amp;_Cost_of_Capital'!H98</f>
        <v>2.2721617574342199</v>
      </c>
      <c r="I36" s="589">
        <f>'4. OEB_Adjustment_Input_Sheet'!I14*'5. Rate_Base_&amp;_Cost_of_Capital'!I48/'5. Rate_Base_&amp;_Cost_of_Capital'!I98</f>
        <v>2.2721617574342199</v>
      </c>
      <c r="J36" s="389">
        <f>K36-I36</f>
        <v>0</v>
      </c>
      <c r="K36" s="406">
        <f>'4. OEB_Adjustment_Input_Sheet'!K14*'5. Rate_Base_&amp;_Cost_of_Capital'!K48/'5. Rate_Base_&amp;_Cost_of_Capital'!K98</f>
        <v>2.2721617574342199</v>
      </c>
      <c r="L36" s="589">
        <f t="shared" ref="L36:M38" si="16">H36+D36</f>
        <v>4.0375434372766401</v>
      </c>
      <c r="M36" s="589">
        <f t="shared" si="16"/>
        <v>4.0375434372766401</v>
      </c>
      <c r="N36" s="389">
        <f>O36-M36</f>
        <v>0</v>
      </c>
      <c r="O36" s="406">
        <f>G36+K36</f>
        <v>4.0375434372766401</v>
      </c>
      <c r="P36" s="25"/>
    </row>
    <row r="37" spans="2:16" s="4" customFormat="1" ht="16.5" customHeight="1">
      <c r="B37" s="60">
        <v>17</v>
      </c>
      <c r="C37" s="64" t="s">
        <v>48</v>
      </c>
      <c r="D37" s="407">
        <f>('5. Rate_Base_&amp;_Cost_of_Capital'!D112+('5. Rate_Base_&amp;_Cost_of_Capital'!D105*'4. OEB_Adjustment_Input_Sheet'!D17))*'5. Rate_Base_&amp;_Cost_of_Capital'!D48/'5. Rate_Base_&amp;_Cost_of_Capital'!D98</f>
        <v>62.208303429729312</v>
      </c>
      <c r="E37" s="588">
        <f>('5. Rate_Base_&amp;_Cost_of_Capital'!E112+('5. Rate_Base_&amp;_Cost_of_Capital'!E105*'4. OEB_Adjustment_Input_Sheet'!E17))*'5. Rate_Base_&amp;_Cost_of_Capital'!E48/'5. Rate_Base_&amp;_Cost_of_Capital'!E98</f>
        <v>62.208303429729312</v>
      </c>
      <c r="F37" s="393">
        <f>G37-E37</f>
        <v>0</v>
      </c>
      <c r="G37" s="408">
        <f>('5. Rate_Base_&amp;_Cost_of_Capital'!G112+('5. Rate_Base_&amp;_Cost_of_Capital'!G105*'4. OEB_Adjustment_Input_Sheet'!G17))*'5. Rate_Base_&amp;_Cost_of_Capital'!G48/'5. Rate_Base_&amp;_Cost_of_Capital'!G98</f>
        <v>62.208303429729312</v>
      </c>
      <c r="H37" s="588">
        <f>('5. Rate_Base_&amp;_Cost_of_Capital'!H112+('5. Rate_Base_&amp;_Cost_of_Capital'!H105*'4. OEB_Adjustment_Input_Sheet'!H17))*'5. Rate_Base_&amp;_Cost_of_Capital'!H48/'5. Rate_Base_&amp;_Cost_of_Capital'!H98</f>
        <v>62.748594601947708</v>
      </c>
      <c r="I37" s="588">
        <f>('5. Rate_Base_&amp;_Cost_of_Capital'!I112+('5. Rate_Base_&amp;_Cost_of_Capital'!I105*'4. OEB_Adjustment_Input_Sheet'!I17))*'5. Rate_Base_&amp;_Cost_of_Capital'!I48/'5. Rate_Base_&amp;_Cost_of_Capital'!I98</f>
        <v>62.748594601947708</v>
      </c>
      <c r="J37" s="393">
        <f>K37-I37</f>
        <v>0</v>
      </c>
      <c r="K37" s="408">
        <f>('5. Rate_Base_&amp;_Cost_of_Capital'!K112+('5. Rate_Base_&amp;_Cost_of_Capital'!K105*'4. OEB_Adjustment_Input_Sheet'!K17))*'5. Rate_Base_&amp;_Cost_of_Capital'!K48/'5. Rate_Base_&amp;_Cost_of_Capital'!K98</f>
        <v>62.748594601947708</v>
      </c>
      <c r="L37" s="588">
        <f t="shared" si="16"/>
        <v>124.95689803167701</v>
      </c>
      <c r="M37" s="588">
        <f t="shared" si="16"/>
        <v>124.95689803167701</v>
      </c>
      <c r="N37" s="393">
        <f>O37-M37</f>
        <v>0</v>
      </c>
      <c r="O37" s="408">
        <f>G37+K37</f>
        <v>124.95689803167701</v>
      </c>
      <c r="P37" s="25"/>
    </row>
    <row r="38" spans="2:16" s="4" customFormat="1" ht="16.5" customHeight="1">
      <c r="B38" s="60">
        <v>18</v>
      </c>
      <c r="C38" s="64" t="s">
        <v>49</v>
      </c>
      <c r="D38" s="407">
        <f>'5. Rate_Base_&amp;_Cost_of_Capital'!D110*'5. Rate_Base_&amp;_Cost_of_Capital'!D48/'5. Rate_Base_&amp;_Cost_of_Capital'!D98</f>
        <v>106.00004445315506</v>
      </c>
      <c r="E38" s="588">
        <f>'5. Rate_Base_&amp;_Cost_of_Capital'!E110*'5. Rate_Base_&amp;_Cost_of_Capital'!E48/'5. Rate_Base_&amp;_Cost_of_Capital'!E98</f>
        <v>106.00004445315506</v>
      </c>
      <c r="F38" s="393">
        <f>G38-E38</f>
        <v>0</v>
      </c>
      <c r="G38" s="408">
        <f>'5. Rate_Base_&amp;_Cost_of_Capital'!G110*'5. Rate_Base_&amp;_Cost_of_Capital'!G48/'5. Rate_Base_&amp;_Cost_of_Capital'!G98</f>
        <v>106.00004445315506</v>
      </c>
      <c r="H38" s="588">
        <f>'5. Rate_Base_&amp;_Cost_of_Capital'!H110*'5. Rate_Base_&amp;_Cost_of_Capital'!H48/'5. Rate_Base_&amp;_Cost_of_Capital'!H98</f>
        <v>106.70351774541989</v>
      </c>
      <c r="I38" s="588">
        <f>'5. Rate_Base_&amp;_Cost_of_Capital'!I110*'5. Rate_Base_&amp;_Cost_of_Capital'!I48/'5. Rate_Base_&amp;_Cost_of_Capital'!I98</f>
        <v>106.70351774541989</v>
      </c>
      <c r="J38" s="393">
        <f>K38-I38</f>
        <v>0</v>
      </c>
      <c r="K38" s="408">
        <f>'5. Rate_Base_&amp;_Cost_of_Capital'!K110*'5. Rate_Base_&amp;_Cost_of_Capital'!K48/'5. Rate_Base_&amp;_Cost_of_Capital'!K98</f>
        <v>106.70351774541989</v>
      </c>
      <c r="L38" s="588">
        <f t="shared" si="16"/>
        <v>212.70356219857496</v>
      </c>
      <c r="M38" s="588">
        <f t="shared" si="16"/>
        <v>212.70356219857496</v>
      </c>
      <c r="N38" s="393">
        <f>O38-M38</f>
        <v>0</v>
      </c>
      <c r="O38" s="408">
        <f>G38+K38</f>
        <v>212.70356219857496</v>
      </c>
      <c r="P38" s="25"/>
    </row>
    <row r="39" spans="2:16" s="4" customFormat="1" ht="16.5" customHeight="1">
      <c r="B39" s="60">
        <v>19</v>
      </c>
      <c r="C39" s="142" t="s">
        <v>70</v>
      </c>
      <c r="D39" s="411" t="s">
        <v>17</v>
      </c>
      <c r="E39" s="412" t="s">
        <v>17</v>
      </c>
      <c r="F39" s="412" t="s">
        <v>17</v>
      </c>
      <c r="G39" s="413" t="s">
        <v>17</v>
      </c>
      <c r="H39" s="412" t="s">
        <v>17</v>
      </c>
      <c r="I39" s="412" t="s">
        <v>17</v>
      </c>
      <c r="J39" s="412" t="s">
        <v>17</v>
      </c>
      <c r="K39" s="413" t="s">
        <v>17</v>
      </c>
      <c r="L39" s="412" t="s">
        <v>17</v>
      </c>
      <c r="M39" s="412" t="s">
        <v>17</v>
      </c>
      <c r="N39" s="412" t="s">
        <v>17</v>
      </c>
      <c r="O39" s="413" t="s">
        <v>17</v>
      </c>
      <c r="P39" s="25"/>
    </row>
    <row r="40" spans="2:16" s="4" customFormat="1" ht="16.5" customHeight="1" thickBot="1">
      <c r="B40" s="60">
        <v>20</v>
      </c>
      <c r="C40" s="57" t="s">
        <v>0</v>
      </c>
      <c r="D40" s="418">
        <f>SUM(D36:D39)</f>
        <v>169.97372956272679</v>
      </c>
      <c r="E40" s="591">
        <f>SUM(E36:E39)</f>
        <v>169.97372956272679</v>
      </c>
      <c r="F40" s="592">
        <f>G40-E40</f>
        <v>0</v>
      </c>
      <c r="G40" s="419">
        <f t="shared" ref="G40:M40" si="17">SUM(G36:G39)</f>
        <v>169.97372956272679</v>
      </c>
      <c r="H40" s="591">
        <f t="shared" ref="H40" si="18">SUM(H36:H39)</f>
        <v>171.72427410480182</v>
      </c>
      <c r="I40" s="591">
        <f t="shared" si="17"/>
        <v>171.72427410480182</v>
      </c>
      <c r="J40" s="592">
        <f>K40-I40</f>
        <v>0</v>
      </c>
      <c r="K40" s="419">
        <f t="shared" si="17"/>
        <v>171.72427410480182</v>
      </c>
      <c r="L40" s="593">
        <f t="shared" ref="L40" si="19">SUM(L36:L39)</f>
        <v>341.69800366752861</v>
      </c>
      <c r="M40" s="593">
        <f t="shared" si="17"/>
        <v>341.69800366752861</v>
      </c>
      <c r="N40" s="592">
        <f>O40-M40</f>
        <v>0</v>
      </c>
      <c r="O40" s="409">
        <f t="shared" ref="O40" si="20">G40+K40</f>
        <v>341.69800366752861</v>
      </c>
      <c r="P40" s="25"/>
    </row>
    <row r="41" spans="2:16" s="4" customFormat="1" ht="16.5" customHeight="1">
      <c r="B41" s="60"/>
      <c r="C41" s="57"/>
      <c r="D41" s="423"/>
      <c r="E41" s="49"/>
      <c r="F41" s="49"/>
      <c r="G41" s="50"/>
      <c r="H41" s="423"/>
      <c r="I41" s="49"/>
      <c r="J41" s="49"/>
      <c r="K41" s="50"/>
      <c r="L41" s="49"/>
      <c r="M41" s="49"/>
      <c r="N41" s="49"/>
      <c r="O41" s="50"/>
      <c r="P41" s="25"/>
    </row>
    <row r="42" spans="2:16" s="4" customFormat="1" ht="16.5" customHeight="1" thickBot="1">
      <c r="B42" s="65" t="s">
        <v>45</v>
      </c>
      <c r="C42" s="57"/>
      <c r="D42" s="423"/>
      <c r="E42" s="49"/>
      <c r="F42" s="49"/>
      <c r="G42" s="50"/>
      <c r="H42" s="423"/>
      <c r="I42" s="49"/>
      <c r="J42" s="49"/>
      <c r="K42" s="50"/>
      <c r="L42" s="49"/>
      <c r="M42" s="49"/>
      <c r="N42" s="49"/>
      <c r="O42" s="50"/>
      <c r="P42" s="25"/>
    </row>
    <row r="43" spans="2:16" s="4" customFormat="1" ht="16.5" customHeight="1">
      <c r="B43" s="60">
        <v>21</v>
      </c>
      <c r="C43" s="64" t="s">
        <v>32</v>
      </c>
      <c r="D43" s="405">
        <f>'4. OEB_Adjustment_Input_Sheet'!D67</f>
        <v>232.48477964246206</v>
      </c>
      <c r="E43" s="589">
        <f>'4. OEB_Adjustment_Input_Sheet'!E67</f>
        <v>239.34477964246202</v>
      </c>
      <c r="F43" s="389">
        <f>G43-E43</f>
        <v>0</v>
      </c>
      <c r="G43" s="410">
        <f>'4. OEB_Adjustment_Input_Sheet'!G67</f>
        <v>239.34477964246202</v>
      </c>
      <c r="H43" s="589">
        <f>'4. OEB_Adjustment_Input_Sheet'!H67</f>
        <v>237.19576035289646</v>
      </c>
      <c r="I43" s="589">
        <f>'4. OEB_Adjustment_Input_Sheet'!I67</f>
        <v>242.62576035289601</v>
      </c>
      <c r="J43" s="389">
        <f>K43-I43</f>
        <v>0</v>
      </c>
      <c r="K43" s="406">
        <f>'4. OEB_Adjustment_Input_Sheet'!K67</f>
        <v>242.62576035289601</v>
      </c>
      <c r="L43" s="589">
        <f t="shared" ref="L43:M45" si="21">H43+D43</f>
        <v>469.68053999535852</v>
      </c>
      <c r="M43" s="589">
        <f t="shared" si="21"/>
        <v>481.97053999535802</v>
      </c>
      <c r="N43" s="389">
        <f>O43-M43</f>
        <v>0</v>
      </c>
      <c r="O43" s="406">
        <f>G43+K43</f>
        <v>481.97053999535802</v>
      </c>
      <c r="P43" s="25"/>
    </row>
    <row r="44" spans="2:16" s="4" customFormat="1" ht="16.5" customHeight="1">
      <c r="B44" s="60">
        <v>22</v>
      </c>
      <c r="C44" s="83" t="s">
        <v>85</v>
      </c>
      <c r="D44" s="407">
        <f>'4. OEB_Adjustment_Input_Sheet'!D68</f>
        <v>75.605453275348623</v>
      </c>
      <c r="E44" s="588">
        <f>'4. OEB_Adjustment_Input_Sheet'!E68</f>
        <v>75.605453275348623</v>
      </c>
      <c r="F44" s="393">
        <f>G44-E44</f>
        <v>0</v>
      </c>
      <c r="G44" s="408">
        <f>'4. OEB_Adjustment_Input_Sheet'!G68</f>
        <v>75.605453275348623</v>
      </c>
      <c r="H44" s="588">
        <f>'4. OEB_Adjustment_Input_Sheet'!H68</f>
        <v>77.524984658154779</v>
      </c>
      <c r="I44" s="588">
        <f>'4. OEB_Adjustment_Input_Sheet'!I68</f>
        <v>77.524984658154779</v>
      </c>
      <c r="J44" s="393">
        <f>K44-I44</f>
        <v>0</v>
      </c>
      <c r="K44" s="408">
        <f>'4. OEB_Adjustment_Input_Sheet'!K68</f>
        <v>77.524984658154779</v>
      </c>
      <c r="L44" s="588">
        <f t="shared" si="21"/>
        <v>153.1304379335034</v>
      </c>
      <c r="M44" s="588">
        <f t="shared" si="21"/>
        <v>153.1304379335034</v>
      </c>
      <c r="N44" s="393">
        <f>O44-M44</f>
        <v>0</v>
      </c>
      <c r="O44" s="408">
        <f>G44+K44</f>
        <v>153.1304379335034</v>
      </c>
      <c r="P44" s="25"/>
    </row>
    <row r="45" spans="2:16" s="4" customFormat="1" ht="16.5" customHeight="1">
      <c r="B45" s="60">
        <v>23</v>
      </c>
      <c r="C45" s="83" t="s">
        <v>68</v>
      </c>
      <c r="D45" s="407">
        <f>'4. OEB_Adjustment_Input_Sheet'!D69</f>
        <v>62.223053145958438</v>
      </c>
      <c r="E45" s="588">
        <f>'4. OEB_Adjustment_Input_Sheet'!E69</f>
        <v>62.223053145958438</v>
      </c>
      <c r="F45" s="393">
        <f>G45-E45</f>
        <v>0</v>
      </c>
      <c r="G45" s="408">
        <f>'4. OEB_Adjustment_Input_Sheet'!G69</f>
        <v>62.223053145958438</v>
      </c>
      <c r="H45" s="588">
        <f>'4. OEB_Adjustment_Input_Sheet'!H69</f>
        <v>63.081720001704937</v>
      </c>
      <c r="I45" s="588">
        <f>'4. OEB_Adjustment_Input_Sheet'!I69</f>
        <v>63.081720001704937</v>
      </c>
      <c r="J45" s="393">
        <f>K45-I45</f>
        <v>0</v>
      </c>
      <c r="K45" s="408">
        <f>'4. OEB_Adjustment_Input_Sheet'!K69</f>
        <v>63.081720001704937</v>
      </c>
      <c r="L45" s="588">
        <f t="shared" si="21"/>
        <v>125.30477314766338</v>
      </c>
      <c r="M45" s="588">
        <f t="shared" si="21"/>
        <v>125.30477314766338</v>
      </c>
      <c r="N45" s="393">
        <f>O45-M45</f>
        <v>0</v>
      </c>
      <c r="O45" s="408">
        <f>G45+K45</f>
        <v>125.30477314766338</v>
      </c>
      <c r="P45" s="25"/>
    </row>
    <row r="46" spans="2:16" s="4" customFormat="1" ht="16.5" customHeight="1">
      <c r="B46" s="60">
        <v>24</v>
      </c>
      <c r="C46" s="64" t="s">
        <v>34</v>
      </c>
      <c r="D46" s="407">
        <f>'4. OEB_Adjustment_Input_Sheet'!D70</f>
        <v>0.1</v>
      </c>
      <c r="E46" s="588">
        <f>'4. OEB_Adjustment_Input_Sheet'!E70</f>
        <v>0.1</v>
      </c>
      <c r="F46" s="393">
        <f>G46-E46</f>
        <v>0</v>
      </c>
      <c r="G46" s="408">
        <f>'4. OEB_Adjustment_Input_Sheet'!G70</f>
        <v>0.1</v>
      </c>
      <c r="H46" s="588">
        <f>'4. OEB_Adjustment_Input_Sheet'!H70</f>
        <v>0.1</v>
      </c>
      <c r="I46" s="588">
        <f>'4. OEB_Adjustment_Input_Sheet'!I70</f>
        <v>0.1</v>
      </c>
      <c r="J46" s="393">
        <f>K46-I46</f>
        <v>0</v>
      </c>
      <c r="K46" s="408">
        <f>'4. OEB_Adjustment_Input_Sheet'!K70</f>
        <v>0.1</v>
      </c>
      <c r="L46" s="588">
        <f>D46+H46</f>
        <v>0.2</v>
      </c>
      <c r="M46" s="588">
        <f>E46+I46</f>
        <v>0.2</v>
      </c>
      <c r="N46" s="393">
        <f>O46-M46</f>
        <v>0</v>
      </c>
      <c r="O46" s="408">
        <f>G46+K46</f>
        <v>0.2</v>
      </c>
      <c r="P46" s="25"/>
    </row>
    <row r="47" spans="2:16" s="4" customFormat="1" ht="16.5" customHeight="1" thickBot="1">
      <c r="B47" s="60">
        <v>25</v>
      </c>
      <c r="C47" s="57" t="s">
        <v>0</v>
      </c>
      <c r="D47" s="418">
        <f t="shared" ref="D47" si="22">SUM(D43:D46)</f>
        <v>370.41328606376914</v>
      </c>
      <c r="E47" s="591">
        <f t="shared" ref="E47:M47" si="23">SUM(E43:E46)</f>
        <v>377.27328606376909</v>
      </c>
      <c r="F47" s="592">
        <f>G47-E47</f>
        <v>0</v>
      </c>
      <c r="G47" s="419">
        <f t="shared" si="23"/>
        <v>377.27328606376909</v>
      </c>
      <c r="H47" s="591">
        <f t="shared" ref="H47" si="24">SUM(H43:H46)</f>
        <v>377.90246501275618</v>
      </c>
      <c r="I47" s="591">
        <f t="shared" si="23"/>
        <v>383.33246501275573</v>
      </c>
      <c r="J47" s="592">
        <f>K47-I47</f>
        <v>0</v>
      </c>
      <c r="K47" s="419">
        <f t="shared" si="23"/>
        <v>383.33246501275573</v>
      </c>
      <c r="L47" s="591">
        <f t="shared" ref="L47" si="25">SUM(L43:L46)</f>
        <v>748.31575107652532</v>
      </c>
      <c r="M47" s="591">
        <f t="shared" si="23"/>
        <v>760.60575107652483</v>
      </c>
      <c r="N47" s="592">
        <f>O47-M47</f>
        <v>0</v>
      </c>
      <c r="O47" s="419">
        <f t="shared" ref="O47" si="26">G47+K47</f>
        <v>760.60575107652483</v>
      </c>
      <c r="P47" s="25"/>
    </row>
    <row r="48" spans="2:16" s="4" customFormat="1" ht="16.5" customHeight="1">
      <c r="B48" s="60"/>
      <c r="C48" s="57"/>
      <c r="D48" s="423"/>
      <c r="E48" s="49"/>
      <c r="F48" s="49"/>
      <c r="G48" s="50"/>
      <c r="H48" s="423"/>
      <c r="I48" s="49"/>
      <c r="J48" s="49"/>
      <c r="K48" s="50"/>
      <c r="L48" s="49"/>
      <c r="M48" s="49"/>
      <c r="N48" s="49"/>
      <c r="O48" s="50"/>
      <c r="P48" s="25"/>
    </row>
    <row r="49" spans="1:16" s="4" customFormat="1" ht="16.5" customHeight="1">
      <c r="B49" s="65" t="s">
        <v>51</v>
      </c>
      <c r="C49" s="57"/>
      <c r="D49" s="423"/>
      <c r="E49" s="49"/>
      <c r="F49" s="49"/>
      <c r="G49" s="50"/>
      <c r="H49" s="423"/>
      <c r="I49" s="49"/>
      <c r="J49" s="49"/>
      <c r="K49" s="50"/>
      <c r="L49" s="49"/>
      <c r="M49" s="49"/>
      <c r="N49" s="49"/>
      <c r="O49" s="50"/>
      <c r="P49" s="25"/>
    </row>
    <row r="50" spans="1:16" s="4" customFormat="1" ht="16.5" customHeight="1" thickBot="1">
      <c r="B50" s="60">
        <v>26</v>
      </c>
      <c r="C50" s="66" t="s">
        <v>50</v>
      </c>
      <c r="D50" s="411" t="s">
        <v>17</v>
      </c>
      <c r="E50" s="412" t="s">
        <v>17</v>
      </c>
      <c r="F50" s="412" t="s">
        <v>17</v>
      </c>
      <c r="G50" s="413" t="s">
        <v>17</v>
      </c>
      <c r="H50" s="411" t="s">
        <v>17</v>
      </c>
      <c r="I50" s="412" t="s">
        <v>17</v>
      </c>
      <c r="J50" s="412" t="s">
        <v>17</v>
      </c>
      <c r="K50" s="413" t="s">
        <v>17</v>
      </c>
      <c r="L50" s="412" t="s">
        <v>17</v>
      </c>
      <c r="M50" s="412" t="s">
        <v>17</v>
      </c>
      <c r="N50" s="412" t="s">
        <v>17</v>
      </c>
      <c r="O50" s="414" t="str">
        <f>K50</f>
        <v>n/a</v>
      </c>
      <c r="P50" s="25"/>
    </row>
    <row r="51" spans="1:16" s="4" customFormat="1" ht="16.5" customHeight="1">
      <c r="B51" s="60">
        <v>27</v>
      </c>
      <c r="C51" s="64" t="s">
        <v>36</v>
      </c>
      <c r="D51" s="405">
        <f>'4. OEB_Adjustment_Input_Sheet'!D75</f>
        <v>22.655823199490698</v>
      </c>
      <c r="E51" s="589">
        <f>'4. OEB_Adjustment_Input_Sheet'!E75</f>
        <v>22.655823199490698</v>
      </c>
      <c r="F51" s="389">
        <f>G51-E51</f>
        <v>0</v>
      </c>
      <c r="G51" s="406">
        <f>'4. OEB_Adjustment_Input_Sheet'!G75</f>
        <v>22.655823199490698</v>
      </c>
      <c r="H51" s="589">
        <f>'4. OEB_Adjustment_Input_Sheet'!H75</f>
        <v>23.1088861834805</v>
      </c>
      <c r="I51" s="589">
        <f>'4. OEB_Adjustment_Input_Sheet'!I75</f>
        <v>23.1088861834805</v>
      </c>
      <c r="J51" s="389">
        <f>K51-I51</f>
        <v>0</v>
      </c>
      <c r="K51" s="406">
        <f>'4. OEB_Adjustment_Input_Sheet'!K75</f>
        <v>23.1088861834805</v>
      </c>
      <c r="L51" s="589">
        <f>D51+H51</f>
        <v>45.764709382971198</v>
      </c>
      <c r="M51" s="589">
        <f>E51+I51</f>
        <v>45.764709382971198</v>
      </c>
      <c r="N51" s="389">
        <f>O51-M51</f>
        <v>0</v>
      </c>
      <c r="O51" s="406">
        <f>G51+K51</f>
        <v>45.764709382971198</v>
      </c>
      <c r="P51" s="25"/>
    </row>
    <row r="52" spans="1:16" s="4" customFormat="1" ht="16.5" customHeight="1" thickBot="1">
      <c r="B52" s="60">
        <v>28</v>
      </c>
      <c r="C52" s="57" t="s">
        <v>0</v>
      </c>
      <c r="D52" s="418">
        <f t="shared" ref="D52" si="27">SUM(D50:D51)</f>
        <v>22.655823199490698</v>
      </c>
      <c r="E52" s="591">
        <f t="shared" ref="E52:M52" si="28">SUM(E50:E51)</f>
        <v>22.655823199490698</v>
      </c>
      <c r="F52" s="592">
        <f>G52-E52</f>
        <v>0</v>
      </c>
      <c r="G52" s="419">
        <f>SUM(G50:G51)</f>
        <v>22.655823199490698</v>
      </c>
      <c r="H52" s="591">
        <f t="shared" ref="H52" si="29">SUM(H50:H51)</f>
        <v>23.1088861834805</v>
      </c>
      <c r="I52" s="591">
        <f t="shared" si="28"/>
        <v>23.1088861834805</v>
      </c>
      <c r="J52" s="592">
        <f>K52-I52</f>
        <v>0</v>
      </c>
      <c r="K52" s="419">
        <f t="shared" si="28"/>
        <v>23.1088861834805</v>
      </c>
      <c r="L52" s="591">
        <f t="shared" ref="L52" si="30">SUM(L50:L51)</f>
        <v>45.764709382971198</v>
      </c>
      <c r="M52" s="591">
        <f t="shared" si="28"/>
        <v>45.764709382971198</v>
      </c>
      <c r="N52" s="592">
        <f>O52-M52</f>
        <v>0</v>
      </c>
      <c r="O52" s="419">
        <f t="shared" ref="O52" si="31">G52+K52</f>
        <v>45.764709382971198</v>
      </c>
      <c r="P52" s="25"/>
    </row>
    <row r="53" spans="1:16" s="4" customFormat="1" ht="16.5" customHeight="1" thickBot="1">
      <c r="B53" s="60"/>
      <c r="C53" s="57"/>
      <c r="D53" s="423"/>
      <c r="E53" s="49"/>
      <c r="F53" s="49"/>
      <c r="G53" s="50"/>
      <c r="H53" s="423"/>
      <c r="I53" s="49"/>
      <c r="J53" s="49"/>
      <c r="K53" s="50"/>
      <c r="L53" s="49"/>
      <c r="M53" s="49"/>
      <c r="N53" s="49"/>
      <c r="O53" s="50"/>
      <c r="P53" s="25"/>
    </row>
    <row r="54" spans="1:16" s="4" customFormat="1" ht="16.5" customHeight="1" thickBot="1">
      <c r="B54" s="60">
        <v>29</v>
      </c>
      <c r="C54" s="179" t="s">
        <v>116</v>
      </c>
      <c r="D54" s="415">
        <f>('6. Taxes'!D23-'6. Taxes'!D22)*0.13883-0.7</f>
        <v>31.37168319225184</v>
      </c>
      <c r="E54" s="590">
        <f>('6. Taxes'!E23-'6. Taxes'!E22)*0.1411-0.7</f>
        <v>30.616778462100427</v>
      </c>
      <c r="F54" s="416">
        <f>G54-E54</f>
        <v>0</v>
      </c>
      <c r="G54" s="417">
        <f>('6. Taxes'!G23-'6. Taxes'!G22)*0.1411-0.7</f>
        <v>30.616778462100427</v>
      </c>
      <c r="H54" s="415">
        <f>('6. Taxes'!H23-'6. Taxes'!H22)*0.27007-0.7</f>
        <v>43.227993812367018</v>
      </c>
      <c r="I54" s="590">
        <f>('6. Taxes'!I23-'6. Taxes'!I22)*0.2653-0.7</f>
        <v>43.833462403923576</v>
      </c>
      <c r="J54" s="416">
        <f>K54-I54</f>
        <v>0</v>
      </c>
      <c r="K54" s="417">
        <f>('6. Taxes'!K23-'6. Taxes'!K22)*0.2653-0.7</f>
        <v>43.833462403923576</v>
      </c>
      <c r="L54" s="590">
        <f>D54+H54</f>
        <v>74.599677004618854</v>
      </c>
      <c r="M54" s="590">
        <f>E54+I54</f>
        <v>74.450240866024004</v>
      </c>
      <c r="N54" s="416">
        <f>O54-M54</f>
        <v>0</v>
      </c>
      <c r="O54" s="417">
        <f>G54+K54</f>
        <v>74.450240866024004</v>
      </c>
      <c r="P54" s="594"/>
    </row>
    <row r="55" spans="1:16" s="4" customFormat="1" ht="16.5" customHeight="1" thickBot="1">
      <c r="B55" s="60"/>
      <c r="C55" s="57"/>
      <c r="D55" s="423"/>
      <c r="E55" s="49"/>
      <c r="F55" s="49"/>
      <c r="G55" s="50"/>
      <c r="H55" s="423"/>
      <c r="I55" s="49"/>
      <c r="J55" s="49"/>
      <c r="K55" s="50"/>
      <c r="L55" s="49"/>
      <c r="M55" s="49"/>
      <c r="N55" s="49"/>
      <c r="O55" s="50"/>
      <c r="P55" s="25"/>
    </row>
    <row r="56" spans="1:16" s="4" customFormat="1" ht="16.5" customHeight="1" thickBot="1">
      <c r="B56" s="160">
        <v>30</v>
      </c>
      <c r="C56" s="161" t="s">
        <v>52</v>
      </c>
      <c r="D56" s="415">
        <f>D40+D47-D52+D54</f>
        <v>549.10287561925702</v>
      </c>
      <c r="E56" s="590">
        <f>E40+E47-E52+E54</f>
        <v>555.2079708891057</v>
      </c>
      <c r="F56" s="416">
        <f>G56-E56</f>
        <v>0</v>
      </c>
      <c r="G56" s="417">
        <f>G40+G47-G52+G54</f>
        <v>555.2079708891057</v>
      </c>
      <c r="H56" s="415">
        <f>H40+H47-H52+H54</f>
        <v>569.7458467464445</v>
      </c>
      <c r="I56" s="590">
        <f>I40+I47-I52+I54</f>
        <v>575.78131533800058</v>
      </c>
      <c r="J56" s="416">
        <f>K56-I56</f>
        <v>0</v>
      </c>
      <c r="K56" s="417">
        <f>K40+K47-K52+K54</f>
        <v>575.78131533800058</v>
      </c>
      <c r="L56" s="590">
        <f>D56+H56</f>
        <v>1118.8487223657016</v>
      </c>
      <c r="M56" s="590">
        <f>E56+I56</f>
        <v>1130.9892862271063</v>
      </c>
      <c r="N56" s="416">
        <f>O56-M56</f>
        <v>0</v>
      </c>
      <c r="O56" s="417">
        <f>G56+K56</f>
        <v>1130.9892862271063</v>
      </c>
      <c r="P56" s="25"/>
    </row>
    <row r="57" spans="1:16" s="4" customFormat="1" ht="16.5" customHeight="1" thickBot="1">
      <c r="B57" s="56"/>
      <c r="C57" s="288"/>
      <c r="D57" s="288"/>
      <c r="E57" s="199"/>
      <c r="F57" s="112"/>
      <c r="G57" s="199"/>
      <c r="H57" s="199"/>
      <c r="I57" s="199"/>
      <c r="J57" s="112"/>
      <c r="K57" s="199"/>
      <c r="L57" s="199"/>
      <c r="M57" s="199"/>
      <c r="N57" s="112"/>
      <c r="O57" s="199"/>
      <c r="P57" s="25"/>
    </row>
    <row r="58" spans="1:16" ht="15.75" customHeight="1" thickBot="1">
      <c r="A58" s="5"/>
      <c r="B58" s="51"/>
      <c r="C58" s="51"/>
      <c r="D58" s="634" t="s">
        <v>23</v>
      </c>
      <c r="E58" s="635"/>
      <c r="F58" s="635"/>
      <c r="G58" s="635"/>
      <c r="H58" s="635"/>
      <c r="I58" s="635"/>
      <c r="J58" s="635"/>
      <c r="K58" s="635"/>
      <c r="L58" s="635"/>
      <c r="M58" s="635"/>
      <c r="N58" s="635"/>
      <c r="O58" s="636"/>
      <c r="P58" s="5"/>
    </row>
    <row r="59" spans="1:16" ht="17.25" customHeight="1">
      <c r="A59" s="5"/>
      <c r="B59" s="94"/>
      <c r="C59" s="92"/>
      <c r="D59" s="637">
        <v>2014</v>
      </c>
      <c r="E59" s="638"/>
      <c r="F59" s="639"/>
      <c r="G59" s="640"/>
      <c r="H59" s="637">
        <v>2015</v>
      </c>
      <c r="I59" s="639"/>
      <c r="J59" s="639"/>
      <c r="K59" s="640"/>
      <c r="L59" s="637" t="s">
        <v>0</v>
      </c>
      <c r="M59" s="639"/>
      <c r="N59" s="639"/>
      <c r="O59" s="640"/>
      <c r="P59" s="5"/>
    </row>
    <row r="60" spans="1:16" ht="17.25" customHeight="1">
      <c r="A60" s="5"/>
      <c r="B60" s="87" t="s">
        <v>2</v>
      </c>
      <c r="C60" s="93"/>
      <c r="D60" s="9" t="s">
        <v>238</v>
      </c>
      <c r="E60" s="159" t="s">
        <v>238</v>
      </c>
      <c r="F60" s="498" t="s">
        <v>21</v>
      </c>
      <c r="G60" s="11" t="s">
        <v>21</v>
      </c>
      <c r="H60" s="9" t="s">
        <v>238</v>
      </c>
      <c r="I60" s="159" t="s">
        <v>238</v>
      </c>
      <c r="J60" s="498" t="s">
        <v>21</v>
      </c>
      <c r="K60" s="11" t="s">
        <v>21</v>
      </c>
      <c r="L60" s="9" t="s">
        <v>238</v>
      </c>
      <c r="M60" s="159" t="s">
        <v>238</v>
      </c>
      <c r="N60" s="498" t="s">
        <v>21</v>
      </c>
      <c r="O60" s="11" t="s">
        <v>21</v>
      </c>
      <c r="P60" s="5"/>
    </row>
    <row r="61" spans="1:16" ht="17.25" customHeight="1" thickBot="1">
      <c r="A61" s="5"/>
      <c r="B61" s="54" t="s">
        <v>3</v>
      </c>
      <c r="C61" s="53" t="s">
        <v>1</v>
      </c>
      <c r="D61" s="468" t="s">
        <v>239</v>
      </c>
      <c r="E61" s="500">
        <v>41437</v>
      </c>
      <c r="F61" s="499" t="s">
        <v>15</v>
      </c>
      <c r="G61" s="13" t="s">
        <v>12</v>
      </c>
      <c r="H61" s="468" t="s">
        <v>239</v>
      </c>
      <c r="I61" s="500">
        <v>41437</v>
      </c>
      <c r="J61" s="499" t="s">
        <v>15</v>
      </c>
      <c r="K61" s="13" t="s">
        <v>12</v>
      </c>
      <c r="L61" s="468" t="s">
        <v>239</v>
      </c>
      <c r="M61" s="500">
        <v>41437</v>
      </c>
      <c r="N61" s="499" t="s">
        <v>15</v>
      </c>
      <c r="O61" s="13" t="s">
        <v>12</v>
      </c>
      <c r="P61" s="5"/>
    </row>
    <row r="62" spans="1:16">
      <c r="B62" s="47"/>
      <c r="C62" s="110"/>
      <c r="D62" s="508" t="s">
        <v>4</v>
      </c>
      <c r="E62" s="509" t="s">
        <v>5</v>
      </c>
      <c r="F62" s="509" t="s">
        <v>6</v>
      </c>
      <c r="G62" s="510" t="s">
        <v>7</v>
      </c>
      <c r="H62" s="508" t="s">
        <v>8</v>
      </c>
      <c r="I62" s="509" t="s">
        <v>9</v>
      </c>
      <c r="J62" s="509" t="s">
        <v>11</v>
      </c>
      <c r="K62" s="510" t="s">
        <v>13</v>
      </c>
      <c r="L62" s="508" t="s">
        <v>14</v>
      </c>
      <c r="M62" s="509" t="s">
        <v>240</v>
      </c>
      <c r="N62" s="509" t="s">
        <v>241</v>
      </c>
      <c r="O62" s="510" t="s">
        <v>242</v>
      </c>
    </row>
    <row r="63" spans="1:16" ht="16.5" thickBot="1">
      <c r="B63" s="63" t="s">
        <v>47</v>
      </c>
      <c r="C63" s="57"/>
      <c r="D63" s="16"/>
      <c r="E63" s="587"/>
      <c r="F63" s="49"/>
      <c r="G63" s="50"/>
      <c r="H63" s="62"/>
      <c r="I63" s="49"/>
      <c r="J63" s="49"/>
      <c r="K63" s="50"/>
      <c r="L63" s="62"/>
      <c r="M63" s="58"/>
      <c r="N63" s="58"/>
      <c r="O63" s="61"/>
      <c r="P63" s="25"/>
    </row>
    <row r="64" spans="1:16">
      <c r="B64" s="60">
        <v>31</v>
      </c>
      <c r="C64" s="64" t="s">
        <v>30</v>
      </c>
      <c r="D64" s="405">
        <f>'4. OEB_Adjustment_Input_Sheet'!D14*'5. Rate_Base_&amp;_Cost_of_Capital'!D73/'5. Rate_Base_&amp;_Cost_of_Capital'!D98</f>
        <v>1.6288140673171887</v>
      </c>
      <c r="E64" s="589">
        <f>'4. OEB_Adjustment_Input_Sheet'!E14*'5. Rate_Base_&amp;_Cost_of_Capital'!E73/'5. Rate_Base_&amp;_Cost_of_Capital'!E98</f>
        <v>1.6288140673171887</v>
      </c>
      <c r="F64" s="389">
        <f>G64-E64</f>
        <v>0</v>
      </c>
      <c r="G64" s="406">
        <f>'4. OEB_Adjustment_Input_Sheet'!G14*'5. Rate_Base_&amp;_Cost_of_Capital'!G73/'5. Rate_Base_&amp;_Cost_of_Capital'!G98</f>
        <v>1.6288140673171887</v>
      </c>
      <c r="H64" s="589">
        <f>'4. OEB_Adjustment_Input_Sheet'!H14*'5. Rate_Base_&amp;_Cost_of_Capital'!H73/'5. Rate_Base_&amp;_Cost_of_Capital'!H98</f>
        <v>2.1122495363657263</v>
      </c>
      <c r="I64" s="589">
        <f>'4. OEB_Adjustment_Input_Sheet'!I14*'5. Rate_Base_&amp;_Cost_of_Capital'!I73/'5. Rate_Base_&amp;_Cost_of_Capital'!I98</f>
        <v>2.1122495363657263</v>
      </c>
      <c r="J64" s="389">
        <f>K64-I64</f>
        <v>0</v>
      </c>
      <c r="K64" s="406">
        <f>'4. OEB_Adjustment_Input_Sheet'!K14*'5. Rate_Base_&amp;_Cost_of_Capital'!K73/'5. Rate_Base_&amp;_Cost_of_Capital'!K98</f>
        <v>2.1122495363657263</v>
      </c>
      <c r="L64" s="589">
        <f t="shared" ref="L64:M67" si="32">H64+D64</f>
        <v>3.7410636036829148</v>
      </c>
      <c r="M64" s="589">
        <f t="shared" si="32"/>
        <v>3.7410636036829148</v>
      </c>
      <c r="N64" s="389">
        <f>O64-M64</f>
        <v>0</v>
      </c>
      <c r="O64" s="406">
        <f>G64+K64</f>
        <v>3.7410636036829148</v>
      </c>
      <c r="P64" s="25"/>
    </row>
    <row r="65" spans="2:16">
      <c r="B65" s="60">
        <v>32</v>
      </c>
      <c r="C65" s="64" t="s">
        <v>48</v>
      </c>
      <c r="D65" s="407">
        <f>('5. Rate_Base_&amp;_Cost_of_Capital'!D112+('5. Rate_Base_&amp;_Cost_of_Capital'!D105*'4. OEB_Adjustment_Input_Sheet'!D17))*'5. Rate_Base_&amp;_Cost_of_Capital'!D73/'5. Rate_Base_&amp;_Cost_of_Capital'!D98</f>
        <v>57.39595062486638</v>
      </c>
      <c r="E65" s="588">
        <f>('5. Rate_Base_&amp;_Cost_of_Capital'!E112+('5. Rate_Base_&amp;_Cost_of_Capital'!E105*'4. OEB_Adjustment_Input_Sheet'!E17))*'5. Rate_Base_&amp;_Cost_of_Capital'!E73/'5. Rate_Base_&amp;_Cost_of_Capital'!E98</f>
        <v>57.39595062486638</v>
      </c>
      <c r="F65" s="393">
        <f>G65-E65</f>
        <v>0</v>
      </c>
      <c r="G65" s="408">
        <f>('5. Rate_Base_&amp;_Cost_of_Capital'!G112+('5. Rate_Base_&amp;_Cost_of_Capital'!G105*'4. OEB_Adjustment_Input_Sheet'!G17))*'5. Rate_Base_&amp;_Cost_of_Capital'!G73/'5. Rate_Base_&amp;_Cost_of_Capital'!G98</f>
        <v>57.39595062486638</v>
      </c>
      <c r="H65" s="588">
        <f>('5. Rate_Base_&amp;_Cost_of_Capital'!H112+('5. Rate_Base_&amp;_Cost_of_Capital'!H105*'4. OEB_Adjustment_Input_Sheet'!H17))*'5. Rate_Base_&amp;_Cost_of_Capital'!H73/'5. Rate_Base_&amp;_Cost_of_Capital'!H98</f>
        <v>58.332418201260957</v>
      </c>
      <c r="I65" s="588">
        <f>('5. Rate_Base_&amp;_Cost_of_Capital'!I112+('5. Rate_Base_&amp;_Cost_of_Capital'!I105*'4. OEB_Adjustment_Input_Sheet'!I17))*'5. Rate_Base_&amp;_Cost_of_Capital'!I73/'5. Rate_Base_&amp;_Cost_of_Capital'!I98</f>
        <v>58.332418201260957</v>
      </c>
      <c r="J65" s="393">
        <f>K65-I65</f>
        <v>0</v>
      </c>
      <c r="K65" s="408">
        <f>('5. Rate_Base_&amp;_Cost_of_Capital'!K112+('5. Rate_Base_&amp;_Cost_of_Capital'!K105*'4. OEB_Adjustment_Input_Sheet'!K17))*'5. Rate_Base_&amp;_Cost_of_Capital'!K73/'5. Rate_Base_&amp;_Cost_of_Capital'!K98</f>
        <v>58.332418201260957</v>
      </c>
      <c r="L65" s="588">
        <f t="shared" si="32"/>
        <v>115.72836882612734</v>
      </c>
      <c r="M65" s="588">
        <f t="shared" si="32"/>
        <v>115.72836882612734</v>
      </c>
      <c r="N65" s="393">
        <f>O65-M65</f>
        <v>0</v>
      </c>
      <c r="O65" s="408">
        <f>G65+K65</f>
        <v>115.72836882612734</v>
      </c>
      <c r="P65" s="25"/>
    </row>
    <row r="66" spans="2:16">
      <c r="B66" s="60">
        <v>33</v>
      </c>
      <c r="C66" s="64" t="s">
        <v>49</v>
      </c>
      <c r="D66" s="407">
        <f>'5. Rate_Base_&amp;_Cost_of_Capital'!D110*'5. Rate_Base_&amp;_Cost_of_Capital'!D73/'5. Rate_Base_&amp;_Cost_of_Capital'!D98</f>
        <v>97.800019969028796</v>
      </c>
      <c r="E66" s="588">
        <f>'5. Rate_Base_&amp;_Cost_of_Capital'!E110*'5. Rate_Base_&amp;_Cost_of_Capital'!E73/'5. Rate_Base_&amp;_Cost_of_Capital'!E98</f>
        <v>97.800019969028796</v>
      </c>
      <c r="F66" s="393">
        <f>G66-E66</f>
        <v>0</v>
      </c>
      <c r="G66" s="408">
        <f>'5. Rate_Base_&amp;_Cost_of_Capital'!G110*'5. Rate_Base_&amp;_Cost_of_Capital'!G73/'5. Rate_Base_&amp;_Cost_of_Capital'!G98</f>
        <v>97.800019969028796</v>
      </c>
      <c r="H66" s="588">
        <f>'5. Rate_Base_&amp;_Cost_of_Capital'!H110*'5. Rate_Base_&amp;_Cost_of_Capital'!H73/'5. Rate_Base_&amp;_Cost_of_Capital'!H98</f>
        <v>99.193842669399046</v>
      </c>
      <c r="I66" s="588">
        <f>'5. Rate_Base_&amp;_Cost_of_Capital'!I110*'5. Rate_Base_&amp;_Cost_of_Capital'!I73/'5. Rate_Base_&amp;_Cost_of_Capital'!I98</f>
        <v>99.193842669399046</v>
      </c>
      <c r="J66" s="393">
        <f>K66-I66</f>
        <v>0</v>
      </c>
      <c r="K66" s="408">
        <f>'5. Rate_Base_&amp;_Cost_of_Capital'!K110*'5. Rate_Base_&amp;_Cost_of_Capital'!K73/'5. Rate_Base_&amp;_Cost_of_Capital'!K98</f>
        <v>99.193842669399046</v>
      </c>
      <c r="L66" s="588">
        <f t="shared" si="32"/>
        <v>196.99386263842786</v>
      </c>
      <c r="M66" s="588">
        <f t="shared" si="32"/>
        <v>196.99386263842786</v>
      </c>
      <c r="N66" s="393">
        <f>O66-M66</f>
        <v>0</v>
      </c>
      <c r="O66" s="408">
        <f>G66+K66</f>
        <v>196.99386263842786</v>
      </c>
      <c r="P66" s="25"/>
    </row>
    <row r="67" spans="2:16" ht="16.5" customHeight="1">
      <c r="B67" s="60">
        <v>34</v>
      </c>
      <c r="C67" s="142" t="s">
        <v>70</v>
      </c>
      <c r="D67" s="392">
        <f>'5. Rate_Base_&amp;_Cost_of_Capital'!D83</f>
        <v>74.614428604314043</v>
      </c>
      <c r="E67" s="395">
        <f>'5. Rate_Base_&amp;_Cost_of_Capital'!E83</f>
        <v>74.614428604314043</v>
      </c>
      <c r="F67" s="582">
        <f>G67-E67</f>
        <v>0</v>
      </c>
      <c r="G67" s="394">
        <f>'5. Rate_Base_&amp;_Cost_of_Capital'!G83</f>
        <v>74.614428604314043</v>
      </c>
      <c r="H67" s="395">
        <f>'5. Rate_Base_&amp;_Cost_of_Capital'!H83</f>
        <v>70.280838604314056</v>
      </c>
      <c r="I67" s="395">
        <f>'5. Rate_Base_&amp;_Cost_of_Capital'!I83</f>
        <v>70.280838604314056</v>
      </c>
      <c r="J67" s="582">
        <f>K67-I67</f>
        <v>0</v>
      </c>
      <c r="K67" s="394">
        <f>'5. Rate_Base_&amp;_Cost_of_Capital'!K83</f>
        <v>70.280838604314056</v>
      </c>
      <c r="L67" s="395">
        <f t="shared" si="32"/>
        <v>144.8952672086281</v>
      </c>
      <c r="M67" s="395">
        <f t="shared" si="32"/>
        <v>144.8952672086281</v>
      </c>
      <c r="N67" s="582">
        <f>O67-M67</f>
        <v>0</v>
      </c>
      <c r="O67" s="394">
        <f>G67+K67</f>
        <v>144.8952672086281</v>
      </c>
      <c r="P67" s="25"/>
    </row>
    <row r="68" spans="2:16" ht="16.5" thickBot="1">
      <c r="B68" s="60">
        <v>35</v>
      </c>
      <c r="C68" s="57" t="s">
        <v>0</v>
      </c>
      <c r="D68" s="418">
        <f>SUM(D64:D67)</f>
        <v>231.4392132655264</v>
      </c>
      <c r="E68" s="591">
        <f>SUM(E64:E67)</f>
        <v>231.4392132655264</v>
      </c>
      <c r="F68" s="592">
        <f>G68-E68</f>
        <v>0</v>
      </c>
      <c r="G68" s="419">
        <f t="shared" ref="G68:M68" si="33">SUM(G64:G67)</f>
        <v>231.4392132655264</v>
      </c>
      <c r="H68" s="591">
        <f t="shared" ref="H68" si="34">SUM(H64:H67)</f>
        <v>229.91934901133979</v>
      </c>
      <c r="I68" s="591">
        <f t="shared" si="33"/>
        <v>229.91934901133979</v>
      </c>
      <c r="J68" s="592">
        <f>K68-I68</f>
        <v>0</v>
      </c>
      <c r="K68" s="419">
        <f t="shared" si="33"/>
        <v>229.91934901133979</v>
      </c>
      <c r="L68" s="593">
        <f t="shared" ref="L68" si="35">SUM(L64:L67)</f>
        <v>461.35856227686622</v>
      </c>
      <c r="M68" s="593">
        <f t="shared" si="33"/>
        <v>461.35856227686622</v>
      </c>
      <c r="N68" s="592">
        <f>O68-M68</f>
        <v>0</v>
      </c>
      <c r="O68" s="409">
        <f t="shared" ref="O68" si="36">G68+K68</f>
        <v>461.35856227686622</v>
      </c>
      <c r="P68" s="25"/>
    </row>
    <row r="69" spans="2:16" ht="15.75">
      <c r="B69" s="60"/>
      <c r="C69" s="57"/>
      <c r="D69" s="62"/>
      <c r="E69" s="49"/>
      <c r="F69" s="49"/>
      <c r="G69" s="50"/>
      <c r="H69" s="62"/>
      <c r="I69" s="49"/>
      <c r="J69" s="49"/>
      <c r="K69" s="50"/>
      <c r="L69" s="49"/>
      <c r="M69" s="49"/>
      <c r="N69" s="49"/>
      <c r="O69" s="50"/>
      <c r="P69" s="25"/>
    </row>
    <row r="70" spans="2:16" ht="16.5" thickBot="1">
      <c r="B70" s="65" t="s">
        <v>45</v>
      </c>
      <c r="C70" s="57"/>
      <c r="D70" s="62"/>
      <c r="E70" s="49"/>
      <c r="F70" s="49"/>
      <c r="G70" s="50"/>
      <c r="H70" s="62"/>
      <c r="I70" s="49"/>
      <c r="J70" s="49"/>
      <c r="K70" s="50"/>
      <c r="L70" s="49"/>
      <c r="M70" s="49"/>
      <c r="N70" s="49"/>
      <c r="O70" s="50"/>
      <c r="P70" s="25"/>
    </row>
    <row r="71" spans="2:16">
      <c r="B71" s="60">
        <v>36</v>
      </c>
      <c r="C71" s="64" t="s">
        <v>32</v>
      </c>
      <c r="D71" s="405">
        <f>'4. OEB_Adjustment_Input_Sheet'!D94</f>
        <v>2422.69240416</v>
      </c>
      <c r="E71" s="589">
        <f>'4. OEB_Adjustment_Input_Sheet'!E94</f>
        <v>2491.75240416</v>
      </c>
      <c r="F71" s="389">
        <f>G71-E71</f>
        <v>0</v>
      </c>
      <c r="G71" s="410">
        <f>'4. OEB_Adjustment_Input_Sheet'!G94</f>
        <v>2491.75240416</v>
      </c>
      <c r="H71" s="589">
        <f>'4. OEB_Adjustment_Input_Sheet'!H94</f>
        <v>2473.3378142399997</v>
      </c>
      <c r="I71" s="589">
        <f>'4. OEB_Adjustment_Input_Sheet'!I94</f>
        <v>2531.2578142400002</v>
      </c>
      <c r="J71" s="389">
        <f>K71-I71</f>
        <v>0</v>
      </c>
      <c r="K71" s="406">
        <f>'4. OEB_Adjustment_Input_Sheet'!K94</f>
        <v>2531.2578142400002</v>
      </c>
      <c r="L71" s="589">
        <f t="shared" ref="L71:M73" si="37">H71+D71</f>
        <v>4896.0302183999993</v>
      </c>
      <c r="M71" s="589">
        <f t="shared" si="37"/>
        <v>5023.0102184000007</v>
      </c>
      <c r="N71" s="389">
        <f>O71-M71</f>
        <v>0</v>
      </c>
      <c r="O71" s="406">
        <f>G71+K71</f>
        <v>5023.0102184000007</v>
      </c>
      <c r="P71" s="25"/>
    </row>
    <row r="72" spans="2:16">
      <c r="B72" s="60">
        <v>37</v>
      </c>
      <c r="C72" s="83" t="s">
        <v>86</v>
      </c>
      <c r="D72" s="407">
        <f>'4. OEB_Adjustment_Input_Sheet'!D95</f>
        <v>280.45453278427163</v>
      </c>
      <c r="E72" s="588">
        <f>'4. OEB_Adjustment_Input_Sheet'!E95</f>
        <v>268.578532784272</v>
      </c>
      <c r="F72" s="393">
        <f>G72-E72</f>
        <v>0</v>
      </c>
      <c r="G72" s="408">
        <f>'4. OEB_Adjustment_Input_Sheet'!G95</f>
        <v>268.578532784272</v>
      </c>
      <c r="H72" s="588">
        <f>'4. OEB_Adjustment_Input_Sheet'!H95</f>
        <v>267.9349758853545</v>
      </c>
      <c r="I72" s="588">
        <f>'4. OEB_Adjustment_Input_Sheet'!I95</f>
        <v>260.461975885355</v>
      </c>
      <c r="J72" s="393">
        <f>K72-I72</f>
        <v>0</v>
      </c>
      <c r="K72" s="408">
        <f>'4. OEB_Adjustment_Input_Sheet'!K95</f>
        <v>260.461975885355</v>
      </c>
      <c r="L72" s="588">
        <f t="shared" si="37"/>
        <v>548.38950866962614</v>
      </c>
      <c r="M72" s="588">
        <f t="shared" si="37"/>
        <v>529.040508669627</v>
      </c>
      <c r="N72" s="393">
        <f>O72-M72</f>
        <v>0</v>
      </c>
      <c r="O72" s="408">
        <f>G72+K72</f>
        <v>529.040508669627</v>
      </c>
      <c r="P72" s="25"/>
    </row>
    <row r="73" spans="2:16">
      <c r="B73" s="60">
        <v>38</v>
      </c>
      <c r="C73" s="83" t="s">
        <v>68</v>
      </c>
      <c r="D73" s="407">
        <f>'4. OEB_Adjustment_Input_Sheet'!D96</f>
        <v>273.73343896622492</v>
      </c>
      <c r="E73" s="588">
        <f>'4. OEB_Adjustment_Input_Sheet'!E96</f>
        <v>273.73343896622492</v>
      </c>
      <c r="F73" s="393">
        <f>G73-E73</f>
        <v>0</v>
      </c>
      <c r="G73" s="408">
        <f>'4. OEB_Adjustment_Input_Sheet'!G96</f>
        <v>273.73343896622492</v>
      </c>
      <c r="H73" s="588">
        <f>'4. OEB_Adjustment_Input_Sheet'!H96</f>
        <v>288.54871768659086</v>
      </c>
      <c r="I73" s="588">
        <f>'4. OEB_Adjustment_Input_Sheet'!I96</f>
        <v>288.54871768659086</v>
      </c>
      <c r="J73" s="393">
        <f>K73-I73</f>
        <v>0</v>
      </c>
      <c r="K73" s="408">
        <f>'4. OEB_Adjustment_Input_Sheet'!K96</f>
        <v>288.54871768659086</v>
      </c>
      <c r="L73" s="588">
        <f t="shared" si="37"/>
        <v>562.28215665281573</v>
      </c>
      <c r="M73" s="588">
        <f t="shared" si="37"/>
        <v>562.28215665281573</v>
      </c>
      <c r="N73" s="393">
        <f>O73-M73</f>
        <v>0</v>
      </c>
      <c r="O73" s="408">
        <f>G73+K73</f>
        <v>562.28215665281573</v>
      </c>
      <c r="P73" s="25"/>
    </row>
    <row r="74" spans="2:16">
      <c r="B74" s="60">
        <v>39</v>
      </c>
      <c r="C74" s="64" t="s">
        <v>34</v>
      </c>
      <c r="D74" s="407">
        <f>'4. OEB_Adjustment_Input_Sheet'!D97</f>
        <v>15.927</v>
      </c>
      <c r="E74" s="588">
        <f>'4. OEB_Adjustment_Input_Sheet'!E97</f>
        <v>15.927</v>
      </c>
      <c r="F74" s="393">
        <f>G74-E74</f>
        <v>0</v>
      </c>
      <c r="G74" s="408">
        <f>'4. OEB_Adjustment_Input_Sheet'!G97</f>
        <v>15.927</v>
      </c>
      <c r="H74" s="588">
        <f>'4. OEB_Adjustment_Input_Sheet'!H97</f>
        <v>16.431000000000001</v>
      </c>
      <c r="I74" s="588">
        <f>'4. OEB_Adjustment_Input_Sheet'!I97</f>
        <v>16.431000000000001</v>
      </c>
      <c r="J74" s="393">
        <f>K74-I74</f>
        <v>0</v>
      </c>
      <c r="K74" s="408">
        <f>'4. OEB_Adjustment_Input_Sheet'!K97</f>
        <v>16.431000000000001</v>
      </c>
      <c r="L74" s="588">
        <f>D74+H74</f>
        <v>32.358000000000004</v>
      </c>
      <c r="M74" s="588">
        <f>E74+I74</f>
        <v>32.358000000000004</v>
      </c>
      <c r="N74" s="393">
        <f>O74-M74</f>
        <v>0</v>
      </c>
      <c r="O74" s="408">
        <f>G74+K74</f>
        <v>32.358000000000004</v>
      </c>
      <c r="P74" s="25"/>
    </row>
    <row r="75" spans="2:16" ht="16.5" thickBot="1">
      <c r="B75" s="60">
        <v>40</v>
      </c>
      <c r="C75" s="57" t="s">
        <v>0</v>
      </c>
      <c r="D75" s="418">
        <f>SUM(D71:D74)</f>
        <v>2992.8073759104968</v>
      </c>
      <c r="E75" s="591">
        <f>SUM(E71:E74)</f>
        <v>3049.991375910497</v>
      </c>
      <c r="F75" s="592">
        <f>G75-E75</f>
        <v>0</v>
      </c>
      <c r="G75" s="419">
        <f t="shared" ref="G75:M75" si="38">SUM(G71:G74)</f>
        <v>3049.991375910497</v>
      </c>
      <c r="H75" s="591">
        <f t="shared" ref="H75" si="39">SUM(H71:H74)</f>
        <v>3046.2525078119452</v>
      </c>
      <c r="I75" s="591">
        <f t="shared" si="38"/>
        <v>3096.6995078119462</v>
      </c>
      <c r="J75" s="592">
        <f>K75-I75</f>
        <v>0</v>
      </c>
      <c r="K75" s="419">
        <f t="shared" si="38"/>
        <v>3096.6995078119462</v>
      </c>
      <c r="L75" s="591">
        <f t="shared" ref="L75" si="40">SUM(L71:L74)</f>
        <v>6039.0598837224416</v>
      </c>
      <c r="M75" s="591">
        <f t="shared" si="38"/>
        <v>6146.6908837224437</v>
      </c>
      <c r="N75" s="592">
        <f>O75-M75</f>
        <v>0</v>
      </c>
      <c r="O75" s="419">
        <f>G75+K75</f>
        <v>6146.6908837224437</v>
      </c>
      <c r="P75" s="25"/>
    </row>
    <row r="76" spans="2:16" ht="15.75">
      <c r="B76" s="60"/>
      <c r="C76" s="57"/>
      <c r="D76" s="62"/>
      <c r="E76" s="49"/>
      <c r="F76" s="49"/>
      <c r="G76" s="50"/>
      <c r="H76" s="62"/>
      <c r="I76" s="49"/>
      <c r="J76" s="49"/>
      <c r="K76" s="50"/>
      <c r="L76" s="49"/>
      <c r="M76" s="49"/>
      <c r="N76" s="49"/>
      <c r="O76" s="50"/>
      <c r="P76" s="25"/>
    </row>
    <row r="77" spans="2:16" ht="16.5" thickBot="1">
      <c r="B77" s="65" t="s">
        <v>51</v>
      </c>
      <c r="C77" s="57"/>
      <c r="D77" s="62"/>
      <c r="E77" s="49"/>
      <c r="F77" s="49"/>
      <c r="G77" s="50"/>
      <c r="H77" s="62"/>
      <c r="I77" s="49"/>
      <c r="J77" s="49"/>
      <c r="K77" s="50"/>
      <c r="L77" s="49"/>
      <c r="M77" s="49"/>
      <c r="N77" s="49"/>
      <c r="O77" s="50"/>
      <c r="P77" s="25"/>
    </row>
    <row r="78" spans="2:16" ht="16.5" customHeight="1">
      <c r="B78" s="60">
        <v>41</v>
      </c>
      <c r="C78" s="66" t="s">
        <v>50</v>
      </c>
      <c r="D78" s="388">
        <f>'4. OEB_Adjustment_Input_Sheet'!D101</f>
        <v>39.683878533892937</v>
      </c>
      <c r="E78" s="391">
        <f>'4. OEB_Adjustment_Input_Sheet'!E101</f>
        <v>39.683878533892937</v>
      </c>
      <c r="F78" s="581">
        <f>G78-E78</f>
        <v>0</v>
      </c>
      <c r="G78" s="390">
        <f>'4. OEB_Adjustment_Input_Sheet'!G101</f>
        <v>39.683878533892937</v>
      </c>
      <c r="H78" s="391">
        <f>'4. OEB_Adjustment_Input_Sheet'!H101</f>
        <v>40.616954321576657</v>
      </c>
      <c r="I78" s="391">
        <f>'4. OEB_Adjustment_Input_Sheet'!I101</f>
        <v>40.616954321576657</v>
      </c>
      <c r="J78" s="581">
        <f>K78-I78</f>
        <v>0</v>
      </c>
      <c r="K78" s="390">
        <f>'4. OEB_Adjustment_Input_Sheet'!K101</f>
        <v>40.616954321576657</v>
      </c>
      <c r="L78" s="391">
        <f>H78+D78</f>
        <v>80.300832855469594</v>
      </c>
      <c r="M78" s="391">
        <f>I78+E78</f>
        <v>80.300832855469594</v>
      </c>
      <c r="N78" s="581">
        <f>O78-M78</f>
        <v>0</v>
      </c>
      <c r="O78" s="406">
        <f>G78+K78</f>
        <v>80.300832855469594</v>
      </c>
      <c r="P78" s="25"/>
    </row>
    <row r="79" spans="2:16">
      <c r="B79" s="60">
        <v>42</v>
      </c>
      <c r="C79" s="64" t="s">
        <v>36</v>
      </c>
      <c r="D79" s="407">
        <f>'4. OEB_Adjustment_Input_Sheet'!D102</f>
        <v>33.169075272191833</v>
      </c>
      <c r="E79" s="588">
        <f>'4. OEB_Adjustment_Input_Sheet'!E102</f>
        <v>33.169075272191833</v>
      </c>
      <c r="F79" s="393">
        <f>G79-E79</f>
        <v>0</v>
      </c>
      <c r="G79" s="408">
        <f>'4. OEB_Adjustment_Input_Sheet'!G102</f>
        <v>33.169075272191833</v>
      </c>
      <c r="H79" s="588">
        <f>'4. OEB_Adjustment_Input_Sheet'!H102</f>
        <v>30.502794777635671</v>
      </c>
      <c r="I79" s="588">
        <f>'4. OEB_Adjustment_Input_Sheet'!I102</f>
        <v>30.502794777635671</v>
      </c>
      <c r="J79" s="393">
        <f>K79-I79</f>
        <v>0</v>
      </c>
      <c r="K79" s="408">
        <f>'4. OEB_Adjustment_Input_Sheet'!K102</f>
        <v>30.502794777635671</v>
      </c>
      <c r="L79" s="588">
        <f>D79+H79</f>
        <v>63.671870049827504</v>
      </c>
      <c r="M79" s="588">
        <f>E79+I79</f>
        <v>63.671870049827504</v>
      </c>
      <c r="N79" s="393">
        <f>O79-M79</f>
        <v>0</v>
      </c>
      <c r="O79" s="408">
        <f>G79+K79</f>
        <v>63.671870049827504</v>
      </c>
      <c r="P79" s="25"/>
    </row>
    <row r="80" spans="2:16" ht="16.5" thickBot="1">
      <c r="B80" s="60">
        <v>43</v>
      </c>
      <c r="C80" s="57" t="s">
        <v>0</v>
      </c>
      <c r="D80" s="418">
        <f t="shared" ref="D80" si="41">SUM(D78:D79)</f>
        <v>72.85295380608477</v>
      </c>
      <c r="E80" s="591">
        <f t="shared" ref="E80:M80" si="42">SUM(E78:E79)</f>
        <v>72.85295380608477</v>
      </c>
      <c r="F80" s="592">
        <f>G80-E80</f>
        <v>0</v>
      </c>
      <c r="G80" s="419">
        <f t="shared" si="42"/>
        <v>72.85295380608477</v>
      </c>
      <c r="H80" s="591">
        <f t="shared" ref="H80" si="43">SUM(H78:H79)</f>
        <v>71.119749099212328</v>
      </c>
      <c r="I80" s="591">
        <f t="shared" si="42"/>
        <v>71.119749099212328</v>
      </c>
      <c r="J80" s="592">
        <f>K80-I80</f>
        <v>0</v>
      </c>
      <c r="K80" s="419">
        <f t="shared" si="42"/>
        <v>71.119749099212328</v>
      </c>
      <c r="L80" s="591">
        <f t="shared" ref="L80" si="44">SUM(L78:L79)</f>
        <v>143.9727029052971</v>
      </c>
      <c r="M80" s="591">
        <f t="shared" si="42"/>
        <v>143.9727029052971</v>
      </c>
      <c r="N80" s="592">
        <f>O80-M80</f>
        <v>0</v>
      </c>
      <c r="O80" s="419">
        <f>G80+K80</f>
        <v>143.9727029052971</v>
      </c>
      <c r="P80" s="25"/>
    </row>
    <row r="81" spans="2:16" ht="16.5" thickBot="1">
      <c r="B81" s="60"/>
      <c r="C81" s="57"/>
      <c r="D81" s="62"/>
      <c r="E81" s="49"/>
      <c r="F81" s="49"/>
      <c r="G81" s="50"/>
      <c r="H81" s="62"/>
      <c r="I81" s="49"/>
      <c r="J81" s="49"/>
      <c r="K81" s="50"/>
      <c r="L81" s="49"/>
      <c r="M81" s="49"/>
      <c r="N81" s="49"/>
      <c r="O81" s="50"/>
      <c r="P81" s="25"/>
    </row>
    <row r="82" spans="2:16" ht="16.5" thickBot="1">
      <c r="B82" s="60">
        <v>44</v>
      </c>
      <c r="C82" s="179" t="s">
        <v>116</v>
      </c>
      <c r="D82" s="415">
        <f>('6. Taxes'!D23-'6. Taxes'!D22)*0.65002-9.4</f>
        <v>140.76376509852005</v>
      </c>
      <c r="E82" s="590">
        <f>('6. Taxes'!E23-'6. Taxes'!E22)*0.64057-9.4</f>
        <v>132.77284748028114</v>
      </c>
      <c r="F82" s="416">
        <f>G82-E82</f>
        <v>0</v>
      </c>
      <c r="G82" s="417">
        <f>('6. Taxes'!G23-'6. Taxes'!G22)*0.64057-9.4</f>
        <v>132.77284748028114</v>
      </c>
      <c r="H82" s="415">
        <f>('6. Taxes'!H23-'6. Taxes'!H22)*0.34986-9.4</f>
        <v>47.506164754303434</v>
      </c>
      <c r="I82" s="590">
        <f>('6. Taxes'!I23-'6. Taxes'!I22)*0.3653-9.4</f>
        <v>51.919539450257389</v>
      </c>
      <c r="J82" s="416">
        <f>K82-I82</f>
        <v>0</v>
      </c>
      <c r="K82" s="417">
        <f>('6. Taxes'!K23-'6. Taxes'!K22)*0.3653-9.4</f>
        <v>51.919539450257389</v>
      </c>
      <c r="L82" s="590">
        <f>D82+H82</f>
        <v>188.26992985282348</v>
      </c>
      <c r="M82" s="590">
        <f>E82+I82</f>
        <v>184.69238693053853</v>
      </c>
      <c r="N82" s="416">
        <f>O82-M82</f>
        <v>0</v>
      </c>
      <c r="O82" s="417">
        <f>G82+K82</f>
        <v>184.69238693053853</v>
      </c>
      <c r="P82" s="594"/>
    </row>
    <row r="83" spans="2:16" ht="16.5" thickBot="1">
      <c r="B83" s="60"/>
      <c r="C83" s="57"/>
      <c r="D83" s="62"/>
      <c r="E83" s="49"/>
      <c r="F83" s="49"/>
      <c r="G83" s="50"/>
      <c r="H83" s="62"/>
      <c r="I83" s="49"/>
      <c r="J83" s="49"/>
      <c r="K83" s="50"/>
      <c r="L83" s="49"/>
      <c r="M83" s="49"/>
      <c r="N83" s="49"/>
      <c r="O83" s="50"/>
      <c r="P83" s="25"/>
    </row>
    <row r="84" spans="2:16" ht="16.5" customHeight="1" thickBot="1">
      <c r="B84" s="160">
        <v>45</v>
      </c>
      <c r="C84" s="161" t="s">
        <v>52</v>
      </c>
      <c r="D84" s="415">
        <f>D68+D75-D80+D82</f>
        <v>3292.1574004684585</v>
      </c>
      <c r="E84" s="590">
        <f>E68+E75-E80+E82</f>
        <v>3341.3504828502196</v>
      </c>
      <c r="F84" s="416">
        <f>G84-E84</f>
        <v>0</v>
      </c>
      <c r="G84" s="417">
        <f>G68+G75-G80+G82</f>
        <v>3341.3504828502196</v>
      </c>
      <c r="H84" s="590">
        <f>H68+H75-H80+H82</f>
        <v>3252.5582724783762</v>
      </c>
      <c r="I84" s="590">
        <f>I68+I75-I80+I82</f>
        <v>3307.4186471743315</v>
      </c>
      <c r="J84" s="416">
        <f>K84-I84</f>
        <v>0</v>
      </c>
      <c r="K84" s="417">
        <f>K68+K75-K80+K82</f>
        <v>3307.4186471743315</v>
      </c>
      <c r="L84" s="590">
        <f>D84+H84</f>
        <v>6544.7156729468352</v>
      </c>
      <c r="M84" s="590">
        <f>E84+I84</f>
        <v>6648.7691300245515</v>
      </c>
      <c r="N84" s="416">
        <f>O84-M84</f>
        <v>0</v>
      </c>
      <c r="O84" s="417">
        <f>G84+K84</f>
        <v>6648.7691300245515</v>
      </c>
      <c r="P84" s="25"/>
    </row>
    <row r="85" spans="2:16" ht="16.5" thickBot="1">
      <c r="B85" s="56"/>
      <c r="C85" s="57"/>
      <c r="D85" s="5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4"/>
    </row>
    <row r="86" spans="2:16" ht="16.5" customHeight="1" thickBot="1">
      <c r="B86" s="51"/>
      <c r="C86" s="51"/>
      <c r="D86" s="634" t="s">
        <v>141</v>
      </c>
      <c r="E86" s="635"/>
      <c r="F86" s="635"/>
      <c r="G86" s="635"/>
      <c r="H86" s="635"/>
      <c r="I86" s="635"/>
      <c r="J86" s="635"/>
      <c r="K86" s="635"/>
      <c r="L86" s="635"/>
      <c r="M86" s="635"/>
      <c r="N86" s="635"/>
      <c r="O86" s="636"/>
      <c r="P86" s="4"/>
    </row>
    <row r="87" spans="2:16" ht="15.75">
      <c r="B87" s="94"/>
      <c r="C87" s="92"/>
      <c r="D87" s="637">
        <v>2014</v>
      </c>
      <c r="E87" s="638"/>
      <c r="F87" s="639"/>
      <c r="G87" s="640"/>
      <c r="H87" s="637">
        <v>2015</v>
      </c>
      <c r="I87" s="639"/>
      <c r="J87" s="639"/>
      <c r="K87" s="640"/>
      <c r="L87" s="637" t="s">
        <v>0</v>
      </c>
      <c r="M87" s="639"/>
      <c r="N87" s="639"/>
      <c r="O87" s="640"/>
      <c r="P87" s="4"/>
    </row>
    <row r="88" spans="2:16" ht="15.75">
      <c r="B88" s="87" t="s">
        <v>2</v>
      </c>
      <c r="C88" s="93"/>
      <c r="D88" s="9" t="s">
        <v>238</v>
      </c>
      <c r="E88" s="159" t="s">
        <v>238</v>
      </c>
      <c r="F88" s="498" t="s">
        <v>21</v>
      </c>
      <c r="G88" s="11" t="s">
        <v>21</v>
      </c>
      <c r="H88" s="9" t="s">
        <v>238</v>
      </c>
      <c r="I88" s="159" t="s">
        <v>238</v>
      </c>
      <c r="J88" s="498" t="s">
        <v>21</v>
      </c>
      <c r="K88" s="11" t="s">
        <v>21</v>
      </c>
      <c r="L88" s="9" t="s">
        <v>238</v>
      </c>
      <c r="M88" s="159" t="s">
        <v>238</v>
      </c>
      <c r="N88" s="498" t="s">
        <v>21</v>
      </c>
      <c r="O88" s="11" t="s">
        <v>21</v>
      </c>
      <c r="P88" s="4"/>
    </row>
    <row r="89" spans="2:16" ht="16.5" thickBot="1">
      <c r="B89" s="54" t="s">
        <v>3</v>
      </c>
      <c r="C89" s="53" t="s">
        <v>1</v>
      </c>
      <c r="D89" s="468" t="s">
        <v>239</v>
      </c>
      <c r="E89" s="500">
        <v>41437</v>
      </c>
      <c r="F89" s="499" t="s">
        <v>15</v>
      </c>
      <c r="G89" s="13" t="s">
        <v>12</v>
      </c>
      <c r="H89" s="468" t="s">
        <v>239</v>
      </c>
      <c r="I89" s="500">
        <v>41437</v>
      </c>
      <c r="J89" s="499" t="s">
        <v>15</v>
      </c>
      <c r="K89" s="13" t="s">
        <v>12</v>
      </c>
      <c r="L89" s="468" t="s">
        <v>239</v>
      </c>
      <c r="M89" s="500">
        <v>41437</v>
      </c>
      <c r="N89" s="499" t="s">
        <v>15</v>
      </c>
      <c r="O89" s="13" t="s">
        <v>12</v>
      </c>
      <c r="P89" s="4"/>
    </row>
    <row r="90" spans="2:16">
      <c r="B90" s="47"/>
      <c r="C90" s="110"/>
      <c r="D90" s="508" t="s">
        <v>4</v>
      </c>
      <c r="E90" s="509" t="s">
        <v>5</v>
      </c>
      <c r="F90" s="509" t="s">
        <v>6</v>
      </c>
      <c r="G90" s="510" t="s">
        <v>7</v>
      </c>
      <c r="H90" s="508" t="s">
        <v>8</v>
      </c>
      <c r="I90" s="509" t="s">
        <v>9</v>
      </c>
      <c r="J90" s="509" t="s">
        <v>11</v>
      </c>
      <c r="K90" s="510" t="s">
        <v>13</v>
      </c>
      <c r="L90" s="508" t="s">
        <v>14</v>
      </c>
      <c r="M90" s="509" t="s">
        <v>240</v>
      </c>
      <c r="N90" s="509" t="s">
        <v>241</v>
      </c>
      <c r="O90" s="510" t="s">
        <v>242</v>
      </c>
      <c r="P90" s="4"/>
    </row>
    <row r="91" spans="2:16" ht="16.5" thickBot="1">
      <c r="B91" s="63" t="s">
        <v>47</v>
      </c>
      <c r="C91" s="57"/>
      <c r="D91" s="16"/>
      <c r="E91" s="587"/>
      <c r="F91" s="49"/>
      <c r="G91" s="50"/>
      <c r="H91" s="62"/>
      <c r="I91" s="49"/>
      <c r="J91" s="49"/>
      <c r="K91" s="50"/>
      <c r="L91" s="62"/>
      <c r="M91" s="58"/>
      <c r="N91" s="58"/>
      <c r="O91" s="61"/>
      <c r="P91" s="20"/>
    </row>
    <row r="92" spans="2:16">
      <c r="B92" s="60">
        <v>46</v>
      </c>
      <c r="C92" s="64" t="s">
        <v>30</v>
      </c>
      <c r="D92" s="405">
        <f t="shared" ref="D92:E94" si="45">D8+D36+D64</f>
        <v>6.9987531114327064</v>
      </c>
      <c r="E92" s="589">
        <f t="shared" si="45"/>
        <v>6.9987531114327064</v>
      </c>
      <c r="F92" s="389">
        <f>G92-E92</f>
        <v>0</v>
      </c>
      <c r="G92" s="406">
        <f t="shared" ref="G92:I94" si="46">G8+G36+G64</f>
        <v>6.9987531114327064</v>
      </c>
      <c r="H92" s="589">
        <f t="shared" ref="H92" si="47">H8+H36+H64</f>
        <v>8.9541661070911722</v>
      </c>
      <c r="I92" s="589">
        <f t="shared" si="46"/>
        <v>8.9541661070911722</v>
      </c>
      <c r="J92" s="389">
        <f>K92-I92</f>
        <v>0</v>
      </c>
      <c r="K92" s="406">
        <f>K8+K36+K64</f>
        <v>8.9541661070911722</v>
      </c>
      <c r="L92" s="589">
        <f t="shared" ref="L92:M95" si="48">H92+D92</f>
        <v>15.952919218523878</v>
      </c>
      <c r="M92" s="589">
        <f t="shared" si="48"/>
        <v>15.952919218523878</v>
      </c>
      <c r="N92" s="389">
        <f>O92-M92</f>
        <v>0</v>
      </c>
      <c r="O92" s="406">
        <f>G92+K92</f>
        <v>15.952919218523878</v>
      </c>
      <c r="P92" s="20"/>
    </row>
    <row r="93" spans="2:16">
      <c r="B93" s="60">
        <v>47</v>
      </c>
      <c r="C93" s="64" t="s">
        <v>48</v>
      </c>
      <c r="D93" s="407">
        <f t="shared" si="45"/>
        <v>246.62120501025615</v>
      </c>
      <c r="E93" s="588">
        <f t="shared" si="45"/>
        <v>246.62120501025615</v>
      </c>
      <c r="F93" s="393">
        <f>G93-E93</f>
        <v>0</v>
      </c>
      <c r="G93" s="408">
        <f t="shared" si="46"/>
        <v>246.62120501025615</v>
      </c>
      <c r="H93" s="588">
        <f t="shared" ref="H93" si="49">H9+H37+H65</f>
        <v>247.28051918576068</v>
      </c>
      <c r="I93" s="588">
        <f t="shared" si="46"/>
        <v>247.28051918576068</v>
      </c>
      <c r="J93" s="393">
        <f>K93-I93</f>
        <v>0</v>
      </c>
      <c r="K93" s="408">
        <f>K9+K37+K65</f>
        <v>247.28051918576068</v>
      </c>
      <c r="L93" s="588">
        <f t="shared" si="48"/>
        <v>493.90172419601686</v>
      </c>
      <c r="M93" s="588">
        <f t="shared" si="48"/>
        <v>493.90172419601686</v>
      </c>
      <c r="N93" s="393">
        <f>O93-M93</f>
        <v>0</v>
      </c>
      <c r="O93" s="408">
        <f>G93+K93</f>
        <v>493.90172419601686</v>
      </c>
      <c r="P93" s="20"/>
    </row>
    <row r="94" spans="2:16">
      <c r="B94" s="60">
        <v>48</v>
      </c>
      <c r="C94" s="64" t="s">
        <v>49</v>
      </c>
      <c r="D94" s="407">
        <f t="shared" si="45"/>
        <v>420.23101825478557</v>
      </c>
      <c r="E94" s="588">
        <f t="shared" si="45"/>
        <v>420.23101825478557</v>
      </c>
      <c r="F94" s="393">
        <f>G94-E94</f>
        <v>0</v>
      </c>
      <c r="G94" s="408">
        <f t="shared" si="46"/>
        <v>420.23101825478557</v>
      </c>
      <c r="H94" s="588">
        <f t="shared" ref="H94" si="50">H10+H38+H66</f>
        <v>420.49868103684111</v>
      </c>
      <c r="I94" s="588">
        <f t="shared" si="46"/>
        <v>420.49868103684111</v>
      </c>
      <c r="J94" s="393">
        <f>K94-I94</f>
        <v>0</v>
      </c>
      <c r="K94" s="408">
        <f>K10+K38+K66</f>
        <v>420.49868103684111</v>
      </c>
      <c r="L94" s="588">
        <f t="shared" si="48"/>
        <v>840.72969929162673</v>
      </c>
      <c r="M94" s="588">
        <f t="shared" si="48"/>
        <v>840.72969929162673</v>
      </c>
      <c r="N94" s="393">
        <f>O94-M94</f>
        <v>0</v>
      </c>
      <c r="O94" s="408">
        <f>G94+K94</f>
        <v>840.72969929162673</v>
      </c>
      <c r="P94" s="20"/>
    </row>
    <row r="95" spans="2:16">
      <c r="B95" s="60">
        <v>49</v>
      </c>
      <c r="C95" s="142" t="s">
        <v>70</v>
      </c>
      <c r="D95" s="392">
        <f t="shared" ref="D95" si="51">D67</f>
        <v>74.614428604314043</v>
      </c>
      <c r="E95" s="395">
        <f t="shared" ref="E95:K95" si="52">E67</f>
        <v>74.614428604314043</v>
      </c>
      <c r="F95" s="582">
        <f>G95-E95</f>
        <v>0</v>
      </c>
      <c r="G95" s="394">
        <f t="shared" si="52"/>
        <v>74.614428604314043</v>
      </c>
      <c r="H95" s="395">
        <f t="shared" ref="H95" si="53">H67</f>
        <v>70.280838604314056</v>
      </c>
      <c r="I95" s="395">
        <f t="shared" si="52"/>
        <v>70.280838604314056</v>
      </c>
      <c r="J95" s="582">
        <f>K95-I95</f>
        <v>0</v>
      </c>
      <c r="K95" s="394">
        <f t="shared" si="52"/>
        <v>70.280838604314056</v>
      </c>
      <c r="L95" s="395">
        <f t="shared" si="48"/>
        <v>144.8952672086281</v>
      </c>
      <c r="M95" s="395">
        <f t="shared" si="48"/>
        <v>144.8952672086281</v>
      </c>
      <c r="N95" s="582">
        <f>O95-M95</f>
        <v>0</v>
      </c>
      <c r="O95" s="394">
        <f>G95+K95</f>
        <v>144.8952672086281</v>
      </c>
      <c r="P95" s="20"/>
    </row>
    <row r="96" spans="2:16" ht="16.5" thickBot="1">
      <c r="B96" s="60">
        <v>50</v>
      </c>
      <c r="C96" s="57" t="s">
        <v>0</v>
      </c>
      <c r="D96" s="418">
        <f>SUM(D92:D95)</f>
        <v>748.46540498078843</v>
      </c>
      <c r="E96" s="591">
        <f>SUM(E92:E95)</f>
        <v>748.46540498078843</v>
      </c>
      <c r="F96" s="592">
        <f>G96-E96</f>
        <v>0</v>
      </c>
      <c r="G96" s="419">
        <f t="shared" ref="G96:M96" si="54">SUM(G92:G95)</f>
        <v>748.46540498078843</v>
      </c>
      <c r="H96" s="591">
        <f t="shared" ref="H96" si="55">SUM(H92:H95)</f>
        <v>747.01420493400701</v>
      </c>
      <c r="I96" s="591">
        <f t="shared" si="54"/>
        <v>747.01420493400701</v>
      </c>
      <c r="J96" s="592">
        <f>K96-I96</f>
        <v>0</v>
      </c>
      <c r="K96" s="419">
        <f t="shared" si="54"/>
        <v>747.01420493400701</v>
      </c>
      <c r="L96" s="593">
        <f t="shared" ref="L96" si="56">SUM(L92:L95)</f>
        <v>1495.4796099147957</v>
      </c>
      <c r="M96" s="593">
        <f t="shared" si="54"/>
        <v>1495.4796099147957</v>
      </c>
      <c r="N96" s="592">
        <f>O96-M96</f>
        <v>0</v>
      </c>
      <c r="O96" s="409">
        <f t="shared" ref="O96" si="57">G96+K96</f>
        <v>1495.4796099147954</v>
      </c>
      <c r="P96" s="20"/>
    </row>
    <row r="97" spans="2:16" ht="15.75">
      <c r="B97" s="60"/>
      <c r="C97" s="57"/>
      <c r="D97" s="62"/>
      <c r="E97" s="49"/>
      <c r="F97" s="49"/>
      <c r="G97" s="50"/>
      <c r="H97" s="49"/>
      <c r="I97" s="49"/>
      <c r="J97" s="49"/>
      <c r="K97" s="50"/>
      <c r="L97" s="49"/>
      <c r="M97" s="49"/>
      <c r="N97" s="49"/>
      <c r="O97" s="50"/>
      <c r="P97" s="20"/>
    </row>
    <row r="98" spans="2:16" ht="16.5" thickBot="1">
      <c r="B98" s="65" t="s">
        <v>45</v>
      </c>
      <c r="C98" s="57"/>
      <c r="D98" s="62"/>
      <c r="E98" s="49"/>
      <c r="F98" s="49"/>
      <c r="G98" s="50"/>
      <c r="H98" s="49"/>
      <c r="I98" s="49"/>
      <c r="J98" s="49"/>
      <c r="K98" s="50"/>
      <c r="L98" s="49"/>
      <c r="M98" s="49"/>
      <c r="N98" s="49"/>
      <c r="O98" s="50"/>
      <c r="P98" s="20"/>
    </row>
    <row r="99" spans="2:16">
      <c r="B99" s="60">
        <v>51</v>
      </c>
      <c r="C99" s="64" t="s">
        <v>32</v>
      </c>
      <c r="D99" s="405">
        <f t="shared" ref="D99:E102" si="58">D15+D43+D71</f>
        <v>2800.6363006350894</v>
      </c>
      <c r="E99" s="589">
        <f t="shared" si="58"/>
        <v>2880.3463006350889</v>
      </c>
      <c r="F99" s="389">
        <f>G99-E99</f>
        <v>0</v>
      </c>
      <c r="G99" s="410">
        <f t="shared" ref="G99:I102" si="59">G15+G43+G71</f>
        <v>2880.3463006350889</v>
      </c>
      <c r="H99" s="589">
        <f t="shared" ref="H99" si="60">H15+H43+H71</f>
        <v>2851.6120057010676</v>
      </c>
      <c r="I99" s="589">
        <f t="shared" si="59"/>
        <v>2918.0920057010671</v>
      </c>
      <c r="J99" s="389">
        <f>K99-I99</f>
        <v>0</v>
      </c>
      <c r="K99" s="406">
        <f>K15+K43+K71</f>
        <v>2918.0920057010671</v>
      </c>
      <c r="L99" s="589">
        <f t="shared" ref="L99:M101" si="61">H99+D99</f>
        <v>5652.2483063361569</v>
      </c>
      <c r="M99" s="589">
        <f t="shared" si="61"/>
        <v>5798.4383063361565</v>
      </c>
      <c r="N99" s="389">
        <f>O99-M99</f>
        <v>0</v>
      </c>
      <c r="O99" s="406">
        <f>G99+K99</f>
        <v>5798.4383063361565</v>
      </c>
      <c r="P99" s="20"/>
    </row>
    <row r="100" spans="2:16">
      <c r="B100" s="60">
        <v>52</v>
      </c>
      <c r="C100" s="64" t="s">
        <v>33</v>
      </c>
      <c r="D100" s="407">
        <f t="shared" si="58"/>
        <v>609.31147624513301</v>
      </c>
      <c r="E100" s="588">
        <f t="shared" si="58"/>
        <v>611.41332626016072</v>
      </c>
      <c r="F100" s="393">
        <f>G100-E100</f>
        <v>0</v>
      </c>
      <c r="G100" s="408">
        <f t="shared" si="59"/>
        <v>611.41332626016072</v>
      </c>
      <c r="H100" s="588">
        <f t="shared" ref="H100" si="62">H16+H44+H72</f>
        <v>615.00024379811157</v>
      </c>
      <c r="I100" s="588">
        <f t="shared" si="59"/>
        <v>618.78620734577646</v>
      </c>
      <c r="J100" s="393">
        <f>K100-I100</f>
        <v>0</v>
      </c>
      <c r="K100" s="408">
        <f>K16+K44+K72</f>
        <v>618.78620734577646</v>
      </c>
      <c r="L100" s="588">
        <f t="shared" si="61"/>
        <v>1224.3117200432446</v>
      </c>
      <c r="M100" s="588">
        <f t="shared" si="61"/>
        <v>1230.1995336059372</v>
      </c>
      <c r="N100" s="393">
        <f>O100-M100</f>
        <v>0</v>
      </c>
      <c r="O100" s="408">
        <f>G100+K100</f>
        <v>1230.1995336059372</v>
      </c>
      <c r="P100" s="20"/>
    </row>
    <row r="101" spans="2:16">
      <c r="B101" s="60">
        <v>53</v>
      </c>
      <c r="C101" s="83" t="s">
        <v>68</v>
      </c>
      <c r="D101" s="407">
        <f t="shared" si="58"/>
        <v>418.0077304305637</v>
      </c>
      <c r="E101" s="588">
        <f t="shared" si="58"/>
        <v>418.0077304305637</v>
      </c>
      <c r="F101" s="393">
        <f>G101-E101</f>
        <v>0</v>
      </c>
      <c r="G101" s="408">
        <f t="shared" si="59"/>
        <v>418.0077304305637</v>
      </c>
      <c r="H101" s="588">
        <f t="shared" ref="H101" si="63">H17+H45+H73</f>
        <v>433.57034676979333</v>
      </c>
      <c r="I101" s="588">
        <f t="shared" si="59"/>
        <v>433.57034676979333</v>
      </c>
      <c r="J101" s="393">
        <f>K101-I101</f>
        <v>0</v>
      </c>
      <c r="K101" s="408">
        <f>K17+K45+K73</f>
        <v>433.57034676979333</v>
      </c>
      <c r="L101" s="588">
        <f t="shared" si="61"/>
        <v>851.57807720035703</v>
      </c>
      <c r="M101" s="588">
        <f t="shared" si="61"/>
        <v>851.57807720035703</v>
      </c>
      <c r="N101" s="393">
        <f>O101-M101</f>
        <v>0</v>
      </c>
      <c r="O101" s="408">
        <f>G101+K101</f>
        <v>851.57807720035703</v>
      </c>
      <c r="P101" s="20"/>
    </row>
    <row r="102" spans="2:16">
      <c r="B102" s="60">
        <v>54</v>
      </c>
      <c r="C102" s="64" t="s">
        <v>34</v>
      </c>
      <c r="D102" s="407">
        <f t="shared" si="58"/>
        <v>16.326999999999998</v>
      </c>
      <c r="E102" s="588">
        <f t="shared" si="58"/>
        <v>16.326999999999998</v>
      </c>
      <c r="F102" s="393">
        <f>G102-E102</f>
        <v>0</v>
      </c>
      <c r="G102" s="408">
        <f t="shared" si="59"/>
        <v>16.326999999999998</v>
      </c>
      <c r="H102" s="588">
        <f t="shared" ref="H102" si="64">H18+H46+H74</f>
        <v>16.831</v>
      </c>
      <c r="I102" s="588">
        <f t="shared" si="59"/>
        <v>16.831</v>
      </c>
      <c r="J102" s="393">
        <f>K102-I102</f>
        <v>0</v>
      </c>
      <c r="K102" s="408">
        <f>K18+K46+K74</f>
        <v>16.831</v>
      </c>
      <c r="L102" s="588">
        <f>D102+H102</f>
        <v>33.158000000000001</v>
      </c>
      <c r="M102" s="588">
        <f>E102+I102</f>
        <v>33.158000000000001</v>
      </c>
      <c r="N102" s="393">
        <f>O102-M102</f>
        <v>0</v>
      </c>
      <c r="O102" s="408">
        <f>G102+K102</f>
        <v>33.158000000000001</v>
      </c>
      <c r="P102" s="20"/>
    </row>
    <row r="103" spans="2:16" ht="16.5" thickBot="1">
      <c r="B103" s="60">
        <v>55</v>
      </c>
      <c r="C103" s="57" t="s">
        <v>0</v>
      </c>
      <c r="D103" s="418">
        <f t="shared" ref="D103" si="65">SUM(D99:D102)</f>
        <v>3844.2825073107861</v>
      </c>
      <c r="E103" s="591">
        <f t="shared" ref="E103:M103" si="66">SUM(E99:E102)</f>
        <v>3926.0943573258137</v>
      </c>
      <c r="F103" s="592">
        <f>G103-E103</f>
        <v>0</v>
      </c>
      <c r="G103" s="419">
        <f t="shared" si="66"/>
        <v>3926.0943573258137</v>
      </c>
      <c r="H103" s="591">
        <f t="shared" ref="H103" si="67">SUM(H99:H102)</f>
        <v>3917.0135962689728</v>
      </c>
      <c r="I103" s="591">
        <f t="shared" si="66"/>
        <v>3987.2795598166367</v>
      </c>
      <c r="J103" s="592">
        <f>K103-I103</f>
        <v>0</v>
      </c>
      <c r="K103" s="419">
        <f t="shared" si="66"/>
        <v>3987.2795598166367</v>
      </c>
      <c r="L103" s="591">
        <f t="shared" ref="L103" si="68">SUM(L99:L102)</f>
        <v>7761.2961035797589</v>
      </c>
      <c r="M103" s="591">
        <f t="shared" si="66"/>
        <v>7913.3739171424513</v>
      </c>
      <c r="N103" s="592">
        <f>O103-M103</f>
        <v>0</v>
      </c>
      <c r="O103" s="419">
        <f t="shared" ref="O103" si="69">G103+K103</f>
        <v>7913.3739171424504</v>
      </c>
      <c r="P103" s="20"/>
    </row>
    <row r="104" spans="2:16" ht="15.75">
      <c r="B104" s="60"/>
      <c r="C104" s="57"/>
      <c r="D104" s="62"/>
      <c r="E104" s="49"/>
      <c r="F104" s="49"/>
      <c r="G104" s="50"/>
      <c r="H104" s="49"/>
      <c r="I104" s="49"/>
      <c r="J104" s="49"/>
      <c r="K104" s="50"/>
      <c r="L104" s="49"/>
      <c r="M104" s="49"/>
      <c r="N104" s="49"/>
      <c r="O104" s="50"/>
      <c r="P104" s="20"/>
    </row>
    <row r="105" spans="2:16" ht="16.5" thickBot="1">
      <c r="B105" s="65" t="s">
        <v>51</v>
      </c>
      <c r="C105" s="57"/>
      <c r="D105" s="62"/>
      <c r="E105" s="49"/>
      <c r="F105" s="49"/>
      <c r="G105" s="50"/>
      <c r="H105" s="49"/>
      <c r="I105" s="49"/>
      <c r="J105" s="49"/>
      <c r="K105" s="50"/>
      <c r="L105" s="49"/>
      <c r="M105" s="49"/>
      <c r="N105" s="49"/>
      <c r="O105" s="50"/>
      <c r="P105" s="20"/>
    </row>
    <row r="106" spans="2:16">
      <c r="B106" s="60">
        <v>56</v>
      </c>
      <c r="C106" s="66" t="s">
        <v>50</v>
      </c>
      <c r="D106" s="388">
        <f t="shared" ref="D106:I106" si="70">D78</f>
        <v>39.683878533892937</v>
      </c>
      <c r="E106" s="391">
        <f t="shared" si="70"/>
        <v>39.683878533892937</v>
      </c>
      <c r="F106" s="581">
        <f t="shared" si="70"/>
        <v>0</v>
      </c>
      <c r="G106" s="390">
        <f t="shared" si="70"/>
        <v>39.683878533892937</v>
      </c>
      <c r="H106" s="391">
        <f t="shared" si="70"/>
        <v>40.616954321576657</v>
      </c>
      <c r="I106" s="391">
        <f t="shared" si="70"/>
        <v>40.616954321576657</v>
      </c>
      <c r="J106" s="581">
        <f t="shared" ref="J106:K106" si="71">J78</f>
        <v>0</v>
      </c>
      <c r="K106" s="390">
        <f t="shared" si="71"/>
        <v>40.616954321576657</v>
      </c>
      <c r="L106" s="391">
        <f>H106+D106</f>
        <v>80.300832855469594</v>
      </c>
      <c r="M106" s="391">
        <f>I106+E106</f>
        <v>80.300832855469594</v>
      </c>
      <c r="N106" s="581">
        <f>O106-M106</f>
        <v>0</v>
      </c>
      <c r="O106" s="406">
        <f>G106+K106</f>
        <v>80.300832855469594</v>
      </c>
      <c r="P106" s="20"/>
    </row>
    <row r="107" spans="2:16">
      <c r="B107" s="60">
        <v>57</v>
      </c>
      <c r="C107" s="64" t="s">
        <v>36</v>
      </c>
      <c r="D107" s="407">
        <f>D23+D51+D79</f>
        <v>75.675581396040783</v>
      </c>
      <c r="E107" s="588">
        <f>E23+E51+E79</f>
        <v>89.798874246666031</v>
      </c>
      <c r="F107" s="393">
        <f>G107-E107</f>
        <v>0</v>
      </c>
      <c r="G107" s="408">
        <f>G23+G51+G79</f>
        <v>89.798874246666031</v>
      </c>
      <c r="H107" s="588">
        <f>H23+H51+H79</f>
        <v>73.824363885474426</v>
      </c>
      <c r="I107" s="588">
        <f>I23+I51+I79</f>
        <v>88.23070259311217</v>
      </c>
      <c r="J107" s="393">
        <f>K107-I107</f>
        <v>0</v>
      </c>
      <c r="K107" s="408">
        <f>K23+K51+K79</f>
        <v>88.23070259311217</v>
      </c>
      <c r="L107" s="588">
        <f>D107+H107</f>
        <v>149.49994528151521</v>
      </c>
      <c r="M107" s="588">
        <f>E107+I107</f>
        <v>178.0295768397782</v>
      </c>
      <c r="N107" s="393">
        <f>O107-M107</f>
        <v>0</v>
      </c>
      <c r="O107" s="408">
        <f>G107+K107</f>
        <v>178.0295768397782</v>
      </c>
      <c r="P107" s="20"/>
    </row>
    <row r="108" spans="2:16" ht="16.5" thickBot="1">
      <c r="B108" s="60">
        <v>58</v>
      </c>
      <c r="C108" s="57" t="s">
        <v>0</v>
      </c>
      <c r="D108" s="418">
        <f t="shared" ref="D108" si="72">SUM(D106:D107)</f>
        <v>115.35945992993372</v>
      </c>
      <c r="E108" s="591">
        <f t="shared" ref="E108:M108" si="73">SUM(E106:E107)</f>
        <v>129.48275278055897</v>
      </c>
      <c r="F108" s="592">
        <f>G108-E108</f>
        <v>0</v>
      </c>
      <c r="G108" s="419">
        <f t="shared" si="73"/>
        <v>129.48275278055897</v>
      </c>
      <c r="H108" s="591">
        <f t="shared" ref="H108" si="74">SUM(H106:H107)</f>
        <v>114.44131820705108</v>
      </c>
      <c r="I108" s="591">
        <f t="shared" si="73"/>
        <v>128.84765691468883</v>
      </c>
      <c r="J108" s="592">
        <f>K108-I108</f>
        <v>0</v>
      </c>
      <c r="K108" s="419">
        <f t="shared" si="73"/>
        <v>128.84765691468883</v>
      </c>
      <c r="L108" s="591">
        <f t="shared" ref="L108" si="75">SUM(L106:L107)</f>
        <v>229.8007781369848</v>
      </c>
      <c r="M108" s="591">
        <f t="shared" si="73"/>
        <v>258.33040969524779</v>
      </c>
      <c r="N108" s="592">
        <f>O108-M108</f>
        <v>0</v>
      </c>
      <c r="O108" s="419">
        <f t="shared" ref="O108" si="76">G108+K108</f>
        <v>258.33040969524779</v>
      </c>
      <c r="P108" s="20"/>
    </row>
    <row r="109" spans="2:16" ht="16.5" thickBot="1">
      <c r="B109" s="60"/>
      <c r="C109" s="57"/>
      <c r="D109" s="62"/>
      <c r="E109" s="49"/>
      <c r="F109" s="49"/>
      <c r="G109" s="50"/>
      <c r="H109" s="49"/>
      <c r="I109" s="49"/>
      <c r="J109" s="49"/>
      <c r="K109" s="50"/>
      <c r="L109" s="49"/>
      <c r="M109" s="49"/>
      <c r="N109" s="49"/>
      <c r="O109" s="50"/>
      <c r="P109" s="20"/>
    </row>
    <row r="110" spans="2:16" ht="16.5" thickBot="1">
      <c r="B110" s="60">
        <v>59</v>
      </c>
      <c r="C110" s="179" t="s">
        <v>116</v>
      </c>
      <c r="D110" s="415">
        <f>D26+D54+D82</f>
        <v>220.61175880875828</v>
      </c>
      <c r="E110" s="590">
        <f>E26+E54+E82</f>
        <v>211.42977015957132</v>
      </c>
      <c r="F110" s="416">
        <f>G110-E110</f>
        <v>0</v>
      </c>
      <c r="G110" s="417">
        <f>G26+G54+G82</f>
        <v>211.42977015957132</v>
      </c>
      <c r="H110" s="590">
        <f>H26+H54+H82</f>
        <v>152.25410379667133</v>
      </c>
      <c r="I110" s="590">
        <f>I26+I54+I82</f>
        <v>157.51112869447704</v>
      </c>
      <c r="J110" s="416">
        <f>K110-I110</f>
        <v>0</v>
      </c>
      <c r="K110" s="417">
        <f>K26+K54+K82</f>
        <v>157.51112869447704</v>
      </c>
      <c r="L110" s="590">
        <f>D110+H110</f>
        <v>372.86586260542958</v>
      </c>
      <c r="M110" s="590">
        <f>E110+I110</f>
        <v>368.94089885404833</v>
      </c>
      <c r="N110" s="416">
        <f>O110-M110</f>
        <v>0</v>
      </c>
      <c r="O110" s="417">
        <f>G110+K110</f>
        <v>368.94089885404833</v>
      </c>
      <c r="P110" s="20"/>
    </row>
    <row r="111" spans="2:16" ht="16.5" thickBot="1">
      <c r="B111" s="60"/>
      <c r="C111" s="57"/>
      <c r="D111" s="62"/>
      <c r="E111" s="49"/>
      <c r="F111" s="49"/>
      <c r="G111" s="50"/>
      <c r="H111" s="49"/>
      <c r="I111" s="49"/>
      <c r="J111" s="49"/>
      <c r="K111" s="50"/>
      <c r="L111" s="49"/>
      <c r="M111" s="49"/>
      <c r="N111" s="49"/>
      <c r="O111" s="50"/>
      <c r="P111" s="20"/>
    </row>
    <row r="112" spans="2:16" ht="16.5" thickBot="1">
      <c r="B112" s="160">
        <v>60</v>
      </c>
      <c r="C112" s="161" t="s">
        <v>52</v>
      </c>
      <c r="D112" s="415">
        <f>D96+D103-D108+D110</f>
        <v>4698.0002111703989</v>
      </c>
      <c r="E112" s="590">
        <f>E96+E103-E108+E110</f>
        <v>4756.5067796856147</v>
      </c>
      <c r="F112" s="416">
        <f>G112-E112</f>
        <v>0</v>
      </c>
      <c r="G112" s="417">
        <f>G96+G103-G108+G110</f>
        <v>4756.5067796856147</v>
      </c>
      <c r="H112" s="590">
        <f>H96+H103-H108+H110</f>
        <v>4701.8405867925994</v>
      </c>
      <c r="I112" s="590">
        <f>I96+I103-I108+I110</f>
        <v>4762.9572365304321</v>
      </c>
      <c r="J112" s="416">
        <f>K112-I112</f>
        <v>0</v>
      </c>
      <c r="K112" s="417">
        <f>K96+K103-K108+K110</f>
        <v>4762.9572365304321</v>
      </c>
      <c r="L112" s="590">
        <f>D112+H112</f>
        <v>9399.8407979629992</v>
      </c>
      <c r="M112" s="590">
        <f>E112+I112</f>
        <v>9519.4640162160467</v>
      </c>
      <c r="N112" s="416">
        <f>O112-M112</f>
        <v>0</v>
      </c>
      <c r="O112" s="417">
        <f>G112+K112</f>
        <v>9519.4640162160467</v>
      </c>
      <c r="P112" s="20"/>
    </row>
    <row r="113" spans="5:16" ht="12.75" customHeight="1"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5:16" hidden="1"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5:16" hidden="1">
      <c r="E115" s="114"/>
      <c r="F115" s="20"/>
      <c r="G115" s="20"/>
      <c r="H115" s="20"/>
      <c r="I115" s="20"/>
      <c r="J115" s="20"/>
      <c r="K115" s="20"/>
      <c r="L115" s="20"/>
      <c r="M115" s="85"/>
      <c r="N115" s="20"/>
      <c r="O115" s="20"/>
      <c r="P115" s="20"/>
    </row>
    <row r="116" spans="5:16" hidden="1">
      <c r="E116" s="20"/>
      <c r="F116" s="20"/>
      <c r="G116" s="20"/>
      <c r="H116" s="20"/>
      <c r="I116" s="84"/>
      <c r="J116" s="84"/>
      <c r="K116" s="2"/>
      <c r="L116" s="2"/>
      <c r="M116" s="84"/>
      <c r="N116" s="84"/>
      <c r="O116" s="84"/>
      <c r="P116" s="20"/>
    </row>
    <row r="117" spans="5:16" hidden="1">
      <c r="E117" s="2"/>
      <c r="F117" s="156"/>
      <c r="I117" s="158"/>
      <c r="J117" s="2"/>
      <c r="M117" s="156"/>
      <c r="N117" s="157"/>
    </row>
    <row r="118" spans="5:16" hidden="1">
      <c r="E118" s="2"/>
      <c r="F118" s="156"/>
      <c r="I118" s="158"/>
      <c r="J118" s="2"/>
      <c r="M118" s="156"/>
      <c r="N118" s="157"/>
    </row>
    <row r="119" spans="5:16" hidden="1">
      <c r="E119" s="2"/>
      <c r="F119" s="156"/>
      <c r="I119" s="158"/>
      <c r="J119" s="2"/>
      <c r="M119" s="156"/>
      <c r="N119" s="157"/>
    </row>
    <row r="120" spans="5:16" hidden="1">
      <c r="E120" s="2"/>
      <c r="F120" s="139"/>
      <c r="I120" s="158"/>
      <c r="J120" s="2"/>
      <c r="M120" s="139"/>
      <c r="N120" s="157"/>
    </row>
    <row r="121" spans="5:16" hidden="1">
      <c r="E121" s="2"/>
      <c r="F121" s="139"/>
      <c r="I121" s="158"/>
      <c r="J121" s="2"/>
      <c r="M121" s="139"/>
      <c r="N121" s="157"/>
    </row>
    <row r="122" spans="5:16" hidden="1">
      <c r="E122" s="2"/>
      <c r="F122" s="139"/>
      <c r="I122" s="158"/>
      <c r="J122" s="2"/>
      <c r="M122" s="139"/>
      <c r="N122" s="157"/>
    </row>
    <row r="123" spans="5:16" hidden="1">
      <c r="E123" s="2"/>
      <c r="F123" s="139"/>
      <c r="I123" s="158"/>
      <c r="J123" s="2"/>
      <c r="M123" s="139"/>
      <c r="N123" s="157"/>
    </row>
    <row r="124" spans="5:16" hidden="1">
      <c r="E124" s="2"/>
      <c r="F124" s="139"/>
      <c r="I124" s="158"/>
      <c r="J124" s="2"/>
      <c r="M124" s="139"/>
      <c r="N124" s="157"/>
    </row>
    <row r="125" spans="5:16" hidden="1"/>
    <row r="126" spans="5:16" hidden="1"/>
    <row r="127" spans="5:16" hidden="1"/>
    <row r="128" spans="5:16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</sheetData>
  <sheetProtection password="9F78" sheet="1" objects="1" scenarios="1"/>
  <mergeCells count="16">
    <mergeCell ref="D86:O86"/>
    <mergeCell ref="D87:G87"/>
    <mergeCell ref="H87:K87"/>
    <mergeCell ref="L87:O87"/>
    <mergeCell ref="D2:O2"/>
    <mergeCell ref="D3:G3"/>
    <mergeCell ref="H3:K3"/>
    <mergeCell ref="L3:O3"/>
    <mergeCell ref="D30:O30"/>
    <mergeCell ref="D31:G31"/>
    <mergeCell ref="H31:K31"/>
    <mergeCell ref="L31:O31"/>
    <mergeCell ref="D58:O58"/>
    <mergeCell ref="D59:G59"/>
    <mergeCell ref="H59:K59"/>
    <mergeCell ref="L59:O59"/>
  </mergeCells>
  <pageMargins left="1" right="1" top="1" bottom="1" header="0.5" footer="0.5"/>
  <pageSetup scale="46" fitToHeight="2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0"/>
  <sheetViews>
    <sheetView showGridLines="0" zoomScale="75" zoomScaleNormal="75" workbookViewId="0"/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15" width="16.7109375" style="2" customWidth="1"/>
    <col min="16" max="16" width="8.7109375" style="2" customWidth="1"/>
    <col min="17" max="17" width="9.140625" style="2" hidden="1" customWidth="1"/>
    <col min="18" max="24" width="0" style="2" hidden="1" customWidth="1"/>
    <col min="25" max="16384" width="0" style="2" hidden="1"/>
  </cols>
  <sheetData>
    <row r="1" spans="1:16" ht="15.75" customHeight="1" thickBot="1">
      <c r="A1" s="82"/>
      <c r="B1" s="642" t="s">
        <v>59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</row>
    <row r="2" spans="1:16" ht="17.25" customHeight="1" thickBot="1">
      <c r="A2" s="82"/>
      <c r="B2" s="46"/>
      <c r="C2" s="46"/>
      <c r="D2" s="634" t="s">
        <v>62</v>
      </c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6"/>
    </row>
    <row r="3" spans="1:16" ht="17.25" customHeight="1">
      <c r="A3" s="82"/>
      <c r="B3" s="8"/>
      <c r="C3" s="88"/>
      <c r="D3" s="637">
        <v>2014</v>
      </c>
      <c r="E3" s="638"/>
      <c r="F3" s="639"/>
      <c r="G3" s="640"/>
      <c r="H3" s="637">
        <v>2015</v>
      </c>
      <c r="I3" s="639"/>
      <c r="J3" s="639"/>
      <c r="K3" s="640"/>
      <c r="L3" s="639" t="s">
        <v>0</v>
      </c>
      <c r="M3" s="639"/>
      <c r="N3" s="639"/>
      <c r="O3" s="640"/>
    </row>
    <row r="4" spans="1:16" ht="17.25" customHeight="1">
      <c r="A4" s="82"/>
      <c r="B4" s="9" t="s">
        <v>2</v>
      </c>
      <c r="C4" s="89"/>
      <c r="D4" s="9" t="s">
        <v>238</v>
      </c>
      <c r="E4" s="159" t="s">
        <v>238</v>
      </c>
      <c r="F4" s="498" t="s">
        <v>21</v>
      </c>
      <c r="G4" s="11" t="s">
        <v>21</v>
      </c>
      <c r="H4" s="9" t="s">
        <v>238</v>
      </c>
      <c r="I4" s="159" t="s">
        <v>238</v>
      </c>
      <c r="J4" s="498" t="s">
        <v>21</v>
      </c>
      <c r="K4" s="11" t="s">
        <v>21</v>
      </c>
      <c r="L4" s="52" t="s">
        <v>238</v>
      </c>
      <c r="M4" s="159" t="s">
        <v>238</v>
      </c>
      <c r="N4" s="498" t="s">
        <v>21</v>
      </c>
      <c r="O4" s="11" t="s">
        <v>21</v>
      </c>
    </row>
    <row r="5" spans="1:16" ht="17.25" customHeight="1" thickBot="1">
      <c r="A5" s="82"/>
      <c r="B5" s="12" t="s">
        <v>3</v>
      </c>
      <c r="C5" s="12" t="s">
        <v>1</v>
      </c>
      <c r="D5" s="506" t="s">
        <v>239</v>
      </c>
      <c r="E5" s="526">
        <v>41437</v>
      </c>
      <c r="F5" s="498" t="s">
        <v>15</v>
      </c>
      <c r="G5" s="11" t="s">
        <v>12</v>
      </c>
      <c r="H5" s="506" t="s">
        <v>239</v>
      </c>
      <c r="I5" s="526">
        <v>41437</v>
      </c>
      <c r="J5" s="498" t="s">
        <v>15</v>
      </c>
      <c r="K5" s="11" t="s">
        <v>12</v>
      </c>
      <c r="L5" s="544" t="s">
        <v>239</v>
      </c>
      <c r="M5" s="526">
        <v>41437</v>
      </c>
      <c r="N5" s="498" t="s">
        <v>15</v>
      </c>
      <c r="O5" s="11" t="s">
        <v>12</v>
      </c>
    </row>
    <row r="6" spans="1:16" ht="17.25" customHeight="1">
      <c r="A6" s="82"/>
      <c r="B6" s="47"/>
      <c r="C6" s="110"/>
      <c r="D6" s="508" t="s">
        <v>4</v>
      </c>
      <c r="E6" s="509" t="s">
        <v>5</v>
      </c>
      <c r="F6" s="509" t="s">
        <v>6</v>
      </c>
      <c r="G6" s="510" t="s">
        <v>7</v>
      </c>
      <c r="H6" s="508" t="s">
        <v>8</v>
      </c>
      <c r="I6" s="509" t="s">
        <v>9</v>
      </c>
      <c r="J6" s="509" t="s">
        <v>11</v>
      </c>
      <c r="K6" s="510" t="s">
        <v>13</v>
      </c>
      <c r="L6" s="528" t="s">
        <v>14</v>
      </c>
      <c r="M6" s="509" t="s">
        <v>240</v>
      </c>
      <c r="N6" s="509" t="s">
        <v>241</v>
      </c>
      <c r="O6" s="510" t="s">
        <v>242</v>
      </c>
    </row>
    <row r="7" spans="1:16" ht="17.25" customHeight="1" thickBot="1">
      <c r="A7" s="82"/>
      <c r="B7" s="14" t="s">
        <v>123</v>
      </c>
      <c r="C7" s="193"/>
      <c r="D7" s="597"/>
      <c r="E7" s="110"/>
      <c r="F7" s="110"/>
      <c r="G7" s="48"/>
      <c r="H7" s="47"/>
      <c r="I7" s="110"/>
      <c r="J7" s="110"/>
      <c r="K7" s="48"/>
      <c r="L7" s="110"/>
      <c r="M7" s="110"/>
      <c r="N7" s="110"/>
      <c r="O7" s="48"/>
    </row>
    <row r="8" spans="1:16" ht="17.25" customHeight="1">
      <c r="A8" s="82"/>
      <c r="B8" s="95">
        <v>1</v>
      </c>
      <c r="C8" s="83" t="s">
        <v>16</v>
      </c>
      <c r="D8" s="388">
        <f>'4. OEB_Adjustment_Input_Sheet'!D51</f>
        <v>19.057863671196486</v>
      </c>
      <c r="E8" s="391">
        <f>'4. OEB_Adjustment_Input_Sheet'!E51</f>
        <v>20.085000000000001</v>
      </c>
      <c r="F8" s="389">
        <f>'4. OEB_Adjustment_Input_Sheet'!F51</f>
        <v>0</v>
      </c>
      <c r="G8" s="390">
        <f>'4. OEB_Adjustment_Input_Sheet'!G51</f>
        <v>20.085000000000001</v>
      </c>
      <c r="H8" s="391">
        <f>'4. OEB_Adjustment_Input_Sheet'!H51</f>
        <v>20.224191497424044</v>
      </c>
      <c r="I8" s="391">
        <f>'4. OEB_Adjustment_Input_Sheet'!I51</f>
        <v>21.029</v>
      </c>
      <c r="J8" s="389">
        <f>'4. OEB_Adjustment_Input_Sheet'!J51</f>
        <v>0</v>
      </c>
      <c r="K8" s="390">
        <f>'4. OEB_Adjustment_Input_Sheet'!K51</f>
        <v>21.029</v>
      </c>
      <c r="L8" s="391">
        <f>D8+H8</f>
        <v>39.282055168620531</v>
      </c>
      <c r="M8" s="391">
        <f>E8+I8</f>
        <v>41.114000000000004</v>
      </c>
      <c r="N8" s="389">
        <f>O8-M8</f>
        <v>0</v>
      </c>
      <c r="O8" s="390">
        <f>G8+K8</f>
        <v>41.114000000000004</v>
      </c>
      <c r="P8" s="84"/>
    </row>
    <row r="9" spans="1:16" ht="17.25" customHeight="1">
      <c r="A9" s="82"/>
      <c r="B9" s="95">
        <v>2</v>
      </c>
      <c r="C9" s="83" t="s">
        <v>71</v>
      </c>
      <c r="D9" s="600">
        <v>35.78</v>
      </c>
      <c r="E9" s="595">
        <v>35.78</v>
      </c>
      <c r="F9" s="412" t="s">
        <v>17</v>
      </c>
      <c r="G9" s="601">
        <f>E9</f>
        <v>35.78</v>
      </c>
      <c r="H9" s="595">
        <f>D9</f>
        <v>35.78</v>
      </c>
      <c r="I9" s="595">
        <f>E9</f>
        <v>35.78</v>
      </c>
      <c r="J9" s="412" t="s">
        <v>17</v>
      </c>
      <c r="K9" s="601">
        <f>I9</f>
        <v>35.78</v>
      </c>
      <c r="L9" s="412" t="s">
        <v>17</v>
      </c>
      <c r="M9" s="412" t="s">
        <v>17</v>
      </c>
      <c r="N9" s="412" t="s">
        <v>17</v>
      </c>
      <c r="O9" s="413" t="s">
        <v>17</v>
      </c>
    </row>
    <row r="10" spans="1:16" ht="17.25" customHeight="1" thickBot="1">
      <c r="A10" s="82"/>
      <c r="B10" s="95">
        <v>3</v>
      </c>
      <c r="C10" s="57" t="s">
        <v>72</v>
      </c>
      <c r="D10" s="418">
        <f>D8*D9</f>
        <v>681.89036215541034</v>
      </c>
      <c r="E10" s="591">
        <f>E8*E9</f>
        <v>718.6413</v>
      </c>
      <c r="F10" s="598">
        <f>G10-E10</f>
        <v>0</v>
      </c>
      <c r="G10" s="419">
        <f>G8*G9</f>
        <v>718.6413</v>
      </c>
      <c r="H10" s="591">
        <f>H8*H9</f>
        <v>723.62157177783229</v>
      </c>
      <c r="I10" s="591">
        <f>I8*I9</f>
        <v>752.41762000000006</v>
      </c>
      <c r="J10" s="598">
        <f>K10-I10</f>
        <v>0</v>
      </c>
      <c r="K10" s="419">
        <f>K8*K9</f>
        <v>752.41762000000006</v>
      </c>
      <c r="L10" s="591">
        <f>D10+H10</f>
        <v>1405.5119339332427</v>
      </c>
      <c r="M10" s="591">
        <f>E10+I10</f>
        <v>1471.0589199999999</v>
      </c>
      <c r="N10" s="598">
        <f>O10-M10</f>
        <v>0</v>
      </c>
      <c r="O10" s="419">
        <f>G10+K10</f>
        <v>1471.0589199999999</v>
      </c>
      <c r="P10" s="84"/>
    </row>
    <row r="11" spans="1:16" ht="17.25" customHeight="1">
      <c r="A11" s="82"/>
      <c r="B11" s="95"/>
      <c r="C11" s="83"/>
      <c r="D11" s="420"/>
      <c r="E11" s="596"/>
      <c r="F11" s="421"/>
      <c r="G11" s="422"/>
      <c r="H11" s="421"/>
      <c r="I11" s="421"/>
      <c r="J11" s="421"/>
      <c r="K11" s="422"/>
      <c r="L11" s="421"/>
      <c r="M11" s="421"/>
      <c r="N11" s="421"/>
      <c r="O11" s="422"/>
      <c r="P11" s="84"/>
    </row>
    <row r="12" spans="1:16" ht="17.25" customHeight="1" thickBot="1">
      <c r="A12" s="82"/>
      <c r="B12" s="14" t="s">
        <v>20</v>
      </c>
      <c r="C12" s="83"/>
      <c r="D12" s="423"/>
      <c r="E12" s="421"/>
      <c r="F12" s="421"/>
      <c r="G12" s="422"/>
      <c r="H12" s="421"/>
      <c r="I12" s="421"/>
      <c r="J12" s="421"/>
      <c r="K12" s="422"/>
      <c r="L12" s="421"/>
      <c r="M12" s="421"/>
      <c r="N12" s="421"/>
      <c r="O12" s="422"/>
      <c r="P12" s="84"/>
    </row>
    <row r="13" spans="1:16" ht="17.25" customHeight="1">
      <c r="A13" s="82"/>
      <c r="B13" s="95">
        <v>4</v>
      </c>
      <c r="C13" s="83" t="s">
        <v>19</v>
      </c>
      <c r="D13" s="388">
        <f>'7. Rev_Req'!D28</f>
        <v>856.73993508268381</v>
      </c>
      <c r="E13" s="391">
        <f>'7. Rev_Req'!E28</f>
        <v>859.95</v>
      </c>
      <c r="F13" s="599">
        <f>G13-E13</f>
        <v>0</v>
      </c>
      <c r="G13" s="390">
        <f>'7. Rev_Req'!G28</f>
        <v>859.95</v>
      </c>
      <c r="H13" s="391">
        <f>'7. Rev_Req'!H28</f>
        <v>879.53646756777925</v>
      </c>
      <c r="I13" s="391">
        <f>'7. Rev_Req'!I28</f>
        <v>879.7572740181007</v>
      </c>
      <c r="J13" s="599">
        <f>K13-I13</f>
        <v>0</v>
      </c>
      <c r="K13" s="390">
        <f>'7. Rev_Req'!K28</f>
        <v>879.7572740181007</v>
      </c>
      <c r="L13" s="391">
        <f>D13+H13</f>
        <v>1736.2764026504631</v>
      </c>
      <c r="M13" s="391">
        <f>E13+I13</f>
        <v>1739.7072740181006</v>
      </c>
      <c r="N13" s="599">
        <f>O13-M13</f>
        <v>0</v>
      </c>
      <c r="O13" s="390">
        <f>G13+K13</f>
        <v>1739.7072740181006</v>
      </c>
      <c r="P13" s="84"/>
    </row>
    <row r="14" spans="1:16" ht="17.25" customHeight="1" thickBot="1">
      <c r="A14" s="82"/>
      <c r="B14" s="96">
        <v>5</v>
      </c>
      <c r="C14" s="97" t="s">
        <v>177</v>
      </c>
      <c r="D14" s="418">
        <f>+D13-D10</f>
        <v>174.84957292727347</v>
      </c>
      <c r="E14" s="591">
        <f>+E13-E10</f>
        <v>141.30870000000004</v>
      </c>
      <c r="F14" s="592">
        <f>G14-E14</f>
        <v>0</v>
      </c>
      <c r="G14" s="419">
        <f>+G13-G10</f>
        <v>141.30870000000004</v>
      </c>
      <c r="H14" s="591">
        <f>+H13-H10</f>
        <v>155.91489578994697</v>
      </c>
      <c r="I14" s="591">
        <f>+I13-I10</f>
        <v>127.33965401810065</v>
      </c>
      <c r="J14" s="592">
        <f>K14-I14</f>
        <v>0</v>
      </c>
      <c r="K14" s="419">
        <f>+K13-K10</f>
        <v>127.33965401810065</v>
      </c>
      <c r="L14" s="591">
        <f>D14+H14</f>
        <v>330.76446871722044</v>
      </c>
      <c r="M14" s="591">
        <f>E14+I14</f>
        <v>268.64835401810069</v>
      </c>
      <c r="N14" s="592">
        <f>O14-M14</f>
        <v>0</v>
      </c>
      <c r="O14" s="419">
        <f>G14+K14</f>
        <v>268.64835401810069</v>
      </c>
      <c r="P14" s="84"/>
    </row>
    <row r="15" spans="1:16" ht="17.25" customHeight="1" thickBot="1">
      <c r="A15" s="82"/>
      <c r="B15" s="104"/>
      <c r="C15" s="57"/>
      <c r="D15" s="5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84"/>
    </row>
    <row r="16" spans="1:16" ht="16.5" thickBot="1">
      <c r="A16" s="82"/>
      <c r="B16" s="51"/>
      <c r="C16" s="51"/>
      <c r="D16" s="634" t="s">
        <v>23</v>
      </c>
      <c r="E16" s="635"/>
      <c r="F16" s="635"/>
      <c r="G16" s="635"/>
      <c r="H16" s="635"/>
      <c r="I16" s="635"/>
      <c r="J16" s="635"/>
      <c r="K16" s="635"/>
      <c r="L16" s="635"/>
      <c r="M16" s="635"/>
      <c r="N16" s="635"/>
      <c r="O16" s="636"/>
      <c r="P16" s="84"/>
    </row>
    <row r="17" spans="1:16" ht="15.75">
      <c r="A17" s="82"/>
      <c r="B17" s="8"/>
      <c r="C17" s="88"/>
      <c r="D17" s="637">
        <v>2014</v>
      </c>
      <c r="E17" s="638"/>
      <c r="F17" s="639"/>
      <c r="G17" s="640"/>
      <c r="H17" s="637">
        <v>2015</v>
      </c>
      <c r="I17" s="639"/>
      <c r="J17" s="639"/>
      <c r="K17" s="640"/>
      <c r="L17" s="637" t="s">
        <v>0</v>
      </c>
      <c r="M17" s="639"/>
      <c r="N17" s="639"/>
      <c r="O17" s="640"/>
      <c r="P17" s="84"/>
    </row>
    <row r="18" spans="1:16" ht="15.75">
      <c r="B18" s="9" t="s">
        <v>2</v>
      </c>
      <c r="C18" s="89"/>
      <c r="D18" s="9" t="s">
        <v>238</v>
      </c>
      <c r="E18" s="159" t="s">
        <v>238</v>
      </c>
      <c r="F18" s="498" t="s">
        <v>21</v>
      </c>
      <c r="G18" s="11" t="s">
        <v>21</v>
      </c>
      <c r="H18" s="9" t="s">
        <v>238</v>
      </c>
      <c r="I18" s="159" t="s">
        <v>238</v>
      </c>
      <c r="J18" s="498" t="s">
        <v>21</v>
      </c>
      <c r="K18" s="11" t="s">
        <v>21</v>
      </c>
      <c r="L18" s="9" t="s">
        <v>238</v>
      </c>
      <c r="M18" s="159" t="s">
        <v>238</v>
      </c>
      <c r="N18" s="498" t="s">
        <v>21</v>
      </c>
      <c r="O18" s="11" t="s">
        <v>21</v>
      </c>
      <c r="P18" s="84"/>
    </row>
    <row r="19" spans="1:16" ht="16.5" thickBot="1">
      <c r="B19" s="12" t="s">
        <v>3</v>
      </c>
      <c r="C19" s="12" t="s">
        <v>1</v>
      </c>
      <c r="D19" s="468" t="s">
        <v>239</v>
      </c>
      <c r="E19" s="500">
        <v>41437</v>
      </c>
      <c r="F19" s="499" t="s">
        <v>15</v>
      </c>
      <c r="G19" s="13" t="s">
        <v>12</v>
      </c>
      <c r="H19" s="468" t="s">
        <v>239</v>
      </c>
      <c r="I19" s="500">
        <v>41437</v>
      </c>
      <c r="J19" s="499" t="s">
        <v>15</v>
      </c>
      <c r="K19" s="13" t="s">
        <v>12</v>
      </c>
      <c r="L19" s="468" t="s">
        <v>239</v>
      </c>
      <c r="M19" s="500">
        <v>41437</v>
      </c>
      <c r="N19" s="499" t="s">
        <v>15</v>
      </c>
      <c r="O19" s="13" t="s">
        <v>12</v>
      </c>
      <c r="P19" s="84"/>
    </row>
    <row r="20" spans="1:16">
      <c r="B20" s="47"/>
      <c r="C20" s="110"/>
      <c r="D20" s="508" t="s">
        <v>4</v>
      </c>
      <c r="E20" s="509" t="s">
        <v>5</v>
      </c>
      <c r="F20" s="509" t="s">
        <v>6</v>
      </c>
      <c r="G20" s="510" t="s">
        <v>7</v>
      </c>
      <c r="H20" s="508" t="s">
        <v>8</v>
      </c>
      <c r="I20" s="509" t="s">
        <v>9</v>
      </c>
      <c r="J20" s="509" t="s">
        <v>11</v>
      </c>
      <c r="K20" s="510" t="s">
        <v>13</v>
      </c>
      <c r="L20" s="528" t="s">
        <v>14</v>
      </c>
      <c r="M20" s="509" t="s">
        <v>240</v>
      </c>
      <c r="N20" s="509" t="s">
        <v>241</v>
      </c>
      <c r="O20" s="510" t="s">
        <v>242</v>
      </c>
      <c r="P20" s="84"/>
    </row>
    <row r="21" spans="1:16" ht="16.5" thickBot="1">
      <c r="B21" s="14" t="s">
        <v>123</v>
      </c>
      <c r="C21" s="110"/>
      <c r="D21" s="597"/>
      <c r="E21" s="110"/>
      <c r="F21" s="110"/>
      <c r="G21" s="48"/>
      <c r="H21" s="47"/>
      <c r="I21" s="110"/>
      <c r="J21" s="110"/>
      <c r="K21" s="48"/>
      <c r="L21" s="110"/>
      <c r="M21" s="110"/>
      <c r="N21" s="110"/>
      <c r="O21" s="48"/>
      <c r="P21" s="84"/>
    </row>
    <row r="22" spans="1:16">
      <c r="B22" s="95">
        <v>6</v>
      </c>
      <c r="C22" s="83" t="s">
        <v>16</v>
      </c>
      <c r="D22" s="388">
        <f>'4. OEB_Adjustment_Input_Sheet'!D105</f>
        <v>49.699991999999995</v>
      </c>
      <c r="E22" s="391">
        <f>'4. OEB_Adjustment_Input_Sheet'!E105</f>
        <v>49.045000000000002</v>
      </c>
      <c r="F22" s="389">
        <f>'4. OEB_Adjustment_Input_Sheet'!F105</f>
        <v>0</v>
      </c>
      <c r="G22" s="390">
        <f>'4. OEB_Adjustment_Input_Sheet'!G105</f>
        <v>49.045000000000002</v>
      </c>
      <c r="H22" s="391">
        <f>'4. OEB_Adjustment_Input_Sheet'!H105</f>
        <v>47.999980000000008</v>
      </c>
      <c r="I22" s="391">
        <f>'4. OEB_Adjustment_Input_Sheet'!I105</f>
        <v>46.067</v>
      </c>
      <c r="J22" s="389">
        <f>'4. OEB_Adjustment_Input_Sheet'!J105</f>
        <v>0</v>
      </c>
      <c r="K22" s="390">
        <f>'4. OEB_Adjustment_Input_Sheet'!K105</f>
        <v>46.067</v>
      </c>
      <c r="L22" s="391">
        <f>D22+H22</f>
        <v>97.699972000000002</v>
      </c>
      <c r="M22" s="391">
        <f>E22+I22</f>
        <v>95.111999999999995</v>
      </c>
      <c r="N22" s="389">
        <f>O22-M22</f>
        <v>0</v>
      </c>
      <c r="O22" s="390">
        <f>G22+K22</f>
        <v>95.111999999999995</v>
      </c>
      <c r="P22" s="84"/>
    </row>
    <row r="23" spans="1:16">
      <c r="B23" s="95">
        <v>7</v>
      </c>
      <c r="C23" s="83" t="s">
        <v>71</v>
      </c>
      <c r="D23" s="600">
        <v>51.52</v>
      </c>
      <c r="E23" s="595">
        <v>51.52</v>
      </c>
      <c r="F23" s="412" t="s">
        <v>17</v>
      </c>
      <c r="G23" s="601">
        <f>E23</f>
        <v>51.52</v>
      </c>
      <c r="H23" s="595">
        <f>D23</f>
        <v>51.52</v>
      </c>
      <c r="I23" s="595">
        <f>E23</f>
        <v>51.52</v>
      </c>
      <c r="J23" s="412" t="s">
        <v>17</v>
      </c>
      <c r="K23" s="601">
        <f>I23</f>
        <v>51.52</v>
      </c>
      <c r="L23" s="412" t="s">
        <v>17</v>
      </c>
      <c r="M23" s="412" t="s">
        <v>17</v>
      </c>
      <c r="N23" s="412" t="s">
        <v>17</v>
      </c>
      <c r="O23" s="413" t="s">
        <v>17</v>
      </c>
      <c r="P23" s="156"/>
    </row>
    <row r="24" spans="1:16" ht="16.5" thickBot="1">
      <c r="B24" s="95">
        <v>8</v>
      </c>
      <c r="C24" s="57" t="s">
        <v>72</v>
      </c>
      <c r="D24" s="418">
        <f>D22*D23</f>
        <v>2560.5435878399999</v>
      </c>
      <c r="E24" s="591">
        <f>E22*E23</f>
        <v>2526.7984000000001</v>
      </c>
      <c r="F24" s="598">
        <f>G24-E24</f>
        <v>0</v>
      </c>
      <c r="G24" s="419">
        <f>G22*G23</f>
        <v>2526.7984000000001</v>
      </c>
      <c r="H24" s="591">
        <f>H22*H23</f>
        <v>2472.9589696000007</v>
      </c>
      <c r="I24" s="591">
        <f>I22*I23</f>
        <v>2373.3718400000002</v>
      </c>
      <c r="J24" s="598">
        <f>K24-I24</f>
        <v>0</v>
      </c>
      <c r="K24" s="419">
        <f>K22*K23</f>
        <v>2373.3718400000002</v>
      </c>
      <c r="L24" s="591">
        <f>D24+H24</f>
        <v>5033.5025574400006</v>
      </c>
      <c r="M24" s="591">
        <f>E24+I24</f>
        <v>4900.1702400000004</v>
      </c>
      <c r="N24" s="598">
        <f>O24-M24</f>
        <v>0</v>
      </c>
      <c r="O24" s="419">
        <f>G24+K24</f>
        <v>4900.1702400000004</v>
      </c>
      <c r="P24" s="84"/>
    </row>
    <row r="25" spans="1:16">
      <c r="B25" s="95"/>
      <c r="C25" s="83"/>
      <c r="D25" s="420"/>
      <c r="E25" s="596"/>
      <c r="F25" s="421"/>
      <c r="G25" s="422"/>
      <c r="H25" s="421"/>
      <c r="I25" s="421"/>
      <c r="J25" s="421"/>
      <c r="K25" s="422"/>
      <c r="L25" s="421"/>
      <c r="M25" s="421"/>
      <c r="N25" s="421"/>
      <c r="O25" s="422"/>
      <c r="P25" s="84"/>
    </row>
    <row r="26" spans="1:16" ht="16.5" thickBot="1">
      <c r="B26" s="14" t="s">
        <v>20</v>
      </c>
      <c r="C26" s="83"/>
      <c r="D26" s="423"/>
      <c r="E26" s="421"/>
      <c r="F26" s="421"/>
      <c r="G26" s="422"/>
      <c r="H26" s="421"/>
      <c r="I26" s="421"/>
      <c r="J26" s="421"/>
      <c r="K26" s="422"/>
      <c r="L26" s="421"/>
      <c r="M26" s="421"/>
      <c r="N26" s="421"/>
      <c r="O26" s="422"/>
      <c r="P26" s="84"/>
    </row>
    <row r="27" spans="1:16">
      <c r="B27" s="95">
        <v>9</v>
      </c>
      <c r="C27" s="83" t="s">
        <v>19</v>
      </c>
      <c r="D27" s="388">
        <f>'7. Rev_Req'!D84</f>
        <v>3292.1574004684585</v>
      </c>
      <c r="E27" s="391">
        <f>'7. Rev_Req'!E84</f>
        <v>3341.3504828502196</v>
      </c>
      <c r="F27" s="599">
        <f>'7. Rev_Req'!F84</f>
        <v>0</v>
      </c>
      <c r="G27" s="390">
        <f>'7. Rev_Req'!G84</f>
        <v>3341.3504828502196</v>
      </c>
      <c r="H27" s="391">
        <f>'7. Rev_Req'!H84</f>
        <v>3252.5582724783762</v>
      </c>
      <c r="I27" s="391">
        <f>'7. Rev_Req'!I84</f>
        <v>3307.4186471743315</v>
      </c>
      <c r="J27" s="599">
        <f>'7. Rev_Req'!J84</f>
        <v>0</v>
      </c>
      <c r="K27" s="390">
        <f>'7. Rev_Req'!K84</f>
        <v>3307.4186471743315</v>
      </c>
      <c r="L27" s="391">
        <f>D27+H27</f>
        <v>6544.7156729468352</v>
      </c>
      <c r="M27" s="391">
        <f>E27+I27</f>
        <v>6648.7691300245515</v>
      </c>
      <c r="N27" s="599">
        <f>O27-M27</f>
        <v>0</v>
      </c>
      <c r="O27" s="390">
        <f>G27+K27</f>
        <v>6648.7691300245515</v>
      </c>
      <c r="P27" s="84"/>
    </row>
    <row r="28" spans="1:16" ht="16.5" thickBot="1">
      <c r="B28" s="96">
        <v>10</v>
      </c>
      <c r="C28" s="97" t="s">
        <v>177</v>
      </c>
      <c r="D28" s="418">
        <f>+D27-D24</f>
        <v>731.61381262845862</v>
      </c>
      <c r="E28" s="591">
        <f>+E27-E24</f>
        <v>814.55208285021945</v>
      </c>
      <c r="F28" s="592">
        <f>G28-E28</f>
        <v>0</v>
      </c>
      <c r="G28" s="419">
        <f>+G27-G24</f>
        <v>814.55208285021945</v>
      </c>
      <c r="H28" s="591">
        <f>+H27-H24</f>
        <v>779.59930287837551</v>
      </c>
      <c r="I28" s="591">
        <f>+I27-I24</f>
        <v>934.04680717433121</v>
      </c>
      <c r="J28" s="592">
        <f>K28-I28</f>
        <v>0</v>
      </c>
      <c r="K28" s="419">
        <f>+K27-K24</f>
        <v>934.04680717433121</v>
      </c>
      <c r="L28" s="591">
        <f>D28+H28</f>
        <v>1511.2131155068341</v>
      </c>
      <c r="M28" s="591">
        <f>E28+I28</f>
        <v>1748.5988900245507</v>
      </c>
      <c r="N28" s="592">
        <f>O28-M28</f>
        <v>0</v>
      </c>
      <c r="O28" s="419">
        <f>G28+K28</f>
        <v>1748.5988900245507</v>
      </c>
      <c r="P28" s="84"/>
    </row>
    <row r="29" spans="1:16" ht="15.75" thickBot="1"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84"/>
    </row>
    <row r="30" spans="1:16" ht="16.5" thickBot="1">
      <c r="B30" s="46"/>
      <c r="C30" s="213"/>
      <c r="D30" s="634" t="s">
        <v>202</v>
      </c>
      <c r="E30" s="635"/>
      <c r="F30" s="635"/>
      <c r="G30" s="635"/>
      <c r="H30" s="635"/>
      <c r="I30" s="635"/>
      <c r="J30" s="635"/>
      <c r="K30" s="635"/>
      <c r="L30" s="635"/>
      <c r="M30" s="635"/>
      <c r="N30" s="635"/>
      <c r="O30" s="636"/>
      <c r="P30" s="86"/>
    </row>
    <row r="31" spans="1:16" ht="15.75">
      <c r="B31" s="94"/>
      <c r="C31" s="92"/>
      <c r="D31" s="637">
        <v>2014</v>
      </c>
      <c r="E31" s="638"/>
      <c r="F31" s="639"/>
      <c r="G31" s="640"/>
      <c r="H31" s="637">
        <v>2015</v>
      </c>
      <c r="I31" s="639"/>
      <c r="J31" s="639"/>
      <c r="K31" s="640"/>
      <c r="L31" s="637" t="s">
        <v>0</v>
      </c>
      <c r="M31" s="639"/>
      <c r="N31" s="639"/>
      <c r="O31" s="640"/>
      <c r="P31" s="86"/>
    </row>
    <row r="32" spans="1:16" ht="15.75">
      <c r="B32" s="87" t="s">
        <v>2</v>
      </c>
      <c r="C32" s="93"/>
      <c r="D32" s="9" t="s">
        <v>238</v>
      </c>
      <c r="E32" s="159" t="s">
        <v>238</v>
      </c>
      <c r="F32" s="498" t="s">
        <v>21</v>
      </c>
      <c r="G32" s="11" t="s">
        <v>21</v>
      </c>
      <c r="H32" s="9" t="s">
        <v>238</v>
      </c>
      <c r="I32" s="159" t="s">
        <v>238</v>
      </c>
      <c r="J32" s="498" t="s">
        <v>21</v>
      </c>
      <c r="K32" s="11" t="s">
        <v>21</v>
      </c>
      <c r="L32" s="9" t="s">
        <v>238</v>
      </c>
      <c r="M32" s="159" t="s">
        <v>238</v>
      </c>
      <c r="N32" s="498" t="s">
        <v>21</v>
      </c>
      <c r="O32" s="11" t="s">
        <v>21</v>
      </c>
      <c r="P32" s="86"/>
    </row>
    <row r="33" spans="2:16" ht="16.5" thickBot="1">
      <c r="B33" s="54" t="s">
        <v>3</v>
      </c>
      <c r="C33" s="53" t="s">
        <v>1</v>
      </c>
      <c r="D33" s="468" t="s">
        <v>239</v>
      </c>
      <c r="E33" s="500">
        <v>41437</v>
      </c>
      <c r="F33" s="499" t="s">
        <v>15</v>
      </c>
      <c r="G33" s="13" t="s">
        <v>12</v>
      </c>
      <c r="H33" s="468" t="s">
        <v>239</v>
      </c>
      <c r="I33" s="500">
        <v>41437</v>
      </c>
      <c r="J33" s="499" t="s">
        <v>15</v>
      </c>
      <c r="K33" s="13" t="s">
        <v>12</v>
      </c>
      <c r="L33" s="468" t="s">
        <v>239</v>
      </c>
      <c r="M33" s="500">
        <v>41437</v>
      </c>
      <c r="N33" s="499" t="s">
        <v>15</v>
      </c>
      <c r="O33" s="13" t="s">
        <v>12</v>
      </c>
      <c r="P33" s="86"/>
    </row>
    <row r="34" spans="2:16">
      <c r="B34" s="47"/>
      <c r="C34" s="110"/>
      <c r="D34" s="508" t="s">
        <v>4</v>
      </c>
      <c r="E34" s="509" t="s">
        <v>5</v>
      </c>
      <c r="F34" s="509" t="s">
        <v>6</v>
      </c>
      <c r="G34" s="510" t="s">
        <v>7</v>
      </c>
      <c r="H34" s="508" t="s">
        <v>8</v>
      </c>
      <c r="I34" s="509" t="s">
        <v>9</v>
      </c>
      <c r="J34" s="509" t="s">
        <v>11</v>
      </c>
      <c r="K34" s="510" t="s">
        <v>13</v>
      </c>
      <c r="L34" s="528" t="s">
        <v>14</v>
      </c>
      <c r="M34" s="509" t="s">
        <v>240</v>
      </c>
      <c r="N34" s="509" t="s">
        <v>241</v>
      </c>
      <c r="O34" s="510" t="s">
        <v>242</v>
      </c>
      <c r="P34" s="86"/>
    </row>
    <row r="35" spans="2:16" ht="16.5" thickBot="1">
      <c r="B35" s="14" t="s">
        <v>123</v>
      </c>
      <c r="C35" s="110"/>
      <c r="D35" s="597"/>
      <c r="E35" s="110"/>
      <c r="F35" s="110"/>
      <c r="G35" s="48"/>
      <c r="H35" s="47"/>
      <c r="I35" s="110"/>
      <c r="J35" s="110"/>
      <c r="K35" s="48"/>
      <c r="L35" s="110"/>
      <c r="M35" s="110"/>
      <c r="N35" s="110"/>
      <c r="O35" s="48"/>
      <c r="P35" s="86"/>
    </row>
    <row r="36" spans="2:16">
      <c r="B36" s="95">
        <v>12</v>
      </c>
      <c r="C36" s="83" t="s">
        <v>16</v>
      </c>
      <c r="D36" s="388">
        <f>D8+D22</f>
        <v>68.757855671196481</v>
      </c>
      <c r="E36" s="391">
        <f>E8+E22</f>
        <v>69.13</v>
      </c>
      <c r="F36" s="389">
        <f>G36-E36</f>
        <v>0</v>
      </c>
      <c r="G36" s="390">
        <f>G8+G22</f>
        <v>69.13</v>
      </c>
      <c r="H36" s="391">
        <f>H8+H22</f>
        <v>68.224171497424052</v>
      </c>
      <c r="I36" s="391">
        <f>I8+I22</f>
        <v>67.096000000000004</v>
      </c>
      <c r="J36" s="389">
        <f>K36-I36</f>
        <v>0</v>
      </c>
      <c r="K36" s="390">
        <f>K8+K22</f>
        <v>67.096000000000004</v>
      </c>
      <c r="L36" s="391">
        <f>D36+H36</f>
        <v>136.98202716862053</v>
      </c>
      <c r="M36" s="391">
        <f>E36+I36</f>
        <v>136.226</v>
      </c>
      <c r="N36" s="389">
        <f>O36-M36</f>
        <v>0</v>
      </c>
      <c r="O36" s="390">
        <f>G36+K36</f>
        <v>136.226</v>
      </c>
      <c r="P36" s="86"/>
    </row>
    <row r="37" spans="2:16">
      <c r="B37" s="95">
        <v>12</v>
      </c>
      <c r="C37" s="83" t="s">
        <v>71</v>
      </c>
      <c r="D37" s="411" t="s">
        <v>17</v>
      </c>
      <c r="E37" s="412" t="s">
        <v>17</v>
      </c>
      <c r="F37" s="412" t="s">
        <v>17</v>
      </c>
      <c r="G37" s="602" t="s">
        <v>17</v>
      </c>
      <c r="H37" s="169" t="s">
        <v>17</v>
      </c>
      <c r="I37" s="169" t="s">
        <v>17</v>
      </c>
      <c r="J37" s="412" t="s">
        <v>17</v>
      </c>
      <c r="K37" s="602" t="s">
        <v>17</v>
      </c>
      <c r="L37" s="412" t="s">
        <v>17</v>
      </c>
      <c r="M37" s="412" t="s">
        <v>17</v>
      </c>
      <c r="N37" s="412" t="s">
        <v>17</v>
      </c>
      <c r="O37" s="413" t="s">
        <v>17</v>
      </c>
      <c r="P37" s="86"/>
    </row>
    <row r="38" spans="2:16" ht="16.5" thickBot="1">
      <c r="B38" s="95">
        <v>13</v>
      </c>
      <c r="C38" s="57" t="s">
        <v>72</v>
      </c>
      <c r="D38" s="418">
        <f>+D10+D24</f>
        <v>3242.4339499954103</v>
      </c>
      <c r="E38" s="591">
        <f>+E10+E24</f>
        <v>3245.4396999999999</v>
      </c>
      <c r="F38" s="598">
        <f>G38-E38</f>
        <v>0</v>
      </c>
      <c r="G38" s="419">
        <f>+G10+G24</f>
        <v>3245.4396999999999</v>
      </c>
      <c r="H38" s="591">
        <f>+H10+H24</f>
        <v>3196.580541377833</v>
      </c>
      <c r="I38" s="591">
        <f>+I10+I24</f>
        <v>3125.7894600000004</v>
      </c>
      <c r="J38" s="598">
        <f>K38-I38</f>
        <v>0</v>
      </c>
      <c r="K38" s="419">
        <f>+K10+K24</f>
        <v>3125.7894600000004</v>
      </c>
      <c r="L38" s="591">
        <f>D38+H38</f>
        <v>6439.0144913732438</v>
      </c>
      <c r="M38" s="591">
        <f>E38+I38</f>
        <v>6371.2291600000008</v>
      </c>
      <c r="N38" s="598">
        <f>O38-M38</f>
        <v>0</v>
      </c>
      <c r="O38" s="419">
        <f>G38+K38</f>
        <v>6371.2291600000008</v>
      </c>
      <c r="P38" s="86"/>
    </row>
    <row r="39" spans="2:16">
      <c r="B39" s="95"/>
      <c r="C39" s="83"/>
      <c r="D39" s="420"/>
      <c r="E39" s="596"/>
      <c r="F39" s="421"/>
      <c r="G39" s="422"/>
      <c r="H39" s="421"/>
      <c r="I39" s="421"/>
      <c r="J39" s="421"/>
      <c r="K39" s="422"/>
      <c r="L39" s="421"/>
      <c r="M39" s="421"/>
      <c r="N39" s="421"/>
      <c r="O39" s="422"/>
      <c r="P39" s="86"/>
    </row>
    <row r="40" spans="2:16" ht="16.5" thickBot="1">
      <c r="B40" s="14" t="s">
        <v>20</v>
      </c>
      <c r="C40" s="83"/>
      <c r="D40" s="423"/>
      <c r="E40" s="421"/>
      <c r="F40" s="421"/>
      <c r="G40" s="422"/>
      <c r="H40" s="421"/>
      <c r="I40" s="421"/>
      <c r="J40" s="421"/>
      <c r="K40" s="422"/>
      <c r="L40" s="421"/>
      <c r="M40" s="421"/>
      <c r="N40" s="421"/>
      <c r="O40" s="422"/>
      <c r="P40" s="86"/>
    </row>
    <row r="41" spans="2:16">
      <c r="B41" s="95">
        <v>14</v>
      </c>
      <c r="C41" s="83" t="s">
        <v>19</v>
      </c>
      <c r="D41" s="388">
        <f>+D13+D27</f>
        <v>4148.8973355511425</v>
      </c>
      <c r="E41" s="391">
        <f>+E13+E27</f>
        <v>4201.3004828502199</v>
      </c>
      <c r="F41" s="599">
        <f>G41-E41</f>
        <v>0</v>
      </c>
      <c r="G41" s="390">
        <f t="shared" ref="G41:I42" si="0">+G13+G27</f>
        <v>4201.3004828502199</v>
      </c>
      <c r="H41" s="391">
        <f t="shared" si="0"/>
        <v>4132.0947400461555</v>
      </c>
      <c r="I41" s="391">
        <f t="shared" si="0"/>
        <v>4187.1759211924318</v>
      </c>
      <c r="J41" s="599">
        <f>K41-I41</f>
        <v>0</v>
      </c>
      <c r="K41" s="390">
        <f>+K13+K27</f>
        <v>4187.1759211924318</v>
      </c>
      <c r="L41" s="391">
        <f>D41+H41</f>
        <v>8280.992075597298</v>
      </c>
      <c r="M41" s="391">
        <f>E41+I41</f>
        <v>8388.4764040426526</v>
      </c>
      <c r="N41" s="599">
        <f>O41-M41</f>
        <v>0</v>
      </c>
      <c r="O41" s="390">
        <f>G41+K41</f>
        <v>8388.4764040426526</v>
      </c>
      <c r="P41" s="86"/>
    </row>
    <row r="42" spans="2:16" ht="16.5" thickBot="1">
      <c r="B42" s="96">
        <v>15</v>
      </c>
      <c r="C42" s="97" t="s">
        <v>177</v>
      </c>
      <c r="D42" s="418">
        <f>+D14+D28</f>
        <v>906.46338555573209</v>
      </c>
      <c r="E42" s="591">
        <f>+E14+E28</f>
        <v>955.86078285021949</v>
      </c>
      <c r="F42" s="592">
        <f>G42-E42</f>
        <v>0</v>
      </c>
      <c r="G42" s="419">
        <f t="shared" si="0"/>
        <v>955.86078285021949</v>
      </c>
      <c r="H42" s="591">
        <f t="shared" si="0"/>
        <v>935.51419866832248</v>
      </c>
      <c r="I42" s="591">
        <f t="shared" si="0"/>
        <v>1061.3864611924319</v>
      </c>
      <c r="J42" s="592">
        <f>K42-I42</f>
        <v>0</v>
      </c>
      <c r="K42" s="419">
        <f>+K14+K28</f>
        <v>1061.3864611924319</v>
      </c>
      <c r="L42" s="591">
        <f>D42+H42</f>
        <v>1841.9775842240547</v>
      </c>
      <c r="M42" s="591">
        <f>E42+I42</f>
        <v>2017.2472440426513</v>
      </c>
      <c r="N42" s="592">
        <f>O42-M42</f>
        <v>0</v>
      </c>
      <c r="O42" s="419">
        <f>G42+K42</f>
        <v>2017.2472440426513</v>
      </c>
      <c r="P42" s="86"/>
    </row>
    <row r="43" spans="2:16" ht="12.75" customHeight="1">
      <c r="E43" s="85"/>
      <c r="F43" s="85"/>
      <c r="G43" s="85"/>
      <c r="H43" s="85"/>
      <c r="I43" s="86"/>
      <c r="J43" s="86"/>
      <c r="K43" s="86"/>
      <c r="L43" s="86"/>
      <c r="M43" s="86"/>
      <c r="N43" s="86"/>
      <c r="O43" s="86"/>
      <c r="P43" s="86"/>
    </row>
    <row r="44" spans="2:16" hidden="1">
      <c r="B44" s="191"/>
      <c r="C44" s="203"/>
      <c r="D44" s="203"/>
      <c r="E44" s="85"/>
      <c r="F44" s="85"/>
      <c r="G44" s="85"/>
      <c r="H44" s="85"/>
      <c r="I44" s="86"/>
      <c r="J44" s="86"/>
      <c r="K44" s="86"/>
      <c r="L44" s="86"/>
      <c r="M44" s="86"/>
      <c r="N44" s="86"/>
      <c r="O44" s="86"/>
      <c r="P44" s="86"/>
    </row>
    <row r="45" spans="2:16" hidden="1">
      <c r="B45" s="191"/>
      <c r="C45" s="203"/>
      <c r="D45" s="203"/>
      <c r="E45" s="85"/>
      <c r="F45" s="85"/>
      <c r="G45" s="85"/>
      <c r="H45" s="85"/>
      <c r="I45" s="86"/>
      <c r="J45" s="86"/>
      <c r="K45" s="86"/>
      <c r="L45" s="86"/>
      <c r="M45" s="86"/>
      <c r="N45" s="86"/>
      <c r="O45" s="86"/>
      <c r="P45" s="86"/>
    </row>
    <row r="46" spans="2:16" hidden="1">
      <c r="I46" s="86"/>
      <c r="J46" s="86"/>
      <c r="K46" s="86"/>
      <c r="L46" s="86"/>
      <c r="M46" s="86"/>
      <c r="N46" s="86"/>
      <c r="O46" s="86"/>
      <c r="P46" s="86"/>
    </row>
    <row r="47" spans="2:16" hidden="1">
      <c r="I47" s="86"/>
      <c r="J47" s="86"/>
      <c r="K47" s="86"/>
      <c r="L47" s="86"/>
      <c r="M47" s="86"/>
      <c r="N47" s="86"/>
      <c r="O47" s="86"/>
      <c r="P47" s="86"/>
    </row>
    <row r="48" spans="2:16" hidden="1">
      <c r="I48" s="86"/>
      <c r="J48" s="86"/>
      <c r="K48" s="86"/>
      <c r="L48" s="86"/>
      <c r="M48" s="86"/>
      <c r="N48" s="86"/>
      <c r="O48" s="86"/>
      <c r="P48" s="86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sheetProtection password="9F78" sheet="1" objects="1" scenarios="1"/>
  <mergeCells count="13">
    <mergeCell ref="B1:O1"/>
    <mergeCell ref="D2:O2"/>
    <mergeCell ref="D3:G3"/>
    <mergeCell ref="H3:K3"/>
    <mergeCell ref="D30:O30"/>
    <mergeCell ref="D31:G31"/>
    <mergeCell ref="H31:K31"/>
    <mergeCell ref="L31:O31"/>
    <mergeCell ref="L3:O3"/>
    <mergeCell ref="D16:O16"/>
    <mergeCell ref="D17:G17"/>
    <mergeCell ref="H17:K17"/>
    <mergeCell ref="L17:O17"/>
  </mergeCells>
  <pageMargins left="1" right="1" top="1" bottom="1" header="0.5" footer="0.5"/>
  <pageSetup scale="42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3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59.28515625" customWidth="1"/>
    <col min="4" max="15" width="16.7109375" customWidth="1"/>
    <col min="16" max="16" width="8.7109375" customWidth="1"/>
    <col min="17" max="16384" width="9.140625" hidden="1"/>
  </cols>
  <sheetData>
    <row r="1" spans="2:15" ht="18.75" thickBot="1">
      <c r="B1" s="642" t="s">
        <v>148</v>
      </c>
      <c r="C1" s="642"/>
      <c r="D1" s="642"/>
      <c r="E1" s="642"/>
      <c r="F1" s="642"/>
      <c r="G1" s="642"/>
      <c r="H1" s="463"/>
      <c r="I1" s="98"/>
      <c r="J1" s="98"/>
      <c r="K1" s="98"/>
      <c r="L1" s="98"/>
      <c r="M1" s="98"/>
      <c r="N1" s="98"/>
      <c r="O1" s="98"/>
    </row>
    <row r="2" spans="2:15" ht="16.5" thickBot="1">
      <c r="B2" s="2"/>
      <c r="C2" s="2"/>
      <c r="D2" s="634" t="s">
        <v>62</v>
      </c>
      <c r="E2" s="635"/>
      <c r="F2" s="635"/>
      <c r="G2" s="635"/>
      <c r="H2" s="635"/>
      <c r="I2" s="635"/>
      <c r="J2" s="635"/>
      <c r="K2" s="635"/>
      <c r="L2" s="635"/>
      <c r="M2" s="635"/>
      <c r="N2" s="635"/>
      <c r="O2" s="636"/>
    </row>
    <row r="3" spans="2:15" ht="15.75">
      <c r="B3" s="221"/>
      <c r="C3" s="217"/>
      <c r="D3" s="637">
        <v>2014</v>
      </c>
      <c r="E3" s="638"/>
      <c r="F3" s="639"/>
      <c r="G3" s="640"/>
      <c r="H3" s="637">
        <v>2015</v>
      </c>
      <c r="I3" s="639"/>
      <c r="J3" s="639"/>
      <c r="K3" s="640"/>
      <c r="L3" s="639" t="s">
        <v>243</v>
      </c>
      <c r="M3" s="639"/>
      <c r="N3" s="639"/>
      <c r="O3" s="640"/>
    </row>
    <row r="4" spans="2:15" ht="15.75">
      <c r="B4" s="100" t="s">
        <v>2</v>
      </c>
      <c r="C4" s="441"/>
      <c r="D4" s="9" t="s">
        <v>238</v>
      </c>
      <c r="E4" s="159" t="s">
        <v>238</v>
      </c>
      <c r="F4" s="498" t="s">
        <v>21</v>
      </c>
      <c r="G4" s="11" t="s">
        <v>21</v>
      </c>
      <c r="H4" s="9" t="s">
        <v>238</v>
      </c>
      <c r="I4" s="159" t="s">
        <v>238</v>
      </c>
      <c r="J4" s="498" t="s">
        <v>21</v>
      </c>
      <c r="K4" s="11" t="s">
        <v>21</v>
      </c>
      <c r="L4" s="52" t="s">
        <v>238</v>
      </c>
      <c r="M4" s="159" t="s">
        <v>238</v>
      </c>
      <c r="N4" s="498" t="s">
        <v>21</v>
      </c>
      <c r="O4" s="11" t="s">
        <v>21</v>
      </c>
    </row>
    <row r="5" spans="2:15" ht="16.5" thickBot="1">
      <c r="B5" s="101" t="s">
        <v>3</v>
      </c>
      <c r="C5" s="442" t="s">
        <v>1</v>
      </c>
      <c r="D5" s="506" t="s">
        <v>239</v>
      </c>
      <c r="E5" s="526">
        <v>41437</v>
      </c>
      <c r="F5" s="498" t="s">
        <v>15</v>
      </c>
      <c r="G5" s="11" t="s">
        <v>12</v>
      </c>
      <c r="H5" s="506" t="s">
        <v>239</v>
      </c>
      <c r="I5" s="526">
        <v>41437</v>
      </c>
      <c r="J5" s="498" t="s">
        <v>15</v>
      </c>
      <c r="K5" s="11" t="s">
        <v>12</v>
      </c>
      <c r="L5" s="544" t="s">
        <v>239</v>
      </c>
      <c r="M5" s="526">
        <v>41437</v>
      </c>
      <c r="N5" s="498" t="s">
        <v>15</v>
      </c>
      <c r="O5" s="11" t="s">
        <v>12</v>
      </c>
    </row>
    <row r="6" spans="2:15" ht="15">
      <c r="B6" s="99"/>
      <c r="C6" s="187"/>
      <c r="D6" s="508" t="s">
        <v>4</v>
      </c>
      <c r="E6" s="509" t="s">
        <v>5</v>
      </c>
      <c r="F6" s="509" t="s">
        <v>6</v>
      </c>
      <c r="G6" s="510" t="s">
        <v>7</v>
      </c>
      <c r="H6" s="508" t="s">
        <v>8</v>
      </c>
      <c r="I6" s="509" t="s">
        <v>9</v>
      </c>
      <c r="J6" s="509" t="s">
        <v>11</v>
      </c>
      <c r="K6" s="510" t="s">
        <v>13</v>
      </c>
      <c r="L6" s="528" t="s">
        <v>14</v>
      </c>
      <c r="M6" s="509" t="s">
        <v>240</v>
      </c>
      <c r="N6" s="509" t="s">
        <v>241</v>
      </c>
      <c r="O6" s="510" t="s">
        <v>242</v>
      </c>
    </row>
    <row r="7" spans="2:15" ht="13.5" thickBot="1">
      <c r="B7" s="105"/>
      <c r="C7" s="71"/>
      <c r="D7" s="105"/>
      <c r="E7" s="71"/>
      <c r="F7" s="71"/>
      <c r="G7" s="106"/>
      <c r="H7" s="105"/>
      <c r="I7" s="71"/>
      <c r="J7" s="71"/>
      <c r="K7" s="106"/>
      <c r="L7" s="71"/>
      <c r="M7" s="71"/>
      <c r="N7" s="71"/>
      <c r="O7" s="106"/>
    </row>
    <row r="8" spans="2:15" ht="15.75" thickBot="1">
      <c r="B8" s="95">
        <v>1</v>
      </c>
      <c r="C8" s="85" t="s">
        <v>19</v>
      </c>
      <c r="D8" s="424">
        <f>'7. Rev_Req'!D28</f>
        <v>856.73993508268381</v>
      </c>
      <c r="E8" s="604">
        <f>'7. Rev_Req'!E28</f>
        <v>859.95</v>
      </c>
      <c r="F8" s="425">
        <f>G8-E8</f>
        <v>0</v>
      </c>
      <c r="G8" s="426">
        <f>'7. Rev_Req'!G28</f>
        <v>859.95</v>
      </c>
      <c r="H8" s="604">
        <f>'7. Rev_Req'!H28</f>
        <v>879.53646756777925</v>
      </c>
      <c r="I8" s="604">
        <f>'7. Rev_Req'!I28</f>
        <v>879.7572740181007</v>
      </c>
      <c r="J8" s="425">
        <f>K8-I8</f>
        <v>0</v>
      </c>
      <c r="K8" s="426">
        <f>'7. Rev_Req'!K28</f>
        <v>879.7572740181007</v>
      </c>
      <c r="L8" s="604">
        <f>D8+H8</f>
        <v>1736.2764026504631</v>
      </c>
      <c r="M8" s="604">
        <f>E8+I8</f>
        <v>1739.7072740181006</v>
      </c>
      <c r="N8" s="425">
        <f>O8-M8</f>
        <v>0</v>
      </c>
      <c r="O8" s="426">
        <f>G8+K8</f>
        <v>1739.7072740181006</v>
      </c>
    </row>
    <row r="9" spans="2:15" ht="15.75" thickBot="1">
      <c r="B9" s="95"/>
      <c r="C9" s="85"/>
      <c r="D9" s="423"/>
      <c r="E9" s="421"/>
      <c r="F9" s="421"/>
      <c r="G9" s="422"/>
      <c r="H9" s="421"/>
      <c r="I9" s="421"/>
      <c r="J9" s="421"/>
      <c r="K9" s="422"/>
      <c r="L9" s="421"/>
      <c r="M9" s="421"/>
      <c r="N9" s="421"/>
      <c r="O9" s="422"/>
    </row>
    <row r="10" spans="2:15" ht="15.75" thickBot="1">
      <c r="B10" s="95">
        <v>2</v>
      </c>
      <c r="C10" s="86" t="s">
        <v>16</v>
      </c>
      <c r="D10" s="424">
        <f>'4. OEB_Adjustment_Input_Sheet'!D51</f>
        <v>19.057863671196486</v>
      </c>
      <c r="E10" s="604">
        <f>'4. OEB_Adjustment_Input_Sheet'!E51</f>
        <v>20.085000000000001</v>
      </c>
      <c r="F10" s="425">
        <f>G10-E10</f>
        <v>0</v>
      </c>
      <c r="G10" s="426">
        <f>'4. OEB_Adjustment_Input_Sheet'!G51</f>
        <v>20.085000000000001</v>
      </c>
      <c r="H10" s="604">
        <f>'4. OEB_Adjustment_Input_Sheet'!H51</f>
        <v>20.224191497424044</v>
      </c>
      <c r="I10" s="604">
        <f>'4. OEB_Adjustment_Input_Sheet'!I51</f>
        <v>21.029</v>
      </c>
      <c r="J10" s="425">
        <f>K10-I10</f>
        <v>0</v>
      </c>
      <c r="K10" s="426">
        <f>'4. OEB_Adjustment_Input_Sheet'!K51</f>
        <v>21.029</v>
      </c>
      <c r="L10" s="604">
        <f>D10+H10</f>
        <v>39.282055168620531</v>
      </c>
      <c r="M10" s="604">
        <f>E10+I10</f>
        <v>41.114000000000004</v>
      </c>
      <c r="N10" s="425">
        <f>O10-M10</f>
        <v>0</v>
      </c>
      <c r="O10" s="426">
        <f>G10+K10</f>
        <v>41.114000000000004</v>
      </c>
    </row>
    <row r="11" spans="2:15" ht="15.75" thickBot="1">
      <c r="B11" s="105"/>
      <c r="C11" s="71"/>
      <c r="D11" s="177"/>
      <c r="E11" s="132"/>
      <c r="F11" s="132"/>
      <c r="G11" s="172"/>
      <c r="H11" s="132"/>
      <c r="I11" s="132"/>
      <c r="J11" s="132"/>
      <c r="K11" s="172"/>
      <c r="L11" s="132"/>
      <c r="M11" s="132"/>
      <c r="N11" s="132"/>
      <c r="O11" s="172"/>
    </row>
    <row r="12" spans="2:15" ht="16.5" thickBot="1">
      <c r="B12" s="96">
        <v>3</v>
      </c>
      <c r="C12" s="186" t="s">
        <v>209</v>
      </c>
      <c r="D12" s="200" t="s">
        <v>17</v>
      </c>
      <c r="E12" s="603" t="s">
        <v>17</v>
      </c>
      <c r="F12" s="201" t="s">
        <v>17</v>
      </c>
      <c r="G12" s="202" t="s">
        <v>17</v>
      </c>
      <c r="H12" s="603" t="s">
        <v>17</v>
      </c>
      <c r="I12" s="603" t="s">
        <v>17</v>
      </c>
      <c r="J12" s="201" t="s">
        <v>17</v>
      </c>
      <c r="K12" s="202" t="s">
        <v>17</v>
      </c>
      <c r="L12" s="605">
        <f>ROUND(L8/L10,3)</f>
        <v>44.2</v>
      </c>
      <c r="M12" s="605">
        <f>ROUND(M8/M10,3)</f>
        <v>42.314</v>
      </c>
      <c r="N12" s="149">
        <f>O12-M12</f>
        <v>0</v>
      </c>
      <c r="O12" s="153">
        <f>ROUND(O8/O10,3)</f>
        <v>42.314</v>
      </c>
    </row>
    <row r="13" spans="2:15" ht="13.5" thickBot="1"/>
    <row r="14" spans="2:15" ht="16.5" thickBot="1">
      <c r="B14" s="2"/>
      <c r="C14" s="2"/>
      <c r="D14" s="634" t="s">
        <v>63</v>
      </c>
      <c r="E14" s="635"/>
      <c r="F14" s="635"/>
      <c r="G14" s="635"/>
      <c r="H14" s="635"/>
      <c r="I14" s="635"/>
      <c r="J14" s="635"/>
      <c r="K14" s="635"/>
      <c r="L14" s="635"/>
      <c r="M14" s="635"/>
      <c r="N14" s="635"/>
      <c r="O14" s="636"/>
    </row>
    <row r="15" spans="2:15" ht="15.75">
      <c r="B15" s="221"/>
      <c r="C15" s="217"/>
      <c r="D15" s="637" t="s">
        <v>125</v>
      </c>
      <c r="E15" s="638"/>
      <c r="F15" s="639"/>
      <c r="G15" s="640"/>
      <c r="H15" s="637">
        <v>2015</v>
      </c>
      <c r="I15" s="639"/>
      <c r="J15" s="639"/>
      <c r="K15" s="640"/>
      <c r="L15" s="637" t="s">
        <v>124</v>
      </c>
      <c r="M15" s="639"/>
      <c r="N15" s="639"/>
      <c r="O15" s="640"/>
    </row>
    <row r="16" spans="2:15" ht="15.75">
      <c r="B16" s="100" t="s">
        <v>2</v>
      </c>
      <c r="C16" s="441"/>
      <c r="D16" s="9" t="s">
        <v>238</v>
      </c>
      <c r="E16" s="159" t="s">
        <v>238</v>
      </c>
      <c r="F16" s="498" t="s">
        <v>21</v>
      </c>
      <c r="G16" s="11" t="s">
        <v>21</v>
      </c>
      <c r="H16" s="9" t="s">
        <v>238</v>
      </c>
      <c r="I16" s="159" t="s">
        <v>238</v>
      </c>
      <c r="J16" s="498" t="s">
        <v>21</v>
      </c>
      <c r="K16" s="11" t="s">
        <v>21</v>
      </c>
      <c r="L16" s="9" t="s">
        <v>238</v>
      </c>
      <c r="M16" s="159" t="s">
        <v>238</v>
      </c>
      <c r="N16" s="498" t="s">
        <v>21</v>
      </c>
      <c r="O16" s="11" t="s">
        <v>21</v>
      </c>
    </row>
    <row r="17" spans="2:15" ht="16.5" thickBot="1">
      <c r="B17" s="101" t="s">
        <v>3</v>
      </c>
      <c r="C17" s="442" t="s">
        <v>1</v>
      </c>
      <c r="D17" s="468" t="s">
        <v>239</v>
      </c>
      <c r="E17" s="500">
        <v>41437</v>
      </c>
      <c r="F17" s="499" t="s">
        <v>15</v>
      </c>
      <c r="G17" s="13" t="s">
        <v>12</v>
      </c>
      <c r="H17" s="468" t="s">
        <v>239</v>
      </c>
      <c r="I17" s="500">
        <v>41437</v>
      </c>
      <c r="J17" s="499" t="s">
        <v>15</v>
      </c>
      <c r="K17" s="13" t="s">
        <v>12</v>
      </c>
      <c r="L17" s="468" t="s">
        <v>239</v>
      </c>
      <c r="M17" s="500">
        <v>41437</v>
      </c>
      <c r="N17" s="499" t="s">
        <v>15</v>
      </c>
      <c r="O17" s="13" t="s">
        <v>12</v>
      </c>
    </row>
    <row r="18" spans="2:15" ht="15">
      <c r="B18" s="99"/>
      <c r="C18" s="187"/>
      <c r="D18" s="508" t="s">
        <v>4</v>
      </c>
      <c r="E18" s="509" t="s">
        <v>5</v>
      </c>
      <c r="F18" s="509" t="s">
        <v>6</v>
      </c>
      <c r="G18" s="510" t="s">
        <v>7</v>
      </c>
      <c r="H18" s="508" t="s">
        <v>8</v>
      </c>
      <c r="I18" s="509" t="s">
        <v>9</v>
      </c>
      <c r="J18" s="509" t="s">
        <v>11</v>
      </c>
      <c r="K18" s="510" t="s">
        <v>13</v>
      </c>
      <c r="L18" s="528" t="s">
        <v>14</v>
      </c>
      <c r="M18" s="509" t="s">
        <v>240</v>
      </c>
      <c r="N18" s="509" t="s">
        <v>241</v>
      </c>
      <c r="O18" s="510" t="s">
        <v>242</v>
      </c>
    </row>
    <row r="19" spans="2:15" ht="13.5" thickBot="1">
      <c r="B19" s="105"/>
      <c r="C19" s="71"/>
      <c r="D19" s="105"/>
      <c r="E19" s="71"/>
      <c r="F19" s="71"/>
      <c r="G19" s="106"/>
      <c r="H19" s="105"/>
      <c r="I19" s="71"/>
      <c r="J19" s="71"/>
      <c r="K19" s="106"/>
      <c r="L19" s="71"/>
      <c r="M19" s="71"/>
      <c r="N19" s="71"/>
      <c r="O19" s="106"/>
    </row>
    <row r="20" spans="2:15" ht="18.75" thickBot="1">
      <c r="B20" s="95">
        <v>4</v>
      </c>
      <c r="C20" s="85" t="s">
        <v>126</v>
      </c>
      <c r="D20" s="424">
        <f>('7. Rev_Req'!D56/2)</f>
        <v>274.55143780962851</v>
      </c>
      <c r="E20" s="604">
        <f>('7. Rev_Req'!E56/2)</f>
        <v>277.60398544455285</v>
      </c>
      <c r="F20" s="425">
        <f>G20-E20</f>
        <v>0</v>
      </c>
      <c r="G20" s="426">
        <f>('7. Rev_Req'!G56/2)</f>
        <v>277.60398544455285</v>
      </c>
      <c r="H20" s="604">
        <f>'7. Rev_Req'!H56</f>
        <v>569.7458467464445</v>
      </c>
      <c r="I20" s="604">
        <f>'7. Rev_Req'!I56</f>
        <v>575.78131533800058</v>
      </c>
      <c r="J20" s="425">
        <f>K20-I20</f>
        <v>0</v>
      </c>
      <c r="K20" s="426">
        <f>'7. Rev_Req'!K56</f>
        <v>575.78131533800058</v>
      </c>
      <c r="L20" s="604">
        <f>D20+H20</f>
        <v>844.29728455607301</v>
      </c>
      <c r="M20" s="604">
        <f>E20+I20</f>
        <v>853.38530078255349</v>
      </c>
      <c r="N20" s="425">
        <f>O20-M20</f>
        <v>0</v>
      </c>
      <c r="O20" s="426">
        <f>G20+K20</f>
        <v>853.38530078255349</v>
      </c>
    </row>
    <row r="21" spans="2:15" ht="15.75" thickBot="1">
      <c r="B21" s="95"/>
      <c r="C21" s="85"/>
      <c r="D21" s="423"/>
      <c r="E21" s="421"/>
      <c r="F21" s="421"/>
      <c r="G21" s="422"/>
      <c r="H21" s="421"/>
      <c r="I21" s="421"/>
      <c r="J21" s="421"/>
      <c r="K21" s="422"/>
      <c r="L21" s="421"/>
      <c r="M21" s="421"/>
      <c r="N21" s="421"/>
      <c r="O21" s="422"/>
    </row>
    <row r="22" spans="2:15" ht="18.75" thickBot="1">
      <c r="B22" s="95">
        <v>5</v>
      </c>
      <c r="C22" s="86" t="s">
        <v>127</v>
      </c>
      <c r="D22" s="424">
        <f>'4. OEB_Adjustment_Input_Sheet'!D78</f>
        <v>5.475243315829494</v>
      </c>
      <c r="E22" s="604">
        <f>'4. OEB_Adjustment_Input_Sheet'!E78</f>
        <v>5.475243315829494</v>
      </c>
      <c r="F22" s="425">
        <f>G22-E22</f>
        <v>0</v>
      </c>
      <c r="G22" s="426">
        <f>'4. OEB_Adjustment_Input_Sheet'!G78</f>
        <v>5.475243315829494</v>
      </c>
      <c r="H22" s="604">
        <f>'4. OEB_Adjustment_Input_Sheet'!H78</f>
        <v>12.458714155258324</v>
      </c>
      <c r="I22" s="604">
        <f>'4. OEB_Adjustment_Input_Sheet'!I78</f>
        <v>12.458714155258324</v>
      </c>
      <c r="J22" s="425">
        <f>K22-I22</f>
        <v>0</v>
      </c>
      <c r="K22" s="426">
        <f>'4. OEB_Adjustment_Input_Sheet'!K78</f>
        <v>12.458714155258324</v>
      </c>
      <c r="L22" s="604">
        <f>D22+H22</f>
        <v>17.933957471087819</v>
      </c>
      <c r="M22" s="604">
        <f>E22+I22</f>
        <v>17.933957471087819</v>
      </c>
      <c r="N22" s="425">
        <f>O22-M22</f>
        <v>0</v>
      </c>
      <c r="O22" s="426">
        <f>G22+K22</f>
        <v>17.933957471087819</v>
      </c>
    </row>
    <row r="23" spans="2:15" ht="15.75" thickBot="1">
      <c r="B23" s="105"/>
      <c r="C23" s="71"/>
      <c r="D23" s="177"/>
      <c r="E23" s="132"/>
      <c r="F23" s="132"/>
      <c r="G23" s="172"/>
      <c r="H23" s="132"/>
      <c r="I23" s="132"/>
      <c r="J23" s="132"/>
      <c r="K23" s="172"/>
      <c r="L23" s="132"/>
      <c r="M23" s="132"/>
      <c r="N23" s="132"/>
      <c r="O23" s="172"/>
    </row>
    <row r="24" spans="2:15" ht="16.5" thickBot="1">
      <c r="B24" s="96">
        <v>6</v>
      </c>
      <c r="C24" s="186" t="s">
        <v>210</v>
      </c>
      <c r="D24" s="200" t="s">
        <v>17</v>
      </c>
      <c r="E24" s="603" t="s">
        <v>17</v>
      </c>
      <c r="F24" s="201" t="s">
        <v>17</v>
      </c>
      <c r="G24" s="202" t="s">
        <v>17</v>
      </c>
      <c r="H24" s="603" t="s">
        <v>17</v>
      </c>
      <c r="I24" s="603" t="s">
        <v>17</v>
      </c>
      <c r="J24" s="201" t="s">
        <v>17</v>
      </c>
      <c r="K24" s="202" t="s">
        <v>17</v>
      </c>
      <c r="L24" s="605">
        <f>ROUND(L20/L22,3)</f>
        <v>47.078000000000003</v>
      </c>
      <c r="M24" s="605">
        <f>ROUND(M20/M22,3)</f>
        <v>47.585000000000001</v>
      </c>
      <c r="N24" s="149">
        <f>O24-M24</f>
        <v>0</v>
      </c>
      <c r="O24" s="153">
        <f>ROUND(O20/O22,3)</f>
        <v>47.585000000000001</v>
      </c>
    </row>
    <row r="25" spans="2:15" ht="15.75" thickBot="1">
      <c r="C25" s="189"/>
      <c r="D25" s="189"/>
    </row>
    <row r="26" spans="2:15" ht="16.5" thickBot="1">
      <c r="B26" s="2"/>
      <c r="C26" s="2"/>
      <c r="D26" s="634" t="s">
        <v>23</v>
      </c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6"/>
    </row>
    <row r="27" spans="2:15" ht="15.75">
      <c r="B27" s="221"/>
      <c r="C27" s="217"/>
      <c r="D27" s="637">
        <v>2014</v>
      </c>
      <c r="E27" s="638"/>
      <c r="F27" s="639"/>
      <c r="G27" s="640"/>
      <c r="H27" s="637">
        <v>2015</v>
      </c>
      <c r="I27" s="639"/>
      <c r="J27" s="639"/>
      <c r="K27" s="640"/>
      <c r="L27" s="637" t="s">
        <v>243</v>
      </c>
      <c r="M27" s="639"/>
      <c r="N27" s="639"/>
      <c r="O27" s="640"/>
    </row>
    <row r="28" spans="2:15" ht="15.75">
      <c r="B28" s="100" t="s">
        <v>2</v>
      </c>
      <c r="C28" s="441"/>
      <c r="D28" s="9" t="s">
        <v>238</v>
      </c>
      <c r="E28" s="159" t="s">
        <v>238</v>
      </c>
      <c r="F28" s="498" t="s">
        <v>21</v>
      </c>
      <c r="G28" s="11" t="s">
        <v>21</v>
      </c>
      <c r="H28" s="9" t="s">
        <v>238</v>
      </c>
      <c r="I28" s="159" t="s">
        <v>238</v>
      </c>
      <c r="J28" s="498" t="s">
        <v>21</v>
      </c>
      <c r="K28" s="11" t="s">
        <v>21</v>
      </c>
      <c r="L28" s="9" t="s">
        <v>238</v>
      </c>
      <c r="M28" s="159" t="s">
        <v>238</v>
      </c>
      <c r="N28" s="498" t="s">
        <v>21</v>
      </c>
      <c r="O28" s="11" t="s">
        <v>21</v>
      </c>
    </row>
    <row r="29" spans="2:15" ht="16.5" thickBot="1">
      <c r="B29" s="101" t="s">
        <v>3</v>
      </c>
      <c r="C29" s="442" t="s">
        <v>1</v>
      </c>
      <c r="D29" s="468" t="s">
        <v>239</v>
      </c>
      <c r="E29" s="500">
        <v>41437</v>
      </c>
      <c r="F29" s="499" t="s">
        <v>15</v>
      </c>
      <c r="G29" s="13" t="s">
        <v>12</v>
      </c>
      <c r="H29" s="468" t="s">
        <v>239</v>
      </c>
      <c r="I29" s="500">
        <v>41437</v>
      </c>
      <c r="J29" s="499" t="s">
        <v>15</v>
      </c>
      <c r="K29" s="13" t="s">
        <v>12</v>
      </c>
      <c r="L29" s="468" t="s">
        <v>239</v>
      </c>
      <c r="M29" s="500">
        <v>41437</v>
      </c>
      <c r="N29" s="499" t="s">
        <v>15</v>
      </c>
      <c r="O29" s="13" t="s">
        <v>12</v>
      </c>
    </row>
    <row r="30" spans="2:15" ht="15">
      <c r="B30" s="99"/>
      <c r="C30" s="187"/>
      <c r="D30" s="508" t="s">
        <v>4</v>
      </c>
      <c r="E30" s="509" t="s">
        <v>5</v>
      </c>
      <c r="F30" s="509" t="s">
        <v>6</v>
      </c>
      <c r="G30" s="510" t="s">
        <v>7</v>
      </c>
      <c r="H30" s="508" t="s">
        <v>8</v>
      </c>
      <c r="I30" s="509" t="s">
        <v>9</v>
      </c>
      <c r="J30" s="509" t="s">
        <v>11</v>
      </c>
      <c r="K30" s="510" t="s">
        <v>13</v>
      </c>
      <c r="L30" s="528" t="s">
        <v>14</v>
      </c>
      <c r="M30" s="509" t="s">
        <v>240</v>
      </c>
      <c r="N30" s="509" t="s">
        <v>241</v>
      </c>
      <c r="O30" s="510" t="s">
        <v>242</v>
      </c>
    </row>
    <row r="31" spans="2:15" ht="13.5" thickBot="1">
      <c r="B31" s="105"/>
      <c r="C31" s="71"/>
      <c r="D31" s="105"/>
      <c r="E31" s="71"/>
      <c r="F31" s="71"/>
      <c r="G31" s="106"/>
      <c r="H31" s="105"/>
      <c r="I31" s="71"/>
      <c r="J31" s="71"/>
      <c r="K31" s="106"/>
      <c r="L31" s="71"/>
      <c r="M31" s="71"/>
      <c r="N31" s="71"/>
      <c r="O31" s="106"/>
    </row>
    <row r="32" spans="2:15" ht="15.75" thickBot="1">
      <c r="B32" s="95">
        <v>7</v>
      </c>
      <c r="C32" s="85" t="s">
        <v>19</v>
      </c>
      <c r="D32" s="424">
        <f>'7. Rev_Req'!D84</f>
        <v>3292.1574004684585</v>
      </c>
      <c r="E32" s="604">
        <f>'7. Rev_Req'!E84</f>
        <v>3341.3504828502196</v>
      </c>
      <c r="F32" s="425">
        <f>G32-E32</f>
        <v>0</v>
      </c>
      <c r="G32" s="426">
        <f>'7. Rev_Req'!G84</f>
        <v>3341.3504828502196</v>
      </c>
      <c r="H32" s="604">
        <f>'7. Rev_Req'!H84</f>
        <v>3252.5582724783762</v>
      </c>
      <c r="I32" s="604">
        <f>'7. Rev_Req'!I84</f>
        <v>3307.4186471743315</v>
      </c>
      <c r="J32" s="425">
        <f>K32-I32</f>
        <v>0</v>
      </c>
      <c r="K32" s="426">
        <f>'7. Rev_Req'!K84</f>
        <v>3307.4186471743315</v>
      </c>
      <c r="L32" s="604">
        <f>D32+H32</f>
        <v>6544.7156729468352</v>
      </c>
      <c r="M32" s="604">
        <f>E32+I32</f>
        <v>6648.7691300245515</v>
      </c>
      <c r="N32" s="425">
        <f>O32-M32</f>
        <v>0</v>
      </c>
      <c r="O32" s="426">
        <f>G32+K32</f>
        <v>6648.7691300245515</v>
      </c>
    </row>
    <row r="33" spans="2:15" ht="15.75" thickBot="1">
      <c r="B33" s="95"/>
      <c r="C33" s="85"/>
      <c r="D33" s="423"/>
      <c r="E33" s="421"/>
      <c r="F33" s="421"/>
      <c r="G33" s="422"/>
      <c r="H33" s="421"/>
      <c r="I33" s="421"/>
      <c r="J33" s="421"/>
      <c r="K33" s="422"/>
      <c r="L33" s="421"/>
      <c r="M33" s="421"/>
      <c r="N33" s="421"/>
      <c r="O33" s="422"/>
    </row>
    <row r="34" spans="2:15" ht="15.75" thickBot="1">
      <c r="B34" s="95">
        <v>8</v>
      </c>
      <c r="C34" s="86" t="s">
        <v>16</v>
      </c>
      <c r="D34" s="424">
        <f>'4. OEB_Adjustment_Input_Sheet'!D105</f>
        <v>49.699991999999995</v>
      </c>
      <c r="E34" s="604">
        <f>'4. OEB_Adjustment_Input_Sheet'!E105</f>
        <v>49.045000000000002</v>
      </c>
      <c r="F34" s="425">
        <f>G34-E34</f>
        <v>0</v>
      </c>
      <c r="G34" s="426">
        <f>'4. OEB_Adjustment_Input_Sheet'!G105</f>
        <v>49.045000000000002</v>
      </c>
      <c r="H34" s="604">
        <f>'4. OEB_Adjustment_Input_Sheet'!H105</f>
        <v>47.999980000000008</v>
      </c>
      <c r="I34" s="604">
        <f>'4. OEB_Adjustment_Input_Sheet'!I105</f>
        <v>46.067</v>
      </c>
      <c r="J34" s="425">
        <f>K34-I34</f>
        <v>0</v>
      </c>
      <c r="K34" s="426">
        <f>'4. OEB_Adjustment_Input_Sheet'!K105</f>
        <v>46.067</v>
      </c>
      <c r="L34" s="604">
        <f>D34+H34</f>
        <v>97.699972000000002</v>
      </c>
      <c r="M34" s="604">
        <f>E34+I34</f>
        <v>95.111999999999995</v>
      </c>
      <c r="N34" s="425">
        <f>O34-M34</f>
        <v>0</v>
      </c>
      <c r="O34" s="426">
        <f>G34+K34</f>
        <v>95.111999999999995</v>
      </c>
    </row>
    <row r="35" spans="2:15" ht="15.75" thickBot="1">
      <c r="B35" s="105"/>
      <c r="C35" s="71"/>
      <c r="D35" s="177"/>
      <c r="E35" s="132"/>
      <c r="F35" s="132"/>
      <c r="G35" s="172"/>
      <c r="H35" s="132"/>
      <c r="I35" s="132"/>
      <c r="J35" s="132"/>
      <c r="K35" s="172"/>
      <c r="L35" s="132"/>
      <c r="M35" s="132"/>
      <c r="N35" s="132"/>
      <c r="O35" s="172"/>
    </row>
    <row r="36" spans="2:15" ht="16.5" thickBot="1">
      <c r="B36" s="96">
        <v>9</v>
      </c>
      <c r="C36" s="186" t="s">
        <v>211</v>
      </c>
      <c r="D36" s="200" t="s">
        <v>17</v>
      </c>
      <c r="E36" s="603" t="s">
        <v>17</v>
      </c>
      <c r="F36" s="201" t="s">
        <v>17</v>
      </c>
      <c r="G36" s="202" t="s">
        <v>17</v>
      </c>
      <c r="H36" s="603" t="s">
        <v>17</v>
      </c>
      <c r="I36" s="603" t="s">
        <v>17</v>
      </c>
      <c r="J36" s="201" t="s">
        <v>17</v>
      </c>
      <c r="K36" s="202" t="s">
        <v>17</v>
      </c>
      <c r="L36" s="605">
        <f>ROUND(L32/L34,3)</f>
        <v>66.988</v>
      </c>
      <c r="M36" s="605">
        <f>ROUND(M32/M34,3)</f>
        <v>69.905000000000001</v>
      </c>
      <c r="N36" s="149">
        <f>O36-M36</f>
        <v>0</v>
      </c>
      <c r="O36" s="153">
        <f>ROUND(O32/O34,3)</f>
        <v>69.905000000000001</v>
      </c>
    </row>
    <row r="37" spans="2:15" ht="16.5" thickBot="1">
      <c r="B37" s="104"/>
      <c r="C37" s="15"/>
      <c r="D37" s="15"/>
      <c r="E37" s="169"/>
      <c r="F37" s="168"/>
      <c r="G37" s="169"/>
      <c r="H37" s="169"/>
      <c r="I37" s="169"/>
      <c r="J37" s="168"/>
      <c r="K37" s="169"/>
      <c r="L37" s="169"/>
      <c r="M37" s="199"/>
      <c r="N37" s="214"/>
      <c r="O37" s="199"/>
    </row>
    <row r="38" spans="2:15" ht="16.5" thickBot="1">
      <c r="B38" s="2"/>
      <c r="C38" s="2"/>
      <c r="D38" s="634" t="s">
        <v>141</v>
      </c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6"/>
    </row>
    <row r="39" spans="2:15" ht="15.75">
      <c r="B39" s="221"/>
      <c r="C39" s="217"/>
      <c r="D39" s="637">
        <v>2014</v>
      </c>
      <c r="E39" s="638"/>
      <c r="F39" s="639"/>
      <c r="G39" s="640"/>
      <c r="H39" s="637">
        <v>2015</v>
      </c>
      <c r="I39" s="639"/>
      <c r="J39" s="639"/>
      <c r="K39" s="640"/>
      <c r="L39" s="637" t="s">
        <v>243</v>
      </c>
      <c r="M39" s="639"/>
      <c r="N39" s="639"/>
      <c r="O39" s="640"/>
    </row>
    <row r="40" spans="2:15" ht="15.75">
      <c r="B40" s="100" t="s">
        <v>2</v>
      </c>
      <c r="C40" s="441"/>
      <c r="D40" s="9" t="s">
        <v>238</v>
      </c>
      <c r="E40" s="159" t="s">
        <v>238</v>
      </c>
      <c r="F40" s="498" t="s">
        <v>21</v>
      </c>
      <c r="G40" s="11" t="s">
        <v>21</v>
      </c>
      <c r="H40" s="9" t="s">
        <v>238</v>
      </c>
      <c r="I40" s="159" t="s">
        <v>238</v>
      </c>
      <c r="J40" s="498" t="s">
        <v>21</v>
      </c>
      <c r="K40" s="11" t="s">
        <v>21</v>
      </c>
      <c r="L40" s="9" t="s">
        <v>238</v>
      </c>
      <c r="M40" s="159" t="s">
        <v>238</v>
      </c>
      <c r="N40" s="498" t="s">
        <v>21</v>
      </c>
      <c r="O40" s="11" t="s">
        <v>21</v>
      </c>
    </row>
    <row r="41" spans="2:15" ht="16.5" thickBot="1">
      <c r="B41" s="101" t="s">
        <v>3</v>
      </c>
      <c r="C41" s="442" t="s">
        <v>1</v>
      </c>
      <c r="D41" s="468" t="s">
        <v>239</v>
      </c>
      <c r="E41" s="500">
        <v>41437</v>
      </c>
      <c r="F41" s="499" t="s">
        <v>15</v>
      </c>
      <c r="G41" s="13" t="s">
        <v>12</v>
      </c>
      <c r="H41" s="468" t="s">
        <v>239</v>
      </c>
      <c r="I41" s="500">
        <v>41437</v>
      </c>
      <c r="J41" s="499" t="s">
        <v>15</v>
      </c>
      <c r="K41" s="13" t="s">
        <v>12</v>
      </c>
      <c r="L41" s="468" t="s">
        <v>239</v>
      </c>
      <c r="M41" s="500">
        <v>41437</v>
      </c>
      <c r="N41" s="499" t="s">
        <v>15</v>
      </c>
      <c r="O41" s="13" t="s">
        <v>12</v>
      </c>
    </row>
    <row r="42" spans="2:15" ht="15">
      <c r="B42" s="99"/>
      <c r="C42" s="187"/>
      <c r="D42" s="508" t="s">
        <v>4</v>
      </c>
      <c r="E42" s="509" t="s">
        <v>5</v>
      </c>
      <c r="F42" s="509" t="s">
        <v>6</v>
      </c>
      <c r="G42" s="510" t="s">
        <v>7</v>
      </c>
      <c r="H42" s="508" t="s">
        <v>8</v>
      </c>
      <c r="I42" s="509" t="s">
        <v>9</v>
      </c>
      <c r="J42" s="509" t="s">
        <v>11</v>
      </c>
      <c r="K42" s="510" t="s">
        <v>13</v>
      </c>
      <c r="L42" s="528" t="s">
        <v>14</v>
      </c>
      <c r="M42" s="509" t="s">
        <v>240</v>
      </c>
      <c r="N42" s="509" t="s">
        <v>241</v>
      </c>
      <c r="O42" s="510" t="s">
        <v>242</v>
      </c>
    </row>
    <row r="43" spans="2:15" ht="13.5" thickBot="1">
      <c r="B43" s="105"/>
      <c r="C43" s="71"/>
      <c r="D43" s="105"/>
      <c r="E43" s="71"/>
      <c r="F43" s="71"/>
      <c r="G43" s="106"/>
      <c r="H43" s="105"/>
      <c r="I43" s="71"/>
      <c r="J43" s="71"/>
      <c r="K43" s="106"/>
      <c r="L43" s="71"/>
      <c r="M43" s="71"/>
      <c r="N43" s="71"/>
      <c r="O43" s="106"/>
    </row>
    <row r="44" spans="2:15" ht="15.75" thickBot="1">
      <c r="B44" s="95">
        <v>10</v>
      </c>
      <c r="C44" s="85" t="s">
        <v>19</v>
      </c>
      <c r="D44" s="424">
        <f>D8+D20+D32</f>
        <v>4423.4487733607712</v>
      </c>
      <c r="E44" s="604">
        <f>E8+E20+E32</f>
        <v>4478.9044682947724</v>
      </c>
      <c r="F44" s="425">
        <f>G44-E44</f>
        <v>0</v>
      </c>
      <c r="G44" s="426">
        <f>G8+G20+G32</f>
        <v>4478.9044682947724</v>
      </c>
      <c r="H44" s="604">
        <f>H8+H20+H32</f>
        <v>4701.8405867925994</v>
      </c>
      <c r="I44" s="604">
        <f>I8+I20+I32</f>
        <v>4762.957236530433</v>
      </c>
      <c r="J44" s="425">
        <f>K44-I44</f>
        <v>0</v>
      </c>
      <c r="K44" s="426">
        <f>K8+K20+K32</f>
        <v>4762.957236530433</v>
      </c>
      <c r="L44" s="604">
        <f>D44+H44</f>
        <v>9125.2893601533706</v>
      </c>
      <c r="M44" s="604">
        <f>E44+I44</f>
        <v>9241.8617048252054</v>
      </c>
      <c r="N44" s="425">
        <f>O44-M44</f>
        <v>0</v>
      </c>
      <c r="O44" s="426">
        <f>G44+K44</f>
        <v>9241.8617048252054</v>
      </c>
    </row>
    <row r="45" spans="2:15" ht="15.75" thickBot="1">
      <c r="B45" s="95"/>
      <c r="C45" s="85"/>
      <c r="D45" s="423"/>
      <c r="E45" s="421"/>
      <c r="F45" s="421"/>
      <c r="G45" s="422"/>
      <c r="H45" s="421"/>
      <c r="I45" s="421"/>
      <c r="J45" s="421"/>
      <c r="K45" s="422"/>
      <c r="L45" s="421"/>
      <c r="M45" s="421"/>
      <c r="N45" s="421"/>
      <c r="O45" s="422"/>
    </row>
    <row r="46" spans="2:15" ht="15.75" thickBot="1">
      <c r="B46" s="95">
        <v>11</v>
      </c>
      <c r="C46" s="86" t="s">
        <v>16</v>
      </c>
      <c r="D46" s="424">
        <f>D10+D22+D34</f>
        <v>74.233098987025983</v>
      </c>
      <c r="E46" s="604">
        <f>E10+E22+E34</f>
        <v>74.605243315829497</v>
      </c>
      <c r="F46" s="425">
        <f>G46-E46</f>
        <v>0</v>
      </c>
      <c r="G46" s="426">
        <f>G10+G22+G34</f>
        <v>74.605243315829497</v>
      </c>
      <c r="H46" s="604">
        <f>H10+H22+H34</f>
        <v>80.682885652682373</v>
      </c>
      <c r="I46" s="604">
        <f>I10+I22+I34</f>
        <v>79.554714155258324</v>
      </c>
      <c r="J46" s="425">
        <f>K46-I46</f>
        <v>0</v>
      </c>
      <c r="K46" s="426">
        <f>K10+K22+K34</f>
        <v>79.554714155258324</v>
      </c>
      <c r="L46" s="604">
        <f>D46+H46</f>
        <v>154.91598463970837</v>
      </c>
      <c r="M46" s="604">
        <f>E46+I46</f>
        <v>154.15995747108781</v>
      </c>
      <c r="N46" s="425">
        <f>O46-M46</f>
        <v>0</v>
      </c>
      <c r="O46" s="426">
        <f>G46+K46</f>
        <v>154.15995747108781</v>
      </c>
    </row>
    <row r="47" spans="2:15" ht="15.75" thickBot="1">
      <c r="B47" s="105"/>
      <c r="C47" s="71"/>
      <c r="D47" s="177"/>
      <c r="E47" s="132"/>
      <c r="F47" s="132"/>
      <c r="G47" s="172"/>
      <c r="H47" s="132"/>
      <c r="I47" s="132"/>
      <c r="J47" s="132"/>
      <c r="K47" s="172"/>
      <c r="L47" s="132"/>
      <c r="M47" s="132"/>
      <c r="N47" s="132"/>
      <c r="O47" s="172"/>
    </row>
    <row r="48" spans="2:15" ht="16.5" thickBot="1">
      <c r="B48" s="96">
        <v>12</v>
      </c>
      <c r="C48" s="186" t="s">
        <v>122</v>
      </c>
      <c r="D48" s="200" t="s">
        <v>17</v>
      </c>
      <c r="E48" s="603" t="s">
        <v>17</v>
      </c>
      <c r="F48" s="201" t="s">
        <v>17</v>
      </c>
      <c r="G48" s="202" t="s">
        <v>17</v>
      </c>
      <c r="H48" s="603" t="s">
        <v>17</v>
      </c>
      <c r="I48" s="603" t="s">
        <v>17</v>
      </c>
      <c r="J48" s="201" t="s">
        <v>17</v>
      </c>
      <c r="K48" s="202" t="s">
        <v>17</v>
      </c>
      <c r="L48" s="603" t="s">
        <v>17</v>
      </c>
      <c r="M48" s="603" t="s">
        <v>17</v>
      </c>
      <c r="N48" s="201" t="s">
        <v>17</v>
      </c>
      <c r="O48" s="202" t="s">
        <v>17</v>
      </c>
    </row>
    <row r="49" spans="2:13"/>
    <row r="50" spans="2:13">
      <c r="B50" s="191">
        <v>1</v>
      </c>
      <c r="C50" s="203" t="s">
        <v>194</v>
      </c>
      <c r="D50" s="203"/>
      <c r="M50" s="222"/>
    </row>
    <row r="51" spans="2:13">
      <c r="B51" s="191">
        <v>2</v>
      </c>
      <c r="C51" s="203" t="s">
        <v>193</v>
      </c>
      <c r="D51" s="203"/>
    </row>
    <row r="52" spans="2:13"/>
    <row r="53" spans="2:13" hidden="1"/>
  </sheetData>
  <sheetProtection password="9F78" sheet="1" objects="1" scenarios="1"/>
  <mergeCells count="17">
    <mergeCell ref="B1:G1"/>
    <mergeCell ref="D2:O2"/>
    <mergeCell ref="H27:K27"/>
    <mergeCell ref="L27:O27"/>
    <mergeCell ref="D38:O38"/>
    <mergeCell ref="D39:G39"/>
    <mergeCell ref="H39:K39"/>
    <mergeCell ref="L39:O39"/>
    <mergeCell ref="D3:G3"/>
    <mergeCell ref="H3:K3"/>
    <mergeCell ref="L3:O3"/>
    <mergeCell ref="D14:O14"/>
    <mergeCell ref="D15:G15"/>
    <mergeCell ref="H15:K15"/>
    <mergeCell ref="L15:O15"/>
    <mergeCell ref="D26:O26"/>
    <mergeCell ref="D27:G27"/>
  </mergeCells>
  <pageMargins left="1" right="1" top="1" bottom="1" header="0.5" footer="0.5"/>
  <pageSetup scale="42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zoomScale="75" zoomScaleNormal="75" workbookViewId="0"/>
  </sheetViews>
  <sheetFormatPr defaultColWidth="0" defaultRowHeight="12.75" zeroHeight="1"/>
  <cols>
    <col min="1" max="1" width="2.7109375" customWidth="1"/>
    <col min="2" max="2" width="9.140625" customWidth="1"/>
    <col min="3" max="3" width="72.42578125" customWidth="1"/>
    <col min="4" max="7" width="16.7109375" customWidth="1"/>
    <col min="8" max="8" width="8.7109375" customWidth="1"/>
    <col min="9" max="10" width="0" hidden="1" customWidth="1"/>
    <col min="11" max="16384" width="9.140625" hidden="1"/>
  </cols>
  <sheetData>
    <row r="1" spans="2:10" ht="18.75" thickBot="1">
      <c r="B1" s="642" t="s">
        <v>118</v>
      </c>
      <c r="C1" s="642"/>
      <c r="D1" s="642"/>
      <c r="E1" s="642"/>
      <c r="F1" s="642"/>
      <c r="G1" s="642"/>
    </row>
    <row r="2" spans="2:10" ht="15.75" customHeight="1" thickBot="1">
      <c r="B2" s="2"/>
      <c r="C2" s="2"/>
      <c r="D2" s="634" t="s">
        <v>62</v>
      </c>
      <c r="E2" s="635"/>
      <c r="F2" s="635"/>
      <c r="G2" s="636"/>
    </row>
    <row r="3" spans="2:10" ht="15.75">
      <c r="B3" s="221"/>
      <c r="C3" s="217"/>
      <c r="D3" s="637" t="s">
        <v>186</v>
      </c>
      <c r="E3" s="638"/>
      <c r="F3" s="639"/>
      <c r="G3" s="640"/>
    </row>
    <row r="4" spans="2:10" ht="15.75">
      <c r="B4" s="100" t="s">
        <v>2</v>
      </c>
      <c r="C4" s="441"/>
      <c r="D4" s="9" t="s">
        <v>238</v>
      </c>
      <c r="E4" s="159" t="s">
        <v>238</v>
      </c>
      <c r="F4" s="498" t="s">
        <v>21</v>
      </c>
      <c r="G4" s="11" t="s">
        <v>21</v>
      </c>
    </row>
    <row r="5" spans="2:10" ht="16.5" thickBot="1">
      <c r="B5" s="101" t="s">
        <v>3</v>
      </c>
      <c r="C5" s="442" t="s">
        <v>1</v>
      </c>
      <c r="D5" s="506" t="s">
        <v>239</v>
      </c>
      <c r="E5" s="526">
        <v>41437</v>
      </c>
      <c r="F5" s="498" t="s">
        <v>15</v>
      </c>
      <c r="G5" s="11" t="s">
        <v>12</v>
      </c>
    </row>
    <row r="6" spans="2:10" ht="15">
      <c r="B6" s="99"/>
      <c r="C6" s="187"/>
      <c r="D6" s="606" t="s">
        <v>4</v>
      </c>
      <c r="E6" s="509" t="s">
        <v>5</v>
      </c>
      <c r="F6" s="509" t="s">
        <v>6</v>
      </c>
      <c r="G6" s="510" t="s">
        <v>7</v>
      </c>
    </row>
    <row r="7" spans="2:10" ht="16.5" thickBot="1">
      <c r="B7" s="138" t="s">
        <v>139</v>
      </c>
      <c r="C7" s="85"/>
      <c r="D7" s="184"/>
      <c r="E7" s="116"/>
      <c r="F7" s="116"/>
      <c r="G7" s="183"/>
      <c r="H7" s="116"/>
      <c r="I7" s="116"/>
      <c r="J7" s="116"/>
    </row>
    <row r="8" spans="2:10" ht="15">
      <c r="B8" s="95">
        <v>1</v>
      </c>
      <c r="C8" s="85" t="s">
        <v>58</v>
      </c>
      <c r="D8" s="388">
        <f>12/'4. OEB_Adjustment_Input_Sheet'!H177*'4. OEB_Adjustment_Input_Sheet'!D177</f>
        <v>57.192539063413584</v>
      </c>
      <c r="E8" s="391">
        <f>12/'4. OEB_Adjustment_Input_Sheet'!I177*'4. OEB_Adjustment_Input_Sheet'!E177</f>
        <v>57.192539063413584</v>
      </c>
      <c r="F8" s="389">
        <f>G8-E8</f>
        <v>0</v>
      </c>
      <c r="G8" s="390">
        <f>12/'4. OEB_Adjustment_Input_Sheet'!K177*'4. OEB_Adjustment_Input_Sheet'!G177</f>
        <v>57.192539063413584</v>
      </c>
      <c r="H8" s="116"/>
      <c r="I8" s="116"/>
      <c r="J8" s="116"/>
    </row>
    <row r="9" spans="2:10" ht="15">
      <c r="B9" s="95">
        <v>2</v>
      </c>
      <c r="C9" s="85" t="s">
        <v>117</v>
      </c>
      <c r="D9" s="392">
        <f>12/'4. OEB_Adjustment_Input_Sheet'!H178*'4. OEB_Adjustment_Input_Sheet'!D178</f>
        <v>-2.3899999999999997</v>
      </c>
      <c r="E9" s="395">
        <f>12/'4. OEB_Adjustment_Input_Sheet'!I178*'4. OEB_Adjustment_Input_Sheet'!E178</f>
        <v>-2.3899999999999997</v>
      </c>
      <c r="F9" s="393">
        <f>G9-E9</f>
        <v>0</v>
      </c>
      <c r="G9" s="394">
        <f>12/'4. OEB_Adjustment_Input_Sheet'!K178*'4. OEB_Adjustment_Input_Sheet'!G178</f>
        <v>-2.3899999999999997</v>
      </c>
      <c r="H9" s="116"/>
      <c r="I9" s="116"/>
      <c r="J9" s="116"/>
    </row>
    <row r="10" spans="2:10" ht="15">
      <c r="B10" s="95">
        <v>3</v>
      </c>
      <c r="C10" s="85" t="s">
        <v>57</v>
      </c>
      <c r="D10" s="392">
        <f>12/'4. OEB_Adjustment_Input_Sheet'!H179*'4. OEB_Adjustment_Input_Sheet'!D179</f>
        <v>8.076448000000001</v>
      </c>
      <c r="E10" s="395">
        <f>12/'4. OEB_Adjustment_Input_Sheet'!I179*'4. OEB_Adjustment_Input_Sheet'!E179</f>
        <v>8.076448000000001</v>
      </c>
      <c r="F10" s="393">
        <f>G10-E10</f>
        <v>0</v>
      </c>
      <c r="G10" s="394">
        <f>12/'4. OEB_Adjustment_Input_Sheet'!K179*'4. OEB_Adjustment_Input_Sheet'!G179</f>
        <v>8.076448000000001</v>
      </c>
      <c r="H10" s="116"/>
      <c r="I10" s="116"/>
      <c r="J10" s="116"/>
    </row>
    <row r="11" spans="2:10" ht="16.5" thickBot="1">
      <c r="B11" s="170">
        <v>4</v>
      </c>
      <c r="C11" s="17" t="s">
        <v>0</v>
      </c>
      <c r="D11" s="418">
        <f>SUM(D8:D10)</f>
        <v>62.878987063413582</v>
      </c>
      <c r="E11" s="591">
        <f>SUM(E8:E10)</f>
        <v>62.878987063413582</v>
      </c>
      <c r="F11" s="592">
        <f>G11-E11</f>
        <v>0</v>
      </c>
      <c r="G11" s="419">
        <f>SUM(G8:G10)</f>
        <v>62.878987063413582</v>
      </c>
      <c r="H11" s="116"/>
      <c r="I11" s="116"/>
      <c r="J11" s="116"/>
    </row>
    <row r="12" spans="2:10" ht="15.75" thickBot="1">
      <c r="B12" s="105"/>
      <c r="C12" s="71"/>
      <c r="D12" s="423"/>
      <c r="E12" s="421"/>
      <c r="F12" s="421"/>
      <c r="G12" s="422"/>
      <c r="H12" s="116"/>
      <c r="I12" s="116"/>
      <c r="J12" s="116"/>
    </row>
    <row r="13" spans="2:10" ht="16.5" thickBot="1">
      <c r="B13" s="170">
        <v>5</v>
      </c>
      <c r="C13" s="15" t="s">
        <v>60</v>
      </c>
      <c r="D13" s="415">
        <f>'4. OEB_Adjustment_Input_Sheet'!H51</f>
        <v>20.224191497424044</v>
      </c>
      <c r="E13" s="590">
        <f>'4. OEB_Adjustment_Input_Sheet'!I51</f>
        <v>21.029</v>
      </c>
      <c r="F13" s="416">
        <f>G13-E13</f>
        <v>0</v>
      </c>
      <c r="G13" s="417">
        <f>'4. OEB_Adjustment_Input_Sheet'!K51</f>
        <v>21.029</v>
      </c>
      <c r="H13" s="116"/>
      <c r="I13" s="116"/>
      <c r="J13" s="116"/>
    </row>
    <row r="14" spans="2:10" ht="15.75" thickBot="1">
      <c r="B14" s="105"/>
      <c r="C14" s="71"/>
      <c r="D14" s="177"/>
      <c r="E14" s="132"/>
      <c r="F14" s="132"/>
      <c r="G14" s="172"/>
      <c r="H14" s="116"/>
      <c r="I14" s="116"/>
      <c r="J14" s="116"/>
    </row>
    <row r="15" spans="2:10" ht="16.5" thickBot="1">
      <c r="B15" s="185">
        <v>6</v>
      </c>
      <c r="C15" s="186" t="s">
        <v>207</v>
      </c>
      <c r="D15" s="152">
        <f>D11/D13</f>
        <v>3.1090976898345963</v>
      </c>
      <c r="E15" s="605">
        <f>E11/E13</f>
        <v>2.9901082820587561</v>
      </c>
      <c r="F15" s="151">
        <f>G15-E15</f>
        <v>0</v>
      </c>
      <c r="G15" s="153">
        <f>G11/G13</f>
        <v>2.9901082820587561</v>
      </c>
      <c r="H15" s="116"/>
      <c r="I15" s="116"/>
      <c r="J15" s="116"/>
    </row>
    <row r="16" spans="2:10" ht="15.75" thickBot="1">
      <c r="E16" s="132"/>
      <c r="F16" s="132"/>
      <c r="G16" s="132"/>
      <c r="H16" s="116"/>
      <c r="I16" s="116"/>
      <c r="J16" s="116"/>
    </row>
    <row r="17" spans="2:10" ht="15.75" customHeight="1" thickBot="1">
      <c r="B17" s="171"/>
      <c r="C17" s="2"/>
      <c r="D17" s="634" t="s">
        <v>23</v>
      </c>
      <c r="E17" s="635"/>
      <c r="F17" s="635"/>
      <c r="G17" s="636"/>
      <c r="H17" s="116"/>
      <c r="I17" s="116"/>
      <c r="J17" s="116"/>
    </row>
    <row r="18" spans="2:10" ht="15.75">
      <c r="B18" s="221"/>
      <c r="C18" s="217"/>
      <c r="D18" s="637" t="s">
        <v>186</v>
      </c>
      <c r="E18" s="638"/>
      <c r="F18" s="639"/>
      <c r="G18" s="640"/>
      <c r="H18" s="116"/>
      <c r="I18" s="116"/>
      <c r="J18" s="116"/>
    </row>
    <row r="19" spans="2:10" ht="15.75">
      <c r="B19" s="100" t="s">
        <v>2</v>
      </c>
      <c r="C19" s="441"/>
      <c r="D19" s="9" t="s">
        <v>238</v>
      </c>
      <c r="E19" s="159" t="s">
        <v>238</v>
      </c>
      <c r="F19" s="498" t="s">
        <v>21</v>
      </c>
      <c r="G19" s="11" t="s">
        <v>21</v>
      </c>
      <c r="H19" s="116"/>
      <c r="I19" s="116"/>
      <c r="J19" s="116"/>
    </row>
    <row r="20" spans="2:10" ht="16.5" thickBot="1">
      <c r="B20" s="101" t="s">
        <v>3</v>
      </c>
      <c r="C20" s="442" t="s">
        <v>1</v>
      </c>
      <c r="D20" s="506" t="s">
        <v>239</v>
      </c>
      <c r="E20" s="526">
        <v>41437</v>
      </c>
      <c r="F20" s="498" t="s">
        <v>15</v>
      </c>
      <c r="G20" s="11" t="s">
        <v>12</v>
      </c>
      <c r="H20" s="116"/>
      <c r="I20" s="116"/>
      <c r="J20" s="116"/>
    </row>
    <row r="21" spans="2:10" ht="15">
      <c r="B21" s="99"/>
      <c r="C21" s="187"/>
      <c r="D21" s="606" t="s">
        <v>4</v>
      </c>
      <c r="E21" s="509" t="s">
        <v>5</v>
      </c>
      <c r="F21" s="509" t="s">
        <v>6</v>
      </c>
      <c r="G21" s="510" t="s">
        <v>7</v>
      </c>
      <c r="H21" s="116"/>
      <c r="I21" s="116"/>
      <c r="J21" s="116"/>
    </row>
    <row r="22" spans="2:10" ht="16.5" thickBot="1">
      <c r="B22" s="138" t="s">
        <v>139</v>
      </c>
      <c r="C22" s="85"/>
      <c r="D22" s="529"/>
      <c r="E22" s="116"/>
      <c r="F22" s="116"/>
      <c r="G22" s="183"/>
      <c r="H22" s="116"/>
      <c r="I22" s="116"/>
      <c r="J22" s="116"/>
    </row>
    <row r="23" spans="2:10" ht="15">
      <c r="B23" s="95">
        <v>7</v>
      </c>
      <c r="C23" s="85" t="s">
        <v>58</v>
      </c>
      <c r="D23" s="388">
        <f>12/'4. OEB_Adjustment_Input_Sheet'!H183*'4. OEB_Adjustment_Input_Sheet'!D183</f>
        <v>3.6692019007492793</v>
      </c>
      <c r="E23" s="391">
        <f>12/'4. OEB_Adjustment_Input_Sheet'!I183*'4. OEB_Adjustment_Input_Sheet'!E183</f>
        <v>3.6692019007492793</v>
      </c>
      <c r="F23" s="389">
        <f>G23-E23</f>
        <v>0</v>
      </c>
      <c r="G23" s="390">
        <f>12/'4. OEB_Adjustment_Input_Sheet'!K183*'4. OEB_Adjustment_Input_Sheet'!G183</f>
        <v>3.6692019007492793</v>
      </c>
      <c r="H23" s="116"/>
      <c r="I23" s="116"/>
      <c r="J23" s="116"/>
    </row>
    <row r="24" spans="2:10" ht="15">
      <c r="B24" s="95">
        <v>8</v>
      </c>
      <c r="C24" s="85" t="s">
        <v>120</v>
      </c>
      <c r="D24" s="392">
        <f>12/'4. OEB_Adjustment_Input_Sheet'!H184*'4. OEB_Adjustment_Input_Sheet'!D184</f>
        <v>69.40056199</v>
      </c>
      <c r="E24" s="395">
        <f>12/'4. OEB_Adjustment_Input_Sheet'!I184*'4. OEB_Adjustment_Input_Sheet'!E184</f>
        <v>69.40056199</v>
      </c>
      <c r="F24" s="393">
        <f>G24-E24</f>
        <v>0</v>
      </c>
      <c r="G24" s="394">
        <f>12/'4. OEB_Adjustment_Input_Sheet'!K184*'4. OEB_Adjustment_Input_Sheet'!G184</f>
        <v>69.40056199</v>
      </c>
      <c r="H24" s="116"/>
      <c r="I24" s="116"/>
      <c r="J24" s="116"/>
    </row>
    <row r="25" spans="2:10" ht="16.5" thickBot="1">
      <c r="B25" s="170">
        <v>9</v>
      </c>
      <c r="C25" s="17" t="s">
        <v>0</v>
      </c>
      <c r="D25" s="418">
        <f>SUM(D23:D24)</f>
        <v>73.069763890749286</v>
      </c>
      <c r="E25" s="591">
        <f>SUM(E23:E24)</f>
        <v>73.069763890749286</v>
      </c>
      <c r="F25" s="592">
        <f>G25-E25</f>
        <v>0</v>
      </c>
      <c r="G25" s="419">
        <f>SUM(G23:G24)</f>
        <v>73.069763890749286</v>
      </c>
    </row>
    <row r="26" spans="2:10" ht="15.75" thickBot="1">
      <c r="B26" s="105"/>
      <c r="C26" s="71"/>
      <c r="D26" s="423"/>
      <c r="E26" s="421"/>
      <c r="F26" s="421"/>
      <c r="G26" s="422"/>
    </row>
    <row r="27" spans="2:10" ht="16.5" thickBot="1">
      <c r="B27" s="170">
        <v>10</v>
      </c>
      <c r="C27" s="15" t="s">
        <v>60</v>
      </c>
      <c r="D27" s="415">
        <f>'4. OEB_Adjustment_Input_Sheet'!H105</f>
        <v>47.999980000000008</v>
      </c>
      <c r="E27" s="590">
        <f>'4. OEB_Adjustment_Input_Sheet'!I105</f>
        <v>46.067</v>
      </c>
      <c r="F27" s="416">
        <f>G27-E27</f>
        <v>0</v>
      </c>
      <c r="G27" s="417">
        <f>'4. OEB_Adjustment_Input_Sheet'!K105</f>
        <v>46.067</v>
      </c>
    </row>
    <row r="28" spans="2:10" ht="15.75" thickBot="1">
      <c r="B28" s="105"/>
      <c r="C28" s="71"/>
      <c r="D28" s="177"/>
      <c r="E28" s="132"/>
      <c r="F28" s="132"/>
      <c r="G28" s="172"/>
    </row>
    <row r="29" spans="2:10" ht="16.5" thickBot="1">
      <c r="B29" s="185">
        <v>11</v>
      </c>
      <c r="C29" s="186" t="s">
        <v>208</v>
      </c>
      <c r="D29" s="152">
        <f>D25/D27</f>
        <v>1.5222873820103524</v>
      </c>
      <c r="E29" s="605">
        <f>E25/E27</f>
        <v>1.5861628473907414</v>
      </c>
      <c r="F29" s="151">
        <f>G29-E29</f>
        <v>0</v>
      </c>
      <c r="G29" s="153">
        <f>G25/G27</f>
        <v>1.5861628473907414</v>
      </c>
    </row>
    <row r="30" spans="2:10"/>
    <row r="31" spans="2:10" hidden="1"/>
  </sheetData>
  <sheetProtection password="9F78" sheet="1" objects="1" scenarios="1"/>
  <mergeCells count="5">
    <mergeCell ref="B1:G1"/>
    <mergeCell ref="D3:G3"/>
    <mergeCell ref="D2:G2"/>
    <mergeCell ref="D17:G17"/>
    <mergeCell ref="D18:G18"/>
  </mergeCells>
  <pageMargins left="1" right="1" top="1" bottom="1" header="0.5" footer="0.5"/>
  <pageSetup scale="76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76"/>
  <sheetViews>
    <sheetView showGridLines="0" zoomScale="75" zoomScaleNormal="75" workbookViewId="0"/>
  </sheetViews>
  <sheetFormatPr defaultColWidth="0" defaultRowHeight="12.75" customHeight="1" zeroHeight="1"/>
  <cols>
    <col min="1" max="1" width="2.7109375" customWidth="1"/>
    <col min="2" max="2" width="5.140625" customWidth="1"/>
    <col min="3" max="3" width="67.85546875" customWidth="1"/>
    <col min="4" max="4" width="20.7109375" customWidth="1"/>
    <col min="5" max="8" width="16.7109375" customWidth="1"/>
    <col min="9" max="9" width="8.7109375" customWidth="1"/>
    <col min="10" max="14" width="16" hidden="1" customWidth="1"/>
    <col min="15" max="15" width="9.140625" hidden="1" customWidth="1"/>
    <col min="16" max="17" width="0" hidden="1" customWidth="1"/>
  </cols>
  <sheetData>
    <row r="1" spans="2:14" ht="18.75" thickBot="1">
      <c r="B1" s="642" t="s">
        <v>149</v>
      </c>
      <c r="C1" s="642"/>
      <c r="D1" s="642"/>
      <c r="E1" s="642"/>
      <c r="F1" s="642"/>
      <c r="G1" s="642"/>
      <c r="H1" s="642"/>
      <c r="I1" s="642"/>
      <c r="J1" s="642"/>
      <c r="K1" s="642"/>
    </row>
    <row r="2" spans="2:14" ht="18.75" thickBot="1">
      <c r="B2" s="192"/>
      <c r="E2" s="656" t="s">
        <v>140</v>
      </c>
      <c r="F2" s="657"/>
      <c r="G2" s="657"/>
      <c r="H2" s="658"/>
      <c r="I2" s="218"/>
      <c r="J2" s="218"/>
    </row>
    <row r="3" spans="2:14" ht="16.5" thickBot="1">
      <c r="B3" s="2"/>
      <c r="C3" s="189"/>
      <c r="E3" s="650" t="s">
        <v>236</v>
      </c>
      <c r="F3" s="651"/>
      <c r="G3" s="651"/>
      <c r="H3" s="652"/>
      <c r="I3" s="218"/>
      <c r="L3" s="216"/>
    </row>
    <row r="4" spans="2:14" ht="15.75">
      <c r="B4" s="221"/>
      <c r="C4" s="217"/>
      <c r="D4" s="217"/>
      <c r="E4" s="653" t="s">
        <v>151</v>
      </c>
      <c r="F4" s="654"/>
      <c r="G4" s="654"/>
      <c r="H4" s="655"/>
      <c r="I4" s="220"/>
      <c r="J4" s="220"/>
      <c r="K4" s="216"/>
    </row>
    <row r="5" spans="2:14" ht="15.75">
      <c r="B5" s="100" t="s">
        <v>2</v>
      </c>
      <c r="C5" s="441"/>
      <c r="D5" s="464"/>
      <c r="E5" s="9" t="s">
        <v>238</v>
      </c>
      <c r="F5" s="10" t="s">
        <v>238</v>
      </c>
      <c r="G5" s="498" t="s">
        <v>21</v>
      </c>
      <c r="H5" s="11" t="s">
        <v>21</v>
      </c>
      <c r="I5" s="219"/>
      <c r="J5" s="133"/>
      <c r="K5" s="133"/>
      <c r="L5" s="133"/>
      <c r="M5" s="133"/>
    </row>
    <row r="6" spans="2:14" ht="16.5" thickBot="1">
      <c r="B6" s="101" t="s">
        <v>3</v>
      </c>
      <c r="C6" s="442" t="s">
        <v>1</v>
      </c>
      <c r="D6" s="465"/>
      <c r="E6" s="506" t="s">
        <v>239</v>
      </c>
      <c r="F6" s="526">
        <v>41437</v>
      </c>
      <c r="G6" s="498" t="s">
        <v>15</v>
      </c>
      <c r="H6" s="11" t="s">
        <v>12</v>
      </c>
      <c r="I6" s="219"/>
      <c r="J6" s="133"/>
      <c r="K6" s="133"/>
      <c r="L6" s="133"/>
      <c r="M6" s="133"/>
    </row>
    <row r="7" spans="2:14" ht="15">
      <c r="B7" s="105"/>
      <c r="C7" s="71"/>
      <c r="D7" s="71"/>
      <c r="E7" s="606" t="s">
        <v>4</v>
      </c>
      <c r="F7" s="509" t="s">
        <v>5</v>
      </c>
      <c r="G7" s="509" t="s">
        <v>6</v>
      </c>
      <c r="H7" s="510" t="s">
        <v>7</v>
      </c>
      <c r="I7" s="91"/>
      <c r="J7" s="133"/>
      <c r="K7" s="133"/>
      <c r="L7" s="133"/>
      <c r="M7" s="133"/>
    </row>
    <row r="8" spans="2:14" ht="16.5" thickBot="1">
      <c r="B8" s="14" t="s">
        <v>161</v>
      </c>
      <c r="C8" s="71"/>
      <c r="D8" s="71"/>
      <c r="E8" s="107"/>
      <c r="F8" s="102"/>
      <c r="G8" s="102"/>
      <c r="H8" s="103"/>
      <c r="I8" s="116"/>
      <c r="J8" s="133"/>
      <c r="K8" s="133"/>
      <c r="L8" s="133"/>
      <c r="M8" s="133"/>
    </row>
    <row r="9" spans="2:14" ht="18">
      <c r="B9" s="95">
        <v>1</v>
      </c>
      <c r="C9" s="85" t="s">
        <v>215</v>
      </c>
      <c r="D9" s="71"/>
      <c r="E9" s="427">
        <v>842.27024390243889</v>
      </c>
      <c r="F9" s="586">
        <v>842.27024390243889</v>
      </c>
      <c r="G9" s="428" t="s">
        <v>17</v>
      </c>
      <c r="H9" s="429">
        <f>F9</f>
        <v>842.27024390243889</v>
      </c>
      <c r="I9" s="168"/>
      <c r="K9" s="133"/>
      <c r="L9" s="133"/>
      <c r="M9" s="133"/>
    </row>
    <row r="10" spans="2:14" ht="15">
      <c r="B10" s="95">
        <v>2</v>
      </c>
      <c r="C10" s="85" t="s">
        <v>16</v>
      </c>
      <c r="D10" s="71"/>
      <c r="E10" s="430">
        <f>'8. Revenue_Def_Suff'!L36</f>
        <v>136.98202716862053</v>
      </c>
      <c r="F10" s="540">
        <f>'8. Revenue_Def_Suff'!M36</f>
        <v>136.226</v>
      </c>
      <c r="G10" s="431">
        <f>H10-F10</f>
        <v>0</v>
      </c>
      <c r="H10" s="306">
        <f>'8. Revenue_Def_Suff'!O36</f>
        <v>136.226</v>
      </c>
      <c r="I10" s="133"/>
      <c r="J10" s="133"/>
      <c r="K10" s="133"/>
      <c r="L10" s="133"/>
      <c r="M10" s="133"/>
    </row>
    <row r="11" spans="2:14" ht="18">
      <c r="B11" s="95">
        <v>3</v>
      </c>
      <c r="C11" s="85" t="s">
        <v>216</v>
      </c>
      <c r="D11" s="71"/>
      <c r="E11" s="430">
        <v>282.39999999999998</v>
      </c>
      <c r="F11" s="540">
        <v>282.39999999999998</v>
      </c>
      <c r="G11" s="432" t="s">
        <v>17</v>
      </c>
      <c r="H11" s="306">
        <f>F11</f>
        <v>282.39999999999998</v>
      </c>
      <c r="I11" s="133"/>
      <c r="J11" s="133"/>
      <c r="K11" s="133"/>
      <c r="M11" s="133"/>
    </row>
    <row r="12" spans="2:14" ht="15">
      <c r="B12" s="95">
        <v>4</v>
      </c>
      <c r="C12" s="85" t="s">
        <v>203</v>
      </c>
      <c r="D12" s="71"/>
      <c r="E12" s="135">
        <f>E10/E11</f>
        <v>0.48506383558293392</v>
      </c>
      <c r="F12" s="585">
        <f>F10/F11</f>
        <v>0.48238668555240799</v>
      </c>
      <c r="G12" s="136">
        <f>H12-F12</f>
        <v>0</v>
      </c>
      <c r="H12" s="137">
        <f>H10/H11</f>
        <v>0.48238668555240799</v>
      </c>
      <c r="I12" s="163"/>
      <c r="J12" s="133"/>
      <c r="K12" s="133"/>
      <c r="L12" s="133"/>
      <c r="M12" s="133"/>
      <c r="N12" s="1"/>
    </row>
    <row r="13" spans="2:14" ht="15">
      <c r="B13" s="95">
        <v>5</v>
      </c>
      <c r="C13" s="85" t="s">
        <v>204</v>
      </c>
      <c r="D13" s="71"/>
      <c r="E13" s="430">
        <f>E9*E12</f>
        <v>408.55483510469026</v>
      </c>
      <c r="F13" s="540">
        <f>F9*F12</f>
        <v>406.29995129551577</v>
      </c>
      <c r="G13" s="431">
        <f>H13-F13</f>
        <v>0</v>
      </c>
      <c r="H13" s="306">
        <f>H9*H12</f>
        <v>406.29995129551577</v>
      </c>
      <c r="I13" s="133"/>
      <c r="J13" s="133"/>
      <c r="K13" s="133"/>
      <c r="L13" s="133"/>
      <c r="M13" s="133"/>
    </row>
    <row r="14" spans="2:14" ht="19.5" thickBot="1">
      <c r="B14" s="95">
        <v>6</v>
      </c>
      <c r="C14" s="17" t="s">
        <v>233</v>
      </c>
      <c r="D14" s="71"/>
      <c r="E14" s="123">
        <v>118.69</v>
      </c>
      <c r="F14" s="608">
        <v>118.69</v>
      </c>
      <c r="G14" s="173" t="s">
        <v>17</v>
      </c>
      <c r="H14" s="124">
        <f>F14</f>
        <v>118.69</v>
      </c>
      <c r="I14" s="168"/>
      <c r="J14" s="133"/>
      <c r="K14" s="133"/>
      <c r="L14" s="133"/>
      <c r="M14" s="133"/>
    </row>
    <row r="15" spans="2:14" ht="15">
      <c r="B15" s="95"/>
      <c r="C15" s="85"/>
      <c r="D15" s="71"/>
      <c r="E15" s="194"/>
      <c r="F15" s="133"/>
      <c r="G15" s="168"/>
      <c r="H15" s="134"/>
      <c r="I15" s="168"/>
      <c r="J15" s="133"/>
      <c r="K15" s="133"/>
      <c r="L15" s="133"/>
      <c r="M15" s="133"/>
    </row>
    <row r="16" spans="2:14" ht="16.5" thickBot="1">
      <c r="B16" s="14" t="s">
        <v>142</v>
      </c>
      <c r="C16" s="85"/>
      <c r="D16" s="71"/>
      <c r="E16" s="194"/>
      <c r="F16" s="133"/>
      <c r="G16" s="168"/>
      <c r="H16" s="134"/>
      <c r="I16" s="168"/>
      <c r="J16" s="133"/>
      <c r="K16" s="133"/>
      <c r="L16" s="133"/>
      <c r="M16" s="133"/>
    </row>
    <row r="17" spans="2:14" ht="15">
      <c r="B17" s="95">
        <v>7</v>
      </c>
      <c r="C17" s="85" t="s">
        <v>198</v>
      </c>
      <c r="D17" s="71"/>
      <c r="E17" s="154">
        <f>E52</f>
        <v>52.350011981488365</v>
      </c>
      <c r="F17" s="609">
        <f>F52</f>
        <v>52.064715693039517</v>
      </c>
      <c r="G17" s="198">
        <f>H17-F17</f>
        <v>0</v>
      </c>
      <c r="H17" s="155">
        <f>H52</f>
        <v>52.064715693039517</v>
      </c>
      <c r="I17" s="168"/>
      <c r="J17" s="133"/>
      <c r="K17" s="133"/>
      <c r="L17" s="133"/>
      <c r="M17" s="133"/>
    </row>
    <row r="18" spans="2:14" ht="15.75" thickBot="1">
      <c r="B18" s="95">
        <v>8</v>
      </c>
      <c r="C18" s="85" t="s">
        <v>199</v>
      </c>
      <c r="D18" s="71"/>
      <c r="E18" s="195">
        <f>E86</f>
        <v>63.243214141247698</v>
      </c>
      <c r="F18" s="610">
        <f>F86</f>
        <v>64.378368894181108</v>
      </c>
      <c r="G18" s="197">
        <f>H18-F18</f>
        <v>0</v>
      </c>
      <c r="H18" s="196">
        <f>H86</f>
        <v>64.378368894181108</v>
      </c>
      <c r="I18" s="223"/>
      <c r="J18" s="133"/>
      <c r="K18" s="133"/>
      <c r="L18" s="133"/>
      <c r="M18" s="133"/>
      <c r="N18" s="168"/>
    </row>
    <row r="19" spans="2:14" ht="15">
      <c r="B19" s="95"/>
      <c r="C19" s="85"/>
      <c r="D19" s="71"/>
      <c r="E19" s="194"/>
      <c r="F19" s="133"/>
      <c r="G19" s="168"/>
      <c r="H19" s="134"/>
      <c r="I19" s="223"/>
      <c r="J19" s="133"/>
      <c r="K19" s="133"/>
      <c r="L19" s="133"/>
      <c r="M19" s="133"/>
      <c r="N19" s="168"/>
    </row>
    <row r="20" spans="2:14" ht="16.5" thickBot="1">
      <c r="B20" s="14" t="s">
        <v>73</v>
      </c>
      <c r="C20" s="85"/>
      <c r="D20" s="71"/>
      <c r="E20" s="194"/>
      <c r="F20" s="133"/>
      <c r="G20" s="168"/>
      <c r="H20" s="134"/>
      <c r="I20" s="223"/>
      <c r="J20" s="133"/>
      <c r="K20" s="133"/>
      <c r="L20" s="133"/>
      <c r="M20" s="133"/>
      <c r="N20" s="168"/>
    </row>
    <row r="21" spans="2:14" ht="18.75">
      <c r="B21" s="95">
        <v>9</v>
      </c>
      <c r="C21" s="17" t="s">
        <v>234</v>
      </c>
      <c r="D21" s="71"/>
      <c r="E21" s="240">
        <f>E13*(E18-E17)/1000</f>
        <v>4.45047041214253</v>
      </c>
      <c r="F21" s="611">
        <f>F13*(F18-F17)/1000</f>
        <v>5.0030366958936998</v>
      </c>
      <c r="G21" s="241">
        <f>H21-F21</f>
        <v>0</v>
      </c>
      <c r="H21" s="242">
        <f>H13*(H18-H17)/1000</f>
        <v>5.0030366958936998</v>
      </c>
      <c r="I21" s="224"/>
      <c r="J21" s="133"/>
      <c r="K21" s="133"/>
      <c r="L21" s="133"/>
      <c r="M21" s="133"/>
    </row>
    <row r="22" spans="2:14" ht="16.5" thickBot="1">
      <c r="B22" s="96">
        <v>10</v>
      </c>
      <c r="C22" s="108" t="s">
        <v>205</v>
      </c>
      <c r="D22" s="247"/>
      <c r="E22" s="433">
        <f>E21/E14</f>
        <v>3.7496591222028225E-2</v>
      </c>
      <c r="F22" s="607">
        <f>F21/F14</f>
        <v>4.2152133253801502E-2</v>
      </c>
      <c r="G22" s="434">
        <f>H22-F22</f>
        <v>0</v>
      </c>
      <c r="H22" s="435">
        <f>H21/H14</f>
        <v>4.2152133253801502E-2</v>
      </c>
      <c r="I22" s="225"/>
      <c r="J22" s="133"/>
      <c r="K22" s="133"/>
      <c r="L22" s="133"/>
      <c r="M22" s="133"/>
    </row>
    <row r="23" spans="2:14" ht="18.75" thickBot="1">
      <c r="B23" s="440"/>
      <c r="C23" s="440"/>
      <c r="D23" s="440"/>
      <c r="E23" s="463"/>
      <c r="F23" s="226"/>
      <c r="G23" s="440"/>
      <c r="H23" s="440"/>
      <c r="I23" s="440"/>
      <c r="J23" s="440"/>
      <c r="K23" s="440"/>
    </row>
    <row r="24" spans="2:14" ht="16.5" thickBot="1">
      <c r="B24" s="191"/>
      <c r="C24" s="203"/>
      <c r="E24" s="656" t="s">
        <v>175</v>
      </c>
      <c r="F24" s="657"/>
      <c r="G24" s="657"/>
      <c r="H24" s="658"/>
    </row>
    <row r="25" spans="2:14" ht="15.75" customHeight="1" thickBot="1">
      <c r="B25" s="2"/>
      <c r="C25" s="2"/>
      <c r="E25" s="650" t="s">
        <v>173</v>
      </c>
      <c r="F25" s="651"/>
      <c r="G25" s="651"/>
      <c r="H25" s="652"/>
    </row>
    <row r="26" spans="2:14" ht="15.75" customHeight="1">
      <c r="B26" s="221"/>
      <c r="C26" s="644" t="s">
        <v>1</v>
      </c>
      <c r="D26" s="645"/>
      <c r="E26" s="653" t="s">
        <v>151</v>
      </c>
      <c r="F26" s="654"/>
      <c r="G26" s="654"/>
      <c r="H26" s="655"/>
    </row>
    <row r="27" spans="2:14" ht="15.75">
      <c r="B27" s="100" t="s">
        <v>2</v>
      </c>
      <c r="C27" s="646"/>
      <c r="D27" s="647"/>
      <c r="E27" s="9" t="s">
        <v>238</v>
      </c>
      <c r="F27" s="10" t="s">
        <v>238</v>
      </c>
      <c r="G27" s="498" t="s">
        <v>21</v>
      </c>
      <c r="H27" s="11" t="s">
        <v>21</v>
      </c>
    </row>
    <row r="28" spans="2:14" ht="16.5" thickBot="1">
      <c r="B28" s="101" t="s">
        <v>3</v>
      </c>
      <c r="C28" s="648"/>
      <c r="D28" s="649"/>
      <c r="E28" s="506" t="s">
        <v>239</v>
      </c>
      <c r="F28" s="526">
        <v>41437</v>
      </c>
      <c r="G28" s="498" t="s">
        <v>15</v>
      </c>
      <c r="H28" s="11" t="s">
        <v>12</v>
      </c>
    </row>
    <row r="29" spans="2:14" ht="15">
      <c r="B29" s="90"/>
      <c r="C29" s="71"/>
      <c r="D29" s="71"/>
      <c r="E29" s="606" t="s">
        <v>4</v>
      </c>
      <c r="F29" s="509" t="s">
        <v>5</v>
      </c>
      <c r="G29" s="509" t="s">
        <v>6</v>
      </c>
      <c r="H29" s="510" t="s">
        <v>7</v>
      </c>
    </row>
    <row r="30" spans="2:14" ht="16.5" thickBot="1">
      <c r="B30" s="14" t="s">
        <v>143</v>
      </c>
      <c r="C30" s="116"/>
      <c r="D30" s="71"/>
      <c r="E30" s="105"/>
      <c r="F30" s="71"/>
      <c r="G30" s="203"/>
      <c r="H30" s="246"/>
    </row>
    <row r="31" spans="2:14" ht="15">
      <c r="B31" s="170">
        <v>11</v>
      </c>
      <c r="C31" s="86" t="s">
        <v>83</v>
      </c>
      <c r="D31" s="71"/>
      <c r="E31" s="144">
        <f>'8. Revenue_Def_Suff'!D9</f>
        <v>35.78</v>
      </c>
      <c r="F31" s="613">
        <f>'8. Revenue_Def_Suff'!E9</f>
        <v>35.78</v>
      </c>
      <c r="G31" s="167" t="s">
        <v>17</v>
      </c>
      <c r="H31" s="145">
        <f>F31</f>
        <v>35.78</v>
      </c>
    </row>
    <row r="32" spans="2:14" ht="15.75" thickBot="1">
      <c r="B32" s="170">
        <v>12</v>
      </c>
      <c r="C32" s="86" t="s">
        <v>84</v>
      </c>
      <c r="D32" s="71"/>
      <c r="E32" s="130">
        <f>'8. Revenue_Def_Suff'!D23</f>
        <v>51.52</v>
      </c>
      <c r="F32" s="614">
        <f>'8. Revenue_Def_Suff'!E23</f>
        <v>51.52</v>
      </c>
      <c r="G32" s="173" t="s">
        <v>17</v>
      </c>
      <c r="H32" s="131">
        <f>F32</f>
        <v>51.52</v>
      </c>
    </row>
    <row r="33" spans="2:11" ht="15">
      <c r="B33" s="170"/>
      <c r="C33" s="86"/>
      <c r="D33" s="71"/>
      <c r="E33" s="127"/>
      <c r="F33" s="112"/>
      <c r="G33" s="112"/>
      <c r="H33" s="128"/>
    </row>
    <row r="34" spans="2:11" ht="16.5" thickBot="1">
      <c r="B34" s="14" t="s">
        <v>144</v>
      </c>
      <c r="C34" s="116"/>
      <c r="D34" s="71"/>
      <c r="E34" s="127"/>
      <c r="F34" s="112"/>
      <c r="G34" s="112"/>
      <c r="H34" s="128"/>
    </row>
    <row r="35" spans="2:11" ht="15">
      <c r="B35" s="170">
        <v>13</v>
      </c>
      <c r="C35" s="86" t="s">
        <v>83</v>
      </c>
      <c r="D35" s="71"/>
      <c r="E35" s="144">
        <v>3.04</v>
      </c>
      <c r="F35" s="613">
        <v>3.04</v>
      </c>
      <c r="G35" s="167" t="s">
        <v>17</v>
      </c>
      <c r="H35" s="145">
        <f>F35</f>
        <v>3.04</v>
      </c>
      <c r="K35" s="116"/>
    </row>
    <row r="36" spans="2:11" ht="15.75" thickBot="1">
      <c r="B36" s="170">
        <v>14</v>
      </c>
      <c r="C36" s="86" t="s">
        <v>84</v>
      </c>
      <c r="D36" s="71"/>
      <c r="E36" s="130">
        <v>6.27</v>
      </c>
      <c r="F36" s="614">
        <v>6.27</v>
      </c>
      <c r="G36" s="173" t="s">
        <v>17</v>
      </c>
      <c r="H36" s="131">
        <f>F36</f>
        <v>6.27</v>
      </c>
      <c r="K36" s="116"/>
    </row>
    <row r="37" spans="2:11" ht="15" customHeight="1">
      <c r="B37" s="170"/>
      <c r="C37" s="71"/>
      <c r="D37" s="71"/>
      <c r="E37" s="127"/>
      <c r="F37" s="112"/>
      <c r="G37" s="112"/>
      <c r="H37" s="128"/>
      <c r="K37" s="116"/>
    </row>
    <row r="38" spans="2:11" ht="16.5" thickBot="1">
      <c r="B38" s="14" t="s">
        <v>145</v>
      </c>
      <c r="C38" s="116"/>
      <c r="D38" s="71"/>
      <c r="E38" s="127"/>
      <c r="F38" s="112"/>
      <c r="G38" s="112"/>
      <c r="H38" s="128"/>
      <c r="K38" s="116"/>
    </row>
    <row r="39" spans="2:11" ht="15" customHeight="1">
      <c r="B39" s="170">
        <v>15</v>
      </c>
      <c r="C39" s="86" t="s">
        <v>83</v>
      </c>
      <c r="D39" s="71"/>
      <c r="E39" s="144">
        <f>E31+E35</f>
        <v>38.82</v>
      </c>
      <c r="F39" s="613">
        <f>F31+F35</f>
        <v>38.82</v>
      </c>
      <c r="G39" s="167" t="s">
        <v>17</v>
      </c>
      <c r="H39" s="145">
        <f>F39</f>
        <v>38.82</v>
      </c>
      <c r="K39" s="116"/>
    </row>
    <row r="40" spans="2:11" ht="15.75" thickBot="1">
      <c r="B40" s="170">
        <v>16</v>
      </c>
      <c r="C40" s="86" t="s">
        <v>84</v>
      </c>
      <c r="D40" s="71"/>
      <c r="E40" s="130">
        <f>E32+E36</f>
        <v>57.790000000000006</v>
      </c>
      <c r="F40" s="614">
        <f>F32+F36</f>
        <v>57.790000000000006</v>
      </c>
      <c r="G40" s="173" t="s">
        <v>17</v>
      </c>
      <c r="H40" s="131">
        <f>F40</f>
        <v>57.790000000000006</v>
      </c>
      <c r="K40" s="116"/>
    </row>
    <row r="41" spans="2:11" ht="15" customHeight="1">
      <c r="B41" s="170"/>
      <c r="C41" s="86"/>
      <c r="D41" s="71"/>
      <c r="E41" s="127"/>
      <c r="F41" s="112"/>
      <c r="G41" s="112"/>
      <c r="H41" s="128"/>
      <c r="K41" s="116"/>
    </row>
    <row r="42" spans="2:11" ht="16.5" thickBot="1">
      <c r="B42" s="14" t="s">
        <v>195</v>
      </c>
      <c r="C42" s="86"/>
      <c r="D42" s="71"/>
      <c r="E42" s="127"/>
      <c r="F42" s="112"/>
      <c r="G42" s="112"/>
      <c r="H42" s="128"/>
      <c r="K42" s="116"/>
    </row>
    <row r="43" spans="2:11" ht="15" customHeight="1">
      <c r="B43" s="170">
        <v>17</v>
      </c>
      <c r="C43" s="86" t="s">
        <v>83</v>
      </c>
      <c r="D43" s="71"/>
      <c r="E43" s="299">
        <f>'4. OEB_Adjustment_Input_Sheet'!L51</f>
        <v>39.282055168620531</v>
      </c>
      <c r="F43" s="377">
        <f>'4. OEB_Adjustment_Input_Sheet'!M51</f>
        <v>41.114000000000004</v>
      </c>
      <c r="G43" s="321">
        <f>H43-F43</f>
        <v>0</v>
      </c>
      <c r="H43" s="300">
        <f>'4. OEB_Adjustment_Input_Sheet'!O51</f>
        <v>41.114000000000004</v>
      </c>
      <c r="K43" s="116"/>
    </row>
    <row r="44" spans="2:11" ht="15">
      <c r="B44" s="170">
        <v>18</v>
      </c>
      <c r="C44" s="86" t="s">
        <v>84</v>
      </c>
      <c r="D44" s="71"/>
      <c r="E44" s="305">
        <f>'4. OEB_Adjustment_Input_Sheet'!L105</f>
        <v>97.699972000000002</v>
      </c>
      <c r="F44" s="400">
        <f>'4. OEB_Adjustment_Input_Sheet'!M105</f>
        <v>95.111999999999995</v>
      </c>
      <c r="G44" s="319">
        <f>H44-F44</f>
        <v>0</v>
      </c>
      <c r="H44" s="309">
        <f>'4. OEB_Adjustment_Input_Sheet'!O105</f>
        <v>95.111999999999995</v>
      </c>
      <c r="K44" s="116"/>
    </row>
    <row r="45" spans="2:11" ht="16.5" thickBot="1">
      <c r="B45" s="170">
        <v>19</v>
      </c>
      <c r="C45" s="15" t="s">
        <v>0</v>
      </c>
      <c r="D45" s="71"/>
      <c r="E45" s="511">
        <f>SUM(E43:E44)</f>
        <v>136.98202716862053</v>
      </c>
      <c r="F45" s="538">
        <f>SUM(F43:F44)</f>
        <v>136.226</v>
      </c>
      <c r="G45" s="567">
        <f>H45-F45</f>
        <v>0</v>
      </c>
      <c r="H45" s="569">
        <f>SUM(H43:H44)</f>
        <v>136.226</v>
      </c>
      <c r="K45" s="116"/>
    </row>
    <row r="46" spans="2:11" ht="15">
      <c r="B46" s="105"/>
      <c r="C46" s="71"/>
      <c r="D46" s="71"/>
      <c r="E46" s="127"/>
      <c r="F46" s="112"/>
      <c r="G46" s="112"/>
      <c r="H46" s="128"/>
      <c r="K46" s="116"/>
    </row>
    <row r="47" spans="2:11" ht="16.5" thickBot="1">
      <c r="B47" s="14" t="s">
        <v>146</v>
      </c>
      <c r="C47" s="71"/>
      <c r="D47" s="71"/>
      <c r="E47" s="127"/>
      <c r="F47" s="112"/>
      <c r="G47" s="112"/>
      <c r="H47" s="128"/>
      <c r="K47" s="116"/>
    </row>
    <row r="48" spans="2:11" ht="15">
      <c r="B48" s="170">
        <v>20</v>
      </c>
      <c r="C48" s="86" t="s">
        <v>83</v>
      </c>
      <c r="D48" s="71"/>
      <c r="E48" s="144">
        <f>E39*(E43)/(E45)</f>
        <v>11.132331833348539</v>
      </c>
      <c r="F48" s="613">
        <f>F39*(F43)/(F45)</f>
        <v>11.716159029847461</v>
      </c>
      <c r="G48" s="146">
        <f>H48-F48</f>
        <v>0</v>
      </c>
      <c r="H48" s="145">
        <f>H39*(H43)/(H45)</f>
        <v>11.716159029847461</v>
      </c>
      <c r="K48" s="116"/>
    </row>
    <row r="49" spans="2:11" ht="15">
      <c r="B49" s="170">
        <v>21</v>
      </c>
      <c r="C49" s="86" t="s">
        <v>84</v>
      </c>
      <c r="D49" s="71"/>
      <c r="E49" s="120">
        <f>E40*(E44)/(E45)</f>
        <v>41.217680148139827</v>
      </c>
      <c r="F49" s="612">
        <f>F40*(F44)/(F45)</f>
        <v>40.348556663192056</v>
      </c>
      <c r="G49" s="122">
        <f>H49-F49</f>
        <v>0</v>
      </c>
      <c r="H49" s="121">
        <f>H40*(H44)/(H45)</f>
        <v>40.348556663192056</v>
      </c>
      <c r="K49" s="116"/>
    </row>
    <row r="50" spans="2:11" ht="16.5" thickBot="1">
      <c r="B50" s="170">
        <v>22</v>
      </c>
      <c r="C50" s="15" t="s">
        <v>206</v>
      </c>
      <c r="D50" s="71"/>
      <c r="E50" s="619">
        <f>SUM(E48:E49)</f>
        <v>52.350011981488365</v>
      </c>
      <c r="F50" s="616">
        <f>SUM(F48:F49)</f>
        <v>52.064715693039517</v>
      </c>
      <c r="G50" s="617">
        <f>H50-F50</f>
        <v>0</v>
      </c>
      <c r="H50" s="618">
        <f>SUM(H48:H49)</f>
        <v>52.064715693039517</v>
      </c>
      <c r="K50" s="116"/>
    </row>
    <row r="51" spans="2:11" ht="16.5" thickBot="1">
      <c r="B51" s="170"/>
      <c r="C51" s="15"/>
      <c r="D51" s="71"/>
      <c r="E51" s="127"/>
      <c r="F51" s="112"/>
      <c r="G51" s="112"/>
      <c r="H51" s="128"/>
      <c r="K51" s="116"/>
    </row>
    <row r="52" spans="2:11" ht="16.5" thickBot="1">
      <c r="B52" s="185">
        <v>23</v>
      </c>
      <c r="C52" s="186" t="s">
        <v>164</v>
      </c>
      <c r="D52" s="247"/>
      <c r="E52" s="147">
        <f>E50</f>
        <v>52.350011981488365</v>
      </c>
      <c r="F52" s="615">
        <f>F50</f>
        <v>52.064715693039517</v>
      </c>
      <c r="G52" s="149">
        <f>H52-F52</f>
        <v>0</v>
      </c>
      <c r="H52" s="148">
        <f>H50</f>
        <v>52.064715693039517</v>
      </c>
    </row>
    <row r="53" spans="2:11" ht="16.5" thickBot="1">
      <c r="B53" s="91"/>
      <c r="C53" s="15"/>
      <c r="F53" s="214"/>
      <c r="G53" s="203"/>
      <c r="H53" s="244"/>
    </row>
    <row r="54" spans="2:11" ht="16.5" thickBot="1">
      <c r="B54" s="91"/>
      <c r="C54" s="15"/>
      <c r="E54" s="656" t="s">
        <v>178</v>
      </c>
      <c r="F54" s="657"/>
      <c r="G54" s="657"/>
      <c r="H54" s="658"/>
    </row>
    <row r="55" spans="2:11" ht="15.75" thickBot="1">
      <c r="B55" s="191"/>
      <c r="C55" s="203"/>
      <c r="E55" s="650" t="s">
        <v>174</v>
      </c>
      <c r="F55" s="651"/>
      <c r="G55" s="651"/>
      <c r="H55" s="652"/>
    </row>
    <row r="56" spans="2:11" ht="15.75" customHeight="1">
      <c r="B56" s="221"/>
      <c r="C56" s="644" t="s">
        <v>1</v>
      </c>
      <c r="D56" s="645"/>
      <c r="E56" s="653" t="s">
        <v>151</v>
      </c>
      <c r="F56" s="654"/>
      <c r="G56" s="654"/>
      <c r="H56" s="655"/>
    </row>
    <row r="57" spans="2:11" ht="15.75">
      <c r="B57" s="100" t="s">
        <v>2</v>
      </c>
      <c r="C57" s="646"/>
      <c r="D57" s="647"/>
      <c r="E57" s="9" t="s">
        <v>238</v>
      </c>
      <c r="F57" s="10" t="s">
        <v>238</v>
      </c>
      <c r="G57" s="498" t="s">
        <v>21</v>
      </c>
      <c r="H57" s="11" t="s">
        <v>21</v>
      </c>
    </row>
    <row r="58" spans="2:11" ht="16.5" thickBot="1">
      <c r="B58" s="101" t="s">
        <v>3</v>
      </c>
      <c r="C58" s="648"/>
      <c r="D58" s="649"/>
      <c r="E58" s="506" t="s">
        <v>239</v>
      </c>
      <c r="F58" s="526">
        <v>41437</v>
      </c>
      <c r="G58" s="498" t="s">
        <v>15</v>
      </c>
      <c r="H58" s="11" t="s">
        <v>12</v>
      </c>
    </row>
    <row r="59" spans="2:11" ht="15">
      <c r="B59" s="90"/>
      <c r="C59" s="71"/>
      <c r="D59" s="71"/>
      <c r="E59" s="606" t="s">
        <v>4</v>
      </c>
      <c r="F59" s="509" t="s">
        <v>5</v>
      </c>
      <c r="G59" s="509" t="s">
        <v>6</v>
      </c>
      <c r="H59" s="510" t="s">
        <v>7</v>
      </c>
    </row>
    <row r="60" spans="2:11" ht="16.5" thickBot="1">
      <c r="B60" s="14" t="s">
        <v>170</v>
      </c>
      <c r="C60" s="116"/>
      <c r="D60" s="71"/>
      <c r="E60" s="105"/>
      <c r="F60" s="71"/>
      <c r="G60" s="203"/>
      <c r="H60" s="246"/>
    </row>
    <row r="61" spans="2:11" ht="15">
      <c r="B61" s="170">
        <v>24</v>
      </c>
      <c r="C61" s="86" t="s">
        <v>165</v>
      </c>
      <c r="D61" s="71"/>
      <c r="E61" s="144">
        <v>2.02</v>
      </c>
      <c r="F61" s="613">
        <v>2.02</v>
      </c>
      <c r="G61" s="167" t="s">
        <v>17</v>
      </c>
      <c r="H61" s="145">
        <f>F61</f>
        <v>2.02</v>
      </c>
    </row>
    <row r="62" spans="2:11" ht="15">
      <c r="B62" s="170">
        <v>25</v>
      </c>
      <c r="C62" s="86" t="s">
        <v>168</v>
      </c>
      <c r="D62" s="71"/>
      <c r="E62" s="120">
        <f>E61*'4. OEB_Adjustment_Input_Sheet'!D51</f>
        <v>38.496884615816903</v>
      </c>
      <c r="F62" s="612">
        <f>F61*'4. OEB_Adjustment_Input_Sheet'!E51</f>
        <v>40.5717</v>
      </c>
      <c r="G62" s="122">
        <f>H62-F62</f>
        <v>0</v>
      </c>
      <c r="H62" s="121">
        <f>H61*'4. OEB_Adjustment_Input_Sheet'!G51</f>
        <v>40.5717</v>
      </c>
    </row>
    <row r="63" spans="2:11" ht="15">
      <c r="B63" s="170">
        <v>26</v>
      </c>
      <c r="C63" s="86" t="s">
        <v>166</v>
      </c>
      <c r="D63" s="71"/>
      <c r="E63" s="120">
        <v>4.18</v>
      </c>
      <c r="F63" s="612">
        <v>4.18</v>
      </c>
      <c r="G63" s="168" t="s">
        <v>17</v>
      </c>
      <c r="H63" s="121">
        <f>F63</f>
        <v>4.18</v>
      </c>
    </row>
    <row r="64" spans="2:11" ht="15">
      <c r="B64" s="170">
        <v>27</v>
      </c>
      <c r="C64" s="86" t="s">
        <v>167</v>
      </c>
      <c r="D64" s="71"/>
      <c r="E64" s="120">
        <f>E63*'4. OEB_Adjustment_Input_Sheet'!D105</f>
        <v>207.74596655999997</v>
      </c>
      <c r="F64" s="612">
        <f>F63*'4. OEB_Adjustment_Input_Sheet'!E105</f>
        <v>205.00809999999998</v>
      </c>
      <c r="G64" s="122">
        <f>H64-F64</f>
        <v>0</v>
      </c>
      <c r="H64" s="121">
        <f>H63*'4. OEB_Adjustment_Input_Sheet'!G105</f>
        <v>205.00809999999998</v>
      </c>
    </row>
    <row r="65" spans="2:8" ht="16.5" thickBot="1">
      <c r="B65" s="170">
        <v>28</v>
      </c>
      <c r="C65" s="15" t="s">
        <v>169</v>
      </c>
      <c r="D65" s="71"/>
      <c r="E65" s="123">
        <f>E62+E64</f>
        <v>246.24285117581687</v>
      </c>
      <c r="F65" s="608">
        <f>F62+F64</f>
        <v>245.57979999999998</v>
      </c>
      <c r="G65" s="125">
        <f>H65-F65</f>
        <v>0</v>
      </c>
      <c r="H65" s="124">
        <f>H62+H64</f>
        <v>245.57979999999998</v>
      </c>
    </row>
    <row r="66" spans="2:8" ht="15">
      <c r="B66" s="170"/>
      <c r="C66" s="86"/>
      <c r="D66" s="71"/>
      <c r="E66" s="127"/>
      <c r="F66" s="112"/>
      <c r="G66" s="112"/>
      <c r="H66" s="128"/>
    </row>
    <row r="67" spans="2:8" ht="16.5" thickBot="1">
      <c r="B67" s="14" t="s">
        <v>196</v>
      </c>
      <c r="C67" s="116"/>
      <c r="D67" s="71"/>
      <c r="E67" s="127"/>
      <c r="F67" s="112"/>
      <c r="G67" s="112"/>
      <c r="H67" s="128"/>
    </row>
    <row r="68" spans="2:8" ht="15">
      <c r="B68" s="170">
        <v>29</v>
      </c>
      <c r="C68" s="86" t="s">
        <v>165</v>
      </c>
      <c r="D68" s="71"/>
      <c r="E68" s="144">
        <f>'10. Deferral_Variance_&amp;_Riders'!D15</f>
        <v>3.1090976898345963</v>
      </c>
      <c r="F68" s="613">
        <f>'10. Deferral_Variance_&amp;_Riders'!E15</f>
        <v>2.9901082820587561</v>
      </c>
      <c r="G68" s="146">
        <f>H68-F68</f>
        <v>0</v>
      </c>
      <c r="H68" s="145">
        <f>'10. Deferral_Variance_&amp;_Riders'!G15</f>
        <v>2.9901082820587561</v>
      </c>
    </row>
    <row r="69" spans="2:8" ht="15">
      <c r="B69" s="170">
        <v>30</v>
      </c>
      <c r="C69" s="86" t="s">
        <v>168</v>
      </c>
      <c r="D69" s="71"/>
      <c r="E69" s="120">
        <f>E68*'4. OEB_Adjustment_Input_Sheet'!H51</f>
        <v>62.878987063413582</v>
      </c>
      <c r="F69" s="612">
        <f>F68*'4. OEB_Adjustment_Input_Sheet'!I51</f>
        <v>62.878987063413582</v>
      </c>
      <c r="G69" s="122">
        <f>H69-F69</f>
        <v>0</v>
      </c>
      <c r="H69" s="121">
        <f>H68*'4. OEB_Adjustment_Input_Sheet'!K51</f>
        <v>62.878987063413582</v>
      </c>
    </row>
    <row r="70" spans="2:8" ht="15">
      <c r="B70" s="170">
        <v>31</v>
      </c>
      <c r="C70" s="86" t="s">
        <v>166</v>
      </c>
      <c r="D70" s="71"/>
      <c r="E70" s="120">
        <f>'10. Deferral_Variance_&amp;_Riders'!D29</f>
        <v>1.5222873820103524</v>
      </c>
      <c r="F70" s="612">
        <f>'10. Deferral_Variance_&amp;_Riders'!E29</f>
        <v>1.5861628473907414</v>
      </c>
      <c r="G70" s="122">
        <f>H70-F70</f>
        <v>0</v>
      </c>
      <c r="H70" s="121">
        <f>'10. Deferral_Variance_&amp;_Riders'!G29</f>
        <v>1.5861628473907414</v>
      </c>
    </row>
    <row r="71" spans="2:8" ht="15">
      <c r="B71" s="170">
        <v>32</v>
      </c>
      <c r="C71" s="86" t="s">
        <v>167</v>
      </c>
      <c r="D71" s="71"/>
      <c r="E71" s="120">
        <f>E70*'4. OEB_Adjustment_Input_Sheet'!H105</f>
        <v>73.069763890749286</v>
      </c>
      <c r="F71" s="612">
        <f>F70*'4. OEB_Adjustment_Input_Sheet'!I105</f>
        <v>73.069763890749286</v>
      </c>
      <c r="G71" s="122">
        <f>H71-F71</f>
        <v>0</v>
      </c>
      <c r="H71" s="121">
        <f>H70*'4. OEB_Adjustment_Input_Sheet'!K105</f>
        <v>73.069763890749286</v>
      </c>
    </row>
    <row r="72" spans="2:8" ht="16.5" thickBot="1">
      <c r="B72" s="170">
        <v>33</v>
      </c>
      <c r="C72" s="15" t="s">
        <v>169</v>
      </c>
      <c r="D72" s="71"/>
      <c r="E72" s="123">
        <f>E69+E71</f>
        <v>135.94875095416288</v>
      </c>
      <c r="F72" s="608">
        <f>F69+F71</f>
        <v>135.94875095416288</v>
      </c>
      <c r="G72" s="125">
        <f>H72-F72</f>
        <v>0</v>
      </c>
      <c r="H72" s="124">
        <f>H69+H71</f>
        <v>135.94875095416288</v>
      </c>
    </row>
    <row r="73" spans="2:8" ht="15">
      <c r="B73" s="170"/>
      <c r="C73" s="86"/>
      <c r="D73" s="71"/>
      <c r="E73" s="127"/>
      <c r="F73" s="112"/>
      <c r="G73" s="112"/>
      <c r="H73" s="128"/>
    </row>
    <row r="74" spans="2:8" ht="16.5" thickBot="1">
      <c r="B74" s="14" t="s">
        <v>197</v>
      </c>
      <c r="C74" s="86"/>
      <c r="D74" s="71"/>
      <c r="E74" s="127"/>
      <c r="F74" s="112"/>
      <c r="G74" s="112"/>
      <c r="H74" s="128"/>
    </row>
    <row r="75" spans="2:8" ht="15">
      <c r="B75" s="170">
        <v>34</v>
      </c>
      <c r="C75" s="86" t="s">
        <v>171</v>
      </c>
      <c r="D75" s="71"/>
      <c r="E75" s="299">
        <f>'7. Rev_Req'!L28</f>
        <v>1736.2764026504631</v>
      </c>
      <c r="F75" s="377">
        <f>'7. Rev_Req'!M28</f>
        <v>1739.71</v>
      </c>
      <c r="G75" s="321">
        <f>H75-F75</f>
        <v>0</v>
      </c>
      <c r="H75" s="300">
        <f>'7. Rev_Req'!O28</f>
        <v>1739.71</v>
      </c>
    </row>
    <row r="76" spans="2:8" ht="15">
      <c r="B76" s="170">
        <v>35</v>
      </c>
      <c r="C76" s="86" t="s">
        <v>172</v>
      </c>
      <c r="D76" s="71"/>
      <c r="E76" s="305">
        <f>'7. Rev_Req'!L84</f>
        <v>6544.7156729468352</v>
      </c>
      <c r="F76" s="400">
        <f>'7. Rev_Req'!M84</f>
        <v>6648.7691300245515</v>
      </c>
      <c r="G76" s="319">
        <f>H76-F76</f>
        <v>0</v>
      </c>
      <c r="H76" s="309">
        <f>'7. Rev_Req'!O84</f>
        <v>6648.7691300245515</v>
      </c>
    </row>
    <row r="77" spans="2:8" ht="15.75">
      <c r="B77" s="170">
        <v>36</v>
      </c>
      <c r="C77" s="15" t="s">
        <v>169</v>
      </c>
      <c r="D77" s="71"/>
      <c r="E77" s="583">
        <f>SUM(E75:E76)</f>
        <v>8280.992075597298</v>
      </c>
      <c r="F77" s="504">
        <f>SUM(F75:F76)</f>
        <v>8388.4791300245524</v>
      </c>
      <c r="G77" s="469">
        <f>H77-F77</f>
        <v>0</v>
      </c>
      <c r="H77" s="530">
        <f>SUM(H75:H76)</f>
        <v>8388.4791300245524</v>
      </c>
    </row>
    <row r="78" spans="2:8" ht="15.75" thickBot="1">
      <c r="B78" s="170"/>
      <c r="C78" s="86"/>
      <c r="D78" s="71"/>
      <c r="E78" s="127"/>
      <c r="F78" s="112"/>
      <c r="G78" s="112"/>
      <c r="H78" s="128"/>
    </row>
    <row r="79" spans="2:8" ht="16.5" thickBot="1">
      <c r="B79" s="170">
        <v>37</v>
      </c>
      <c r="C79" s="15" t="s">
        <v>201</v>
      </c>
      <c r="D79" s="71"/>
      <c r="E79" s="352">
        <f>E65+E72+E77</f>
        <v>8663.1836777272783</v>
      </c>
      <c r="F79" s="534">
        <f>F65+F72+F77</f>
        <v>8770.0076809787151</v>
      </c>
      <c r="G79" s="354">
        <f>H79-F79</f>
        <v>0</v>
      </c>
      <c r="H79" s="353">
        <f>H65+H72+H77</f>
        <v>8770.0076809787151</v>
      </c>
    </row>
    <row r="80" spans="2:8" ht="15.75">
      <c r="B80" s="170"/>
      <c r="C80" s="15"/>
      <c r="D80" s="71"/>
      <c r="E80" s="127"/>
      <c r="F80" s="112"/>
      <c r="G80" s="112"/>
      <c r="H80" s="128"/>
    </row>
    <row r="81" spans="2:10" ht="16.5" thickBot="1">
      <c r="B81" s="14" t="s">
        <v>195</v>
      </c>
      <c r="C81" s="15"/>
      <c r="D81" s="71"/>
      <c r="E81" s="127"/>
      <c r="F81" s="112"/>
      <c r="G81" s="112"/>
      <c r="H81" s="128"/>
    </row>
    <row r="82" spans="2:10" ht="15">
      <c r="B82" s="170">
        <v>38</v>
      </c>
      <c r="C82" s="86" t="s">
        <v>83</v>
      </c>
      <c r="D82" s="71"/>
      <c r="E82" s="144">
        <f>'4. OEB_Adjustment_Input_Sheet'!L51</f>
        <v>39.282055168620531</v>
      </c>
      <c r="F82" s="613">
        <f>'4. OEB_Adjustment_Input_Sheet'!M51</f>
        <v>41.114000000000004</v>
      </c>
      <c r="G82" s="146">
        <f>H82-F82</f>
        <v>0</v>
      </c>
      <c r="H82" s="145">
        <f>'4. OEB_Adjustment_Input_Sheet'!O51</f>
        <v>41.114000000000004</v>
      </c>
    </row>
    <row r="83" spans="2:10" ht="15">
      <c r="B83" s="170">
        <v>39</v>
      </c>
      <c r="C83" s="86" t="s">
        <v>84</v>
      </c>
      <c r="D83" s="71"/>
      <c r="E83" s="120">
        <f>'4. OEB_Adjustment_Input_Sheet'!L105</f>
        <v>97.699972000000002</v>
      </c>
      <c r="F83" s="612">
        <f>'4. OEB_Adjustment_Input_Sheet'!M105</f>
        <v>95.111999999999995</v>
      </c>
      <c r="G83" s="122">
        <f>H83-F83</f>
        <v>0</v>
      </c>
      <c r="H83" s="121">
        <f>'4. OEB_Adjustment_Input_Sheet'!O105</f>
        <v>95.111999999999995</v>
      </c>
    </row>
    <row r="84" spans="2:10" ht="16.5" thickBot="1">
      <c r="B84" s="170">
        <v>40</v>
      </c>
      <c r="C84" s="15" t="s">
        <v>0</v>
      </c>
      <c r="D84" s="71"/>
      <c r="E84" s="123">
        <f>SUM(E82:E83)</f>
        <v>136.98202716862053</v>
      </c>
      <c r="F84" s="608">
        <f>SUM(F82:F83)</f>
        <v>136.226</v>
      </c>
      <c r="G84" s="125">
        <f>H84-F84</f>
        <v>0</v>
      </c>
      <c r="H84" s="124">
        <f>SUM(H82:H83)</f>
        <v>136.226</v>
      </c>
    </row>
    <row r="85" spans="2:10" ht="16.5" thickBot="1">
      <c r="B85" s="170"/>
      <c r="C85" s="15"/>
      <c r="D85" s="71"/>
      <c r="E85" s="127"/>
      <c r="F85" s="112"/>
      <c r="G85" s="112"/>
      <c r="H85" s="128"/>
    </row>
    <row r="86" spans="2:10" ht="16.5" thickBot="1">
      <c r="B86" s="185">
        <v>41</v>
      </c>
      <c r="C86" s="186" t="s">
        <v>200</v>
      </c>
      <c r="D86" s="247"/>
      <c r="E86" s="147">
        <f>E79/E84</f>
        <v>63.243214141247698</v>
      </c>
      <c r="F86" s="615">
        <f>F79/F84</f>
        <v>64.378368894181108</v>
      </c>
      <c r="G86" s="149">
        <f>H86-F86</f>
        <v>0</v>
      </c>
      <c r="H86" s="148">
        <f>H79/H84</f>
        <v>64.378368894181108</v>
      </c>
    </row>
    <row r="87" spans="2:10" ht="15">
      <c r="B87" s="91"/>
      <c r="C87" s="86"/>
      <c r="D87" s="112"/>
      <c r="E87" s="112"/>
      <c r="F87" s="203"/>
      <c r="G87" s="245"/>
      <c r="H87" s="203"/>
    </row>
    <row r="88" spans="2:10" ht="15">
      <c r="B88" s="191">
        <v>1</v>
      </c>
      <c r="C88" s="203" t="s">
        <v>217</v>
      </c>
      <c r="D88" s="191"/>
      <c r="E88" s="191"/>
      <c r="F88" s="203"/>
      <c r="G88" s="191"/>
      <c r="H88" s="203"/>
      <c r="I88" s="2"/>
      <c r="J88" s="2"/>
    </row>
    <row r="89" spans="2:10">
      <c r="B89" s="191"/>
      <c r="C89" s="203" t="s">
        <v>218</v>
      </c>
      <c r="D89" s="191"/>
      <c r="E89" s="191"/>
      <c r="F89" s="203"/>
      <c r="G89" s="191"/>
    </row>
    <row r="90" spans="2:10">
      <c r="B90" s="191"/>
      <c r="C90" s="203"/>
      <c r="D90" s="191"/>
      <c r="E90" s="191"/>
      <c r="F90" s="203"/>
      <c r="G90" s="191"/>
      <c r="H90" s="203"/>
    </row>
    <row r="91" spans="2:10">
      <c r="B91" s="191">
        <v>2</v>
      </c>
      <c r="C91" s="203" t="s">
        <v>212</v>
      </c>
      <c r="D91" s="191"/>
      <c r="E91" s="191"/>
      <c r="F91" s="203"/>
      <c r="G91" s="191"/>
      <c r="H91" s="203"/>
    </row>
    <row r="92" spans="2:10">
      <c r="B92" s="191"/>
      <c r="C92" s="203" t="s">
        <v>213</v>
      </c>
      <c r="D92" s="191"/>
      <c r="E92" s="191"/>
      <c r="F92" s="203"/>
      <c r="G92" s="191"/>
      <c r="H92" s="203"/>
    </row>
    <row r="93" spans="2:10">
      <c r="B93" s="191"/>
      <c r="C93" s="203" t="s">
        <v>214</v>
      </c>
      <c r="D93" s="191"/>
      <c r="E93" s="191"/>
      <c r="F93" s="203"/>
      <c r="G93" s="191"/>
      <c r="H93" s="203"/>
    </row>
    <row r="94" spans="2:10">
      <c r="B94" s="191"/>
      <c r="C94" s="203"/>
      <c r="D94" s="191"/>
      <c r="E94" s="191"/>
      <c r="F94" s="203"/>
      <c r="G94" s="191"/>
      <c r="H94" s="203"/>
    </row>
    <row r="95" spans="2:10">
      <c r="B95" s="191">
        <v>3</v>
      </c>
      <c r="C95" s="203" t="s">
        <v>219</v>
      </c>
      <c r="G95" s="191"/>
      <c r="H95" s="203"/>
    </row>
    <row r="96" spans="2:10">
      <c r="C96" s="203" t="s">
        <v>220</v>
      </c>
      <c r="G96" s="191"/>
      <c r="H96" s="203"/>
    </row>
    <row r="97" spans="2:8">
      <c r="C97" s="203" t="s">
        <v>221</v>
      </c>
      <c r="G97" s="191"/>
      <c r="H97" s="203"/>
    </row>
    <row r="98" spans="2:8">
      <c r="C98" s="203" t="s">
        <v>222</v>
      </c>
      <c r="G98" s="191"/>
      <c r="H98" s="203"/>
    </row>
    <row r="99" spans="2:8">
      <c r="C99" s="203" t="s">
        <v>223</v>
      </c>
      <c r="G99" s="191"/>
      <c r="H99" s="203"/>
    </row>
    <row r="100" spans="2:8">
      <c r="C100" s="203" t="s">
        <v>224</v>
      </c>
      <c r="G100" s="191"/>
      <c r="H100" s="203"/>
    </row>
    <row r="101" spans="2:8">
      <c r="C101" s="203" t="s">
        <v>225</v>
      </c>
      <c r="G101" s="191"/>
      <c r="H101" s="203"/>
    </row>
    <row r="102" spans="2:8">
      <c r="C102" s="203" t="s">
        <v>226</v>
      </c>
      <c r="G102" s="191"/>
      <c r="H102" s="203"/>
    </row>
    <row r="103" spans="2:8">
      <c r="C103" s="203" t="s">
        <v>227</v>
      </c>
      <c r="G103" s="191"/>
      <c r="H103" s="203"/>
    </row>
    <row r="104" spans="2:8">
      <c r="C104" s="203" t="s">
        <v>228</v>
      </c>
      <c r="G104" s="191"/>
      <c r="H104" s="203"/>
    </row>
    <row r="105" spans="2:8">
      <c r="C105" s="203" t="s">
        <v>229</v>
      </c>
      <c r="G105" s="191"/>
      <c r="H105" s="203"/>
    </row>
    <row r="106" spans="2:8">
      <c r="C106" s="203" t="s">
        <v>230</v>
      </c>
      <c r="G106" s="191"/>
      <c r="H106" s="203"/>
    </row>
    <row r="107" spans="2:8">
      <c r="C107" s="203" t="s">
        <v>231</v>
      </c>
      <c r="G107" s="191"/>
      <c r="H107" s="203"/>
    </row>
    <row r="108" spans="2:8">
      <c r="C108" s="203" t="s">
        <v>232</v>
      </c>
      <c r="G108" s="191"/>
      <c r="H108" s="203"/>
    </row>
    <row r="109" spans="2:8">
      <c r="B109" s="191"/>
      <c r="C109" s="203"/>
      <c r="D109" s="191"/>
      <c r="E109" s="191"/>
      <c r="F109" s="203"/>
      <c r="G109" s="191"/>
      <c r="H109" s="203"/>
    </row>
    <row r="110" spans="2:8" hidden="1">
      <c r="B110" s="191"/>
      <c r="C110" s="203"/>
      <c r="D110" s="191"/>
      <c r="E110" s="191"/>
      <c r="F110" s="203"/>
      <c r="G110" s="191"/>
      <c r="H110" s="203"/>
    </row>
    <row r="111" spans="2:8" hidden="1">
      <c r="B111" s="191"/>
      <c r="C111" s="203"/>
      <c r="D111" s="191"/>
      <c r="E111" s="191"/>
      <c r="F111" s="203"/>
      <c r="G111" s="191"/>
      <c r="H111" s="203"/>
    </row>
    <row r="112" spans="2:8" hidden="1">
      <c r="B112" s="191"/>
      <c r="C112" s="203"/>
      <c r="D112" s="191"/>
      <c r="E112" s="191"/>
      <c r="F112" s="203"/>
      <c r="G112" s="191"/>
      <c r="H112" s="203"/>
    </row>
    <row r="113" spans="2:8" hidden="1">
      <c r="B113" s="191"/>
      <c r="C113" s="203"/>
      <c r="D113" s="191"/>
      <c r="E113" s="191"/>
      <c r="F113" s="203"/>
      <c r="G113" s="191"/>
      <c r="H113" s="203"/>
    </row>
    <row r="114" spans="2:8" hidden="1">
      <c r="B114" s="191"/>
      <c r="C114" s="203"/>
      <c r="D114" s="191"/>
      <c r="E114" s="191"/>
      <c r="F114" s="203"/>
      <c r="G114" s="191"/>
      <c r="H114" s="203"/>
    </row>
    <row r="115" spans="2:8" hidden="1">
      <c r="B115" s="191"/>
      <c r="C115" s="203"/>
      <c r="D115" s="191"/>
      <c r="E115" s="191"/>
      <c r="F115" s="203"/>
      <c r="G115" s="191"/>
      <c r="H115" s="203"/>
    </row>
    <row r="116" spans="2:8" hidden="1">
      <c r="B116" s="191"/>
      <c r="C116" s="203"/>
      <c r="D116" s="191"/>
      <c r="E116" s="191"/>
      <c r="F116" s="203"/>
      <c r="G116" s="191"/>
      <c r="H116" s="203"/>
    </row>
    <row r="117" spans="2:8" hidden="1">
      <c r="B117" s="191"/>
      <c r="C117" s="203"/>
      <c r="D117" s="191"/>
      <c r="E117" s="191"/>
      <c r="F117" s="203"/>
      <c r="G117" s="191"/>
      <c r="H117" s="203"/>
    </row>
    <row r="118" spans="2:8" hidden="1">
      <c r="B118" s="191"/>
      <c r="C118" s="203"/>
      <c r="D118" s="191"/>
      <c r="E118" s="191"/>
      <c r="F118" s="203"/>
      <c r="G118" s="191"/>
      <c r="H118" s="203"/>
    </row>
    <row r="119" spans="2:8" hidden="1">
      <c r="B119" s="191"/>
      <c r="C119" s="203"/>
      <c r="D119" s="191"/>
      <c r="E119" s="191"/>
      <c r="F119" s="203"/>
      <c r="G119" s="191"/>
      <c r="H119" s="203"/>
    </row>
    <row r="120" spans="2:8" hidden="1">
      <c r="B120" s="191"/>
      <c r="C120" s="203"/>
      <c r="D120" s="191"/>
      <c r="E120" s="191"/>
      <c r="F120" s="203"/>
      <c r="G120" s="191"/>
      <c r="H120" s="203"/>
    </row>
    <row r="121" spans="2:8" hidden="1">
      <c r="B121" s="191"/>
      <c r="C121" s="203"/>
      <c r="D121" s="191"/>
      <c r="E121" s="191"/>
      <c r="F121" s="203"/>
      <c r="G121" s="191"/>
      <c r="H121" s="203"/>
    </row>
    <row r="122" spans="2:8" hidden="1">
      <c r="B122" s="191"/>
      <c r="C122" s="203"/>
      <c r="D122" s="191"/>
      <c r="E122" s="191"/>
      <c r="F122" s="203"/>
      <c r="G122" s="191"/>
      <c r="H122" s="203"/>
    </row>
    <row r="123" spans="2:8" hidden="1">
      <c r="B123" s="191"/>
      <c r="C123" s="203"/>
      <c r="D123" s="191"/>
      <c r="E123" s="191"/>
      <c r="F123" s="203"/>
      <c r="G123" s="191"/>
      <c r="H123" s="203"/>
    </row>
    <row r="124" spans="2:8" hidden="1">
      <c r="B124" s="191"/>
      <c r="C124" s="203"/>
      <c r="D124" s="191"/>
      <c r="E124" s="191"/>
      <c r="F124" s="203"/>
      <c r="G124" s="191"/>
      <c r="H124" s="203"/>
    </row>
    <row r="125" spans="2:8" hidden="1">
      <c r="B125" s="191"/>
      <c r="C125" s="203"/>
      <c r="D125" s="191"/>
      <c r="E125" s="191"/>
      <c r="F125" s="203"/>
      <c r="G125" s="191"/>
      <c r="H125" s="203"/>
    </row>
    <row r="126" spans="2:8" hidden="1">
      <c r="B126" s="191"/>
      <c r="C126" s="203"/>
      <c r="D126" s="191"/>
      <c r="E126" s="191"/>
      <c r="F126" s="203"/>
      <c r="G126" s="191"/>
      <c r="H126" s="203"/>
    </row>
    <row r="127" spans="2:8" hidden="1">
      <c r="B127" s="191"/>
      <c r="C127" s="203"/>
      <c r="D127" s="191"/>
      <c r="E127" s="191"/>
      <c r="F127" s="203"/>
      <c r="G127" s="191"/>
      <c r="H127" s="203"/>
    </row>
    <row r="128" spans="2:8" hidden="1">
      <c r="B128" s="191"/>
      <c r="C128" s="203"/>
      <c r="D128" s="191"/>
      <c r="E128" s="191"/>
      <c r="F128" s="203"/>
      <c r="G128" s="191"/>
      <c r="H128" s="203"/>
    </row>
    <row r="129" spans="2:8" hidden="1">
      <c r="B129" s="191"/>
      <c r="C129" s="203"/>
      <c r="D129" s="191"/>
      <c r="E129" s="191"/>
      <c r="F129" s="203"/>
      <c r="G129" s="191"/>
      <c r="H129" s="203"/>
    </row>
    <row r="130" spans="2:8" hidden="1">
      <c r="B130" s="191"/>
      <c r="C130" s="203"/>
      <c r="D130" s="191"/>
      <c r="E130" s="191"/>
      <c r="F130" s="203"/>
      <c r="G130" s="191"/>
      <c r="H130" s="203"/>
    </row>
    <row r="131" spans="2:8" hidden="1">
      <c r="B131" s="191"/>
      <c r="C131" s="203"/>
      <c r="D131" s="191"/>
      <c r="E131" s="191"/>
      <c r="F131" s="203"/>
      <c r="G131" s="191"/>
      <c r="H131" s="203"/>
    </row>
    <row r="132" spans="2:8" hidden="1">
      <c r="B132" s="191"/>
      <c r="C132" s="203"/>
      <c r="D132" s="191"/>
      <c r="E132" s="191"/>
      <c r="F132" s="203"/>
      <c r="G132" s="191"/>
      <c r="H132" s="203"/>
    </row>
    <row r="133" spans="2:8" hidden="1">
      <c r="B133" s="191"/>
      <c r="C133" s="203"/>
      <c r="D133" s="191"/>
      <c r="E133" s="191"/>
      <c r="F133" s="203"/>
      <c r="G133" s="191"/>
      <c r="H133" s="203"/>
    </row>
    <row r="134" spans="2:8" hidden="1">
      <c r="B134" s="191"/>
      <c r="C134" s="203"/>
      <c r="D134" s="191"/>
      <c r="E134" s="191"/>
      <c r="F134" s="203"/>
      <c r="G134" s="191"/>
      <c r="H134" s="203"/>
    </row>
    <row r="135" spans="2:8" hidden="1">
      <c r="B135" s="191"/>
      <c r="C135" s="203"/>
      <c r="D135" s="191"/>
      <c r="E135" s="191"/>
      <c r="F135" s="203"/>
      <c r="G135" s="191"/>
      <c r="H135" s="203"/>
    </row>
    <row r="136" spans="2:8" hidden="1">
      <c r="B136" s="191"/>
      <c r="C136" s="203"/>
      <c r="D136" s="191"/>
      <c r="E136" s="191"/>
      <c r="F136" s="203"/>
      <c r="G136" s="191"/>
      <c r="H136" s="203"/>
    </row>
    <row r="137" spans="2:8" hidden="1">
      <c r="B137" s="191"/>
      <c r="C137" s="203"/>
      <c r="D137" s="191"/>
      <c r="E137" s="191"/>
      <c r="F137" s="203"/>
      <c r="G137" s="191"/>
      <c r="H137" s="203"/>
    </row>
    <row r="138" spans="2:8" hidden="1">
      <c r="B138" s="191"/>
      <c r="C138" s="203"/>
      <c r="D138" s="191"/>
      <c r="E138" s="191"/>
      <c r="F138" s="203"/>
      <c r="G138" s="191"/>
      <c r="H138" s="203"/>
    </row>
    <row r="139" spans="2:8" hidden="1">
      <c r="B139" s="191"/>
      <c r="C139" s="203"/>
      <c r="D139" s="191"/>
      <c r="E139" s="191"/>
      <c r="F139" s="203"/>
      <c r="G139" s="191"/>
      <c r="H139" s="203"/>
    </row>
    <row r="140" spans="2:8" hidden="1">
      <c r="B140" s="191"/>
      <c r="C140" s="203"/>
      <c r="D140" s="191"/>
      <c r="E140" s="191"/>
      <c r="F140" s="203"/>
      <c r="G140" s="191"/>
      <c r="H140" s="203"/>
    </row>
    <row r="141" spans="2:8" hidden="1">
      <c r="B141" s="191"/>
      <c r="C141" s="203"/>
      <c r="D141" s="191"/>
      <c r="E141" s="191"/>
      <c r="F141" s="203"/>
      <c r="G141" s="191"/>
      <c r="H141" s="203"/>
    </row>
    <row r="142" spans="2:8" hidden="1">
      <c r="B142" s="191"/>
      <c r="C142" s="203"/>
      <c r="D142" s="191"/>
      <c r="E142" s="191"/>
      <c r="F142" s="203"/>
      <c r="G142" s="191"/>
      <c r="H142" s="203"/>
    </row>
    <row r="143" spans="2:8" hidden="1">
      <c r="B143" s="191"/>
      <c r="C143" s="203"/>
      <c r="D143" s="191"/>
      <c r="E143" s="191"/>
      <c r="F143" s="203"/>
      <c r="G143" s="191"/>
      <c r="H143" s="203"/>
    </row>
    <row r="144" spans="2:8" hidden="1">
      <c r="B144" s="191"/>
      <c r="C144" s="203"/>
      <c r="D144" s="191"/>
      <c r="E144" s="191"/>
      <c r="F144" s="203"/>
      <c r="G144" s="191"/>
      <c r="H144" s="203"/>
    </row>
    <row r="145" spans="2:8" hidden="1">
      <c r="B145" s="191"/>
      <c r="C145" s="203"/>
      <c r="D145" s="191"/>
      <c r="E145" s="191"/>
      <c r="F145" s="203"/>
      <c r="G145" s="191"/>
      <c r="H145" s="203"/>
    </row>
    <row r="146" spans="2:8" hidden="1">
      <c r="B146" s="191"/>
      <c r="C146" s="203"/>
      <c r="D146" s="191"/>
      <c r="E146" s="191"/>
      <c r="F146" s="203"/>
      <c r="G146" s="191"/>
      <c r="H146" s="203"/>
    </row>
    <row r="147" spans="2:8" hidden="1">
      <c r="B147" s="191"/>
      <c r="C147" s="203"/>
      <c r="D147" s="191"/>
      <c r="E147" s="191"/>
      <c r="F147" s="203"/>
      <c r="G147" s="191"/>
      <c r="H147" s="203"/>
    </row>
    <row r="148" spans="2:8" hidden="1">
      <c r="B148" s="191"/>
      <c r="C148" s="203"/>
      <c r="D148" s="191"/>
      <c r="E148" s="191"/>
      <c r="F148" s="203"/>
      <c r="G148" s="191"/>
      <c r="H148" s="203"/>
    </row>
    <row r="149" spans="2:8" hidden="1">
      <c r="B149" s="191"/>
      <c r="C149" s="203"/>
      <c r="D149" s="191"/>
      <c r="E149" s="191"/>
      <c r="F149" s="203"/>
      <c r="G149" s="191"/>
      <c r="H149" s="203"/>
    </row>
    <row r="150" spans="2:8" hidden="1">
      <c r="B150" s="191"/>
      <c r="C150" s="203"/>
      <c r="D150" s="191"/>
      <c r="E150" s="191"/>
      <c r="F150" s="203"/>
      <c r="G150" s="191"/>
      <c r="H150" s="203"/>
    </row>
    <row r="151" spans="2:8" hidden="1">
      <c r="B151" s="191"/>
      <c r="C151" s="203"/>
      <c r="D151" s="191"/>
      <c r="E151" s="191"/>
      <c r="F151" s="203"/>
      <c r="G151" s="191"/>
      <c r="H151" s="203"/>
    </row>
    <row r="152" spans="2:8" hidden="1">
      <c r="B152" s="191"/>
      <c r="C152" s="203"/>
      <c r="D152" s="191"/>
      <c r="E152" s="191"/>
      <c r="F152" s="203"/>
      <c r="G152" s="191"/>
      <c r="H152" s="203"/>
    </row>
    <row r="153" spans="2:8" hidden="1">
      <c r="B153" s="191"/>
      <c r="C153" s="203"/>
      <c r="D153" s="191"/>
      <c r="E153" s="191"/>
      <c r="F153" s="203"/>
      <c r="G153" s="191"/>
      <c r="H153" s="203"/>
    </row>
    <row r="154" spans="2:8" hidden="1">
      <c r="B154" s="191"/>
      <c r="C154" s="203"/>
      <c r="D154" s="191"/>
      <c r="E154" s="191"/>
      <c r="F154" s="203"/>
      <c r="G154" s="191"/>
      <c r="H154" s="203"/>
    </row>
    <row r="155" spans="2:8" hidden="1">
      <c r="B155" s="191"/>
      <c r="C155" s="203"/>
      <c r="D155" s="191"/>
      <c r="E155" s="191"/>
      <c r="F155" s="203"/>
      <c r="G155" s="191"/>
      <c r="H155" s="203"/>
    </row>
    <row r="156" spans="2:8" hidden="1">
      <c r="B156" s="191"/>
      <c r="C156" s="203"/>
      <c r="D156" s="191"/>
      <c r="E156" s="191"/>
      <c r="F156" s="203"/>
      <c r="G156" s="191"/>
      <c r="H156" s="203"/>
    </row>
    <row r="157" spans="2:8" hidden="1">
      <c r="B157" s="191"/>
      <c r="C157" s="203"/>
      <c r="D157" s="191"/>
      <c r="E157" s="191"/>
      <c r="F157" s="203"/>
      <c r="G157" s="191"/>
      <c r="H157" s="203"/>
    </row>
    <row r="158" spans="2:8" hidden="1">
      <c r="B158" s="191"/>
      <c r="C158" s="203"/>
      <c r="D158" s="191"/>
      <c r="E158" s="191"/>
      <c r="F158" s="203"/>
      <c r="G158" s="191"/>
      <c r="H158" s="203"/>
    </row>
    <row r="159" spans="2:8" hidden="1">
      <c r="B159" s="191"/>
      <c r="C159" s="203"/>
      <c r="D159" s="191"/>
      <c r="E159" s="191"/>
      <c r="F159" s="203"/>
      <c r="G159" s="191"/>
      <c r="H159" s="203"/>
    </row>
    <row r="160" spans="2:8" hidden="1">
      <c r="B160" s="191"/>
      <c r="C160" s="203"/>
      <c r="D160" s="191"/>
      <c r="E160" s="191"/>
      <c r="F160" s="203"/>
      <c r="G160" s="191"/>
      <c r="H160" s="203"/>
    </row>
    <row r="161" spans="2:8" hidden="1">
      <c r="B161" s="191"/>
      <c r="C161" s="203"/>
      <c r="D161" s="191"/>
      <c r="E161" s="191"/>
      <c r="F161" s="203"/>
      <c r="G161" s="191"/>
      <c r="H161" s="203"/>
    </row>
    <row r="162" spans="2:8" hidden="1">
      <c r="B162" s="191"/>
      <c r="C162" s="203"/>
      <c r="D162" s="191"/>
      <c r="E162" s="191"/>
      <c r="F162" s="203"/>
      <c r="G162" s="191"/>
      <c r="H162" s="203"/>
    </row>
    <row r="163" spans="2:8" hidden="1">
      <c r="B163" s="191"/>
      <c r="C163" s="203"/>
      <c r="D163" s="191"/>
      <c r="E163" s="191"/>
      <c r="F163" s="203"/>
      <c r="G163" s="191"/>
      <c r="H163" s="203"/>
    </row>
    <row r="164" spans="2:8" hidden="1">
      <c r="B164" s="191"/>
      <c r="C164" s="203"/>
      <c r="D164" s="191"/>
      <c r="E164" s="191"/>
      <c r="F164" s="203"/>
      <c r="G164" s="191"/>
      <c r="H164" s="203"/>
    </row>
    <row r="165" spans="2:8" hidden="1">
      <c r="B165" s="191"/>
      <c r="C165" s="203"/>
      <c r="D165" s="191"/>
      <c r="E165" s="191"/>
      <c r="F165" s="203"/>
      <c r="G165" s="191"/>
      <c r="H165" s="203"/>
    </row>
    <row r="166" spans="2:8" hidden="1">
      <c r="B166" s="191"/>
      <c r="C166" s="203"/>
      <c r="D166" s="191"/>
      <c r="E166" s="191"/>
      <c r="F166" s="203"/>
      <c r="G166" s="191"/>
      <c r="H166" s="203"/>
    </row>
    <row r="167" spans="2:8" hidden="1">
      <c r="B167" s="191"/>
      <c r="C167" s="203"/>
      <c r="D167" s="191"/>
      <c r="E167" s="191"/>
      <c r="F167" s="203"/>
      <c r="G167" s="191"/>
      <c r="H167" s="203"/>
    </row>
    <row r="168" spans="2:8" hidden="1">
      <c r="B168" s="191"/>
      <c r="C168" s="203"/>
      <c r="D168" s="191"/>
      <c r="E168" s="191"/>
      <c r="F168" s="203"/>
      <c r="G168" s="191"/>
      <c r="H168" s="203"/>
    </row>
    <row r="169" spans="2:8" hidden="1">
      <c r="B169" s="191"/>
      <c r="C169" s="203"/>
      <c r="D169" s="191"/>
      <c r="E169" s="191"/>
      <c r="F169" s="203"/>
      <c r="G169" s="191"/>
      <c r="H169" s="203"/>
    </row>
    <row r="170" spans="2:8" hidden="1">
      <c r="B170" s="191"/>
      <c r="C170" s="203"/>
      <c r="D170" s="191"/>
      <c r="E170" s="191"/>
      <c r="F170" s="203"/>
      <c r="G170" s="191"/>
      <c r="H170" s="203"/>
    </row>
    <row r="171" spans="2:8" hidden="1">
      <c r="B171" s="191"/>
      <c r="C171" s="203"/>
      <c r="D171" s="191"/>
      <c r="E171" s="191"/>
      <c r="F171" s="203"/>
      <c r="G171" s="191"/>
      <c r="H171" s="203"/>
    </row>
    <row r="172" spans="2:8" hidden="1">
      <c r="B172" s="191"/>
      <c r="C172" s="203"/>
      <c r="D172" s="191"/>
      <c r="E172" s="191"/>
      <c r="F172" s="203"/>
      <c r="G172" s="191"/>
      <c r="H172" s="203"/>
    </row>
    <row r="173" spans="2:8" hidden="1">
      <c r="B173" s="191"/>
      <c r="C173" s="203"/>
      <c r="D173" s="191"/>
      <c r="E173" s="191"/>
      <c r="F173" s="203"/>
      <c r="G173" s="191"/>
      <c r="H173" s="203"/>
    </row>
    <row r="174" spans="2:8" hidden="1">
      <c r="B174" s="191"/>
      <c r="C174" s="203"/>
      <c r="D174" s="191"/>
      <c r="E174" s="191"/>
      <c r="F174" s="203"/>
      <c r="G174" s="191"/>
      <c r="H174" s="203"/>
    </row>
    <row r="175" spans="2:8" hidden="1">
      <c r="B175" s="191"/>
      <c r="C175" s="203"/>
      <c r="D175" s="191"/>
      <c r="E175" s="191"/>
      <c r="F175" s="203"/>
      <c r="G175" s="191"/>
      <c r="H175" s="203"/>
    </row>
    <row r="176" spans="2:8" hidden="1">
      <c r="B176" s="191"/>
      <c r="C176" s="203"/>
      <c r="D176" s="191"/>
      <c r="E176" s="191"/>
      <c r="F176" s="203"/>
      <c r="G176" s="191"/>
      <c r="H176" s="203"/>
    </row>
    <row r="177" spans="2:8" hidden="1">
      <c r="B177" s="191"/>
      <c r="C177" s="203"/>
      <c r="D177" s="191"/>
      <c r="E177" s="191"/>
      <c r="F177" s="203"/>
      <c r="G177" s="191"/>
      <c r="H177" s="203"/>
    </row>
    <row r="178" spans="2:8" hidden="1">
      <c r="B178" s="191"/>
      <c r="C178" s="203"/>
      <c r="D178" s="191"/>
      <c r="E178" s="191"/>
      <c r="F178" s="203"/>
      <c r="G178" s="191"/>
      <c r="H178" s="203"/>
    </row>
    <row r="179" spans="2:8" hidden="1">
      <c r="B179" s="191"/>
      <c r="C179" s="203"/>
      <c r="D179" s="191"/>
      <c r="E179" s="191"/>
      <c r="F179" s="203"/>
      <c r="G179" s="191"/>
      <c r="H179" s="203"/>
    </row>
    <row r="180" spans="2:8" hidden="1">
      <c r="B180" s="191"/>
      <c r="C180" s="203"/>
      <c r="D180" s="191"/>
      <c r="E180" s="191"/>
      <c r="F180" s="203"/>
      <c r="G180" s="191"/>
      <c r="H180" s="203"/>
    </row>
    <row r="181" spans="2:8" hidden="1">
      <c r="B181" s="191"/>
      <c r="C181" s="203"/>
      <c r="D181" s="191"/>
      <c r="E181" s="191"/>
      <c r="F181" s="203"/>
      <c r="G181" s="191"/>
      <c r="H181" s="203"/>
    </row>
    <row r="182" spans="2:8" hidden="1">
      <c r="B182" s="191"/>
      <c r="C182" s="203"/>
      <c r="D182" s="191"/>
      <c r="E182" s="191"/>
      <c r="F182" s="203"/>
      <c r="G182" s="191"/>
      <c r="H182" s="203"/>
    </row>
    <row r="183" spans="2:8" hidden="1">
      <c r="B183" s="191"/>
      <c r="C183" s="203"/>
      <c r="D183" s="191"/>
      <c r="E183" s="191"/>
      <c r="F183" s="203"/>
      <c r="G183" s="191"/>
      <c r="H183" s="203"/>
    </row>
    <row r="184" spans="2:8" hidden="1">
      <c r="B184" s="191"/>
      <c r="C184" s="203"/>
      <c r="D184" s="191"/>
      <c r="E184" s="191"/>
      <c r="F184" s="203"/>
      <c r="G184" s="191"/>
      <c r="H184" s="203"/>
    </row>
    <row r="185" spans="2:8" hidden="1">
      <c r="B185" s="191"/>
      <c r="C185" s="203"/>
      <c r="D185" s="191"/>
      <c r="E185" s="191"/>
      <c r="F185" s="203"/>
      <c r="G185" s="191"/>
      <c r="H185" s="203"/>
    </row>
    <row r="186" spans="2:8" hidden="1">
      <c r="B186" s="191"/>
      <c r="C186" s="203"/>
      <c r="D186" s="191"/>
      <c r="E186" s="191"/>
      <c r="F186" s="203"/>
      <c r="G186" s="191"/>
      <c r="H186" s="203"/>
    </row>
    <row r="187" spans="2:8" hidden="1">
      <c r="B187" s="191"/>
      <c r="C187" s="203"/>
      <c r="D187" s="191"/>
      <c r="E187" s="191"/>
      <c r="F187" s="203"/>
      <c r="G187" s="191"/>
      <c r="H187" s="203"/>
    </row>
    <row r="188" spans="2:8" hidden="1">
      <c r="B188" s="191"/>
      <c r="C188" s="203"/>
      <c r="D188" s="191"/>
      <c r="E188" s="191"/>
      <c r="F188" s="203"/>
      <c r="G188" s="191"/>
      <c r="H188" s="203"/>
    </row>
    <row r="189" spans="2:8" hidden="1">
      <c r="B189" s="191"/>
      <c r="C189" s="203"/>
      <c r="D189" s="191"/>
      <c r="E189" s="191"/>
      <c r="F189" s="203"/>
      <c r="G189" s="191"/>
      <c r="H189" s="203"/>
    </row>
    <row r="190" spans="2:8" hidden="1">
      <c r="B190" s="191"/>
      <c r="C190" s="203"/>
      <c r="D190" s="191"/>
      <c r="E190" s="191"/>
      <c r="F190" s="203"/>
      <c r="G190" s="191"/>
      <c r="H190" s="203"/>
    </row>
    <row r="191" spans="2:8" hidden="1">
      <c r="B191" s="191"/>
      <c r="C191" s="203"/>
      <c r="D191" s="191"/>
      <c r="E191" s="191"/>
      <c r="F191" s="203"/>
      <c r="G191" s="191"/>
      <c r="H191" s="203"/>
    </row>
    <row r="192" spans="2:8" hidden="1">
      <c r="B192" s="191"/>
      <c r="C192" s="203"/>
      <c r="D192" s="191"/>
      <c r="E192" s="191"/>
      <c r="F192" s="203"/>
      <c r="G192" s="191"/>
      <c r="H192" s="203"/>
    </row>
    <row r="193" spans="2:8" hidden="1">
      <c r="B193" s="191"/>
      <c r="C193" s="203"/>
      <c r="D193" s="191"/>
      <c r="E193" s="191"/>
      <c r="F193" s="203"/>
      <c r="G193" s="191"/>
      <c r="H193" s="203"/>
    </row>
    <row r="194" spans="2:8" hidden="1">
      <c r="B194" s="191"/>
      <c r="C194" s="203"/>
      <c r="D194" s="191"/>
      <c r="E194" s="191"/>
      <c r="F194" s="203"/>
      <c r="G194" s="191"/>
      <c r="H194" s="203"/>
    </row>
    <row r="195" spans="2:8" hidden="1">
      <c r="B195" s="191"/>
      <c r="C195" s="203"/>
      <c r="D195" s="191"/>
      <c r="E195" s="191"/>
      <c r="F195" s="203"/>
      <c r="G195" s="191"/>
      <c r="H195" s="203"/>
    </row>
    <row r="196" spans="2:8" hidden="1">
      <c r="B196" s="191"/>
      <c r="C196" s="203"/>
      <c r="D196" s="191"/>
      <c r="E196" s="191"/>
      <c r="F196" s="203"/>
      <c r="G196" s="191"/>
      <c r="H196" s="203"/>
    </row>
    <row r="197" spans="2:8" hidden="1">
      <c r="B197" s="191"/>
      <c r="C197" s="203"/>
      <c r="D197" s="191"/>
      <c r="E197" s="191"/>
      <c r="F197" s="203"/>
      <c r="G197" s="191"/>
      <c r="H197" s="203"/>
    </row>
    <row r="198" spans="2:8" hidden="1">
      <c r="B198" s="191"/>
      <c r="C198" s="203"/>
      <c r="D198" s="191"/>
      <c r="E198" s="191"/>
      <c r="F198" s="203"/>
      <c r="G198" s="191"/>
      <c r="H198" s="203"/>
    </row>
    <row r="199" spans="2:8" hidden="1">
      <c r="B199" s="191"/>
      <c r="C199" s="203"/>
      <c r="D199" s="191"/>
      <c r="E199" s="191"/>
      <c r="F199" s="203"/>
      <c r="G199" s="191"/>
      <c r="H199" s="203"/>
    </row>
    <row r="200" spans="2:8" hidden="1">
      <c r="B200" s="191"/>
      <c r="C200" s="203"/>
      <c r="D200" s="191"/>
      <c r="E200" s="191"/>
      <c r="F200" s="203"/>
      <c r="G200" s="191"/>
      <c r="H200" s="203"/>
    </row>
    <row r="201" spans="2:8" hidden="1">
      <c r="B201" s="191"/>
      <c r="C201" s="203"/>
      <c r="D201" s="191"/>
      <c r="E201" s="191"/>
      <c r="F201" s="203"/>
      <c r="G201" s="191"/>
      <c r="H201" s="203"/>
    </row>
    <row r="202" spans="2:8" hidden="1">
      <c r="B202" s="191"/>
      <c r="C202" s="203"/>
      <c r="D202" s="191"/>
      <c r="E202" s="191"/>
      <c r="F202" s="203"/>
      <c r="G202" s="191"/>
      <c r="H202" s="203"/>
    </row>
    <row r="203" spans="2:8" hidden="1">
      <c r="B203" s="191"/>
      <c r="C203" s="203"/>
      <c r="D203" s="191"/>
      <c r="E203" s="191"/>
      <c r="F203" s="203"/>
      <c r="G203" s="191"/>
      <c r="H203" s="203"/>
    </row>
    <row r="204" spans="2:8" hidden="1">
      <c r="B204" s="191"/>
      <c r="C204" s="203"/>
      <c r="D204" s="191"/>
      <c r="E204" s="191"/>
      <c r="F204" s="203"/>
      <c r="G204" s="191"/>
      <c r="H204" s="203"/>
    </row>
    <row r="205" spans="2:8" hidden="1">
      <c r="B205" s="191"/>
      <c r="C205" s="203"/>
      <c r="D205" s="191"/>
      <c r="E205" s="191"/>
      <c r="F205" s="203"/>
      <c r="G205" s="191"/>
      <c r="H205" s="203"/>
    </row>
    <row r="206" spans="2:8" hidden="1">
      <c r="B206" s="191"/>
      <c r="C206" s="203"/>
      <c r="D206" s="191"/>
      <c r="E206" s="191"/>
      <c r="F206" s="203"/>
      <c r="G206" s="191"/>
      <c r="H206" s="203"/>
    </row>
    <row r="207" spans="2:8" hidden="1">
      <c r="B207" s="191"/>
      <c r="C207" s="203"/>
      <c r="D207" s="191"/>
      <c r="E207" s="191"/>
      <c r="F207" s="203"/>
      <c r="G207" s="191"/>
      <c r="H207" s="203"/>
    </row>
    <row r="208" spans="2:8" hidden="1">
      <c r="B208" s="191"/>
      <c r="C208" s="203"/>
      <c r="D208" s="191"/>
      <c r="E208" s="191"/>
      <c r="F208" s="203"/>
      <c r="G208" s="191"/>
      <c r="H208" s="203"/>
    </row>
    <row r="209" spans="2:8" hidden="1">
      <c r="B209" s="191"/>
      <c r="C209" s="203"/>
      <c r="D209" s="191"/>
      <c r="E209" s="191"/>
      <c r="F209" s="203"/>
      <c r="G209" s="191"/>
      <c r="H209" s="203"/>
    </row>
    <row r="210" spans="2:8" hidden="1">
      <c r="B210" s="191"/>
      <c r="C210" s="203"/>
      <c r="D210" s="191"/>
      <c r="E210" s="191"/>
      <c r="F210" s="203"/>
      <c r="G210" s="191"/>
      <c r="H210" s="203"/>
    </row>
    <row r="211" spans="2:8" hidden="1">
      <c r="B211" s="191"/>
      <c r="C211" s="203"/>
      <c r="D211" s="191"/>
      <c r="E211" s="191"/>
      <c r="F211" s="203"/>
      <c r="G211" s="191"/>
      <c r="H211" s="203"/>
    </row>
    <row r="212" spans="2:8" hidden="1">
      <c r="B212" s="191"/>
      <c r="C212" s="203"/>
      <c r="D212" s="191"/>
      <c r="E212" s="191"/>
      <c r="F212" s="203"/>
      <c r="G212" s="191"/>
      <c r="H212" s="203"/>
    </row>
    <row r="213" spans="2:8" hidden="1">
      <c r="B213" s="191"/>
      <c r="C213" s="203"/>
      <c r="D213" s="191"/>
      <c r="E213" s="191"/>
      <c r="F213" s="203"/>
      <c r="G213" s="191"/>
      <c r="H213" s="203"/>
    </row>
    <row r="214" spans="2:8" hidden="1">
      <c r="B214" s="191"/>
      <c r="C214" s="203"/>
      <c r="D214" s="191"/>
      <c r="E214" s="191"/>
      <c r="F214" s="203"/>
      <c r="G214" s="191"/>
      <c r="H214" s="203"/>
    </row>
    <row r="215" spans="2:8" hidden="1">
      <c r="B215" s="191"/>
      <c r="C215" s="203"/>
      <c r="D215" s="191"/>
      <c r="E215" s="191"/>
      <c r="F215" s="203"/>
      <c r="G215" s="191"/>
      <c r="H215" s="203"/>
    </row>
    <row r="216" spans="2:8" hidden="1">
      <c r="B216" s="191"/>
      <c r="C216" s="203"/>
      <c r="D216" s="191"/>
      <c r="E216" s="191"/>
      <c r="F216" s="203"/>
      <c r="G216" s="191"/>
      <c r="H216" s="203"/>
    </row>
    <row r="217" spans="2:8" hidden="1">
      <c r="B217" s="191"/>
      <c r="C217" s="203"/>
      <c r="D217" s="191"/>
      <c r="E217" s="191"/>
      <c r="F217" s="203"/>
      <c r="G217" s="191"/>
      <c r="H217" s="203"/>
    </row>
    <row r="218" spans="2:8" hidden="1">
      <c r="B218" s="191"/>
      <c r="C218" s="203"/>
      <c r="D218" s="191"/>
      <c r="E218" s="191"/>
      <c r="F218" s="203"/>
      <c r="G218" s="191"/>
      <c r="H218" s="203"/>
    </row>
    <row r="219" spans="2:8" hidden="1">
      <c r="B219" s="191"/>
      <c r="C219" s="203"/>
      <c r="D219" s="191"/>
      <c r="E219" s="191"/>
      <c r="F219" s="203"/>
      <c r="G219" s="191"/>
      <c r="H219" s="203"/>
    </row>
    <row r="220" spans="2:8" hidden="1">
      <c r="B220" s="191"/>
      <c r="C220" s="203"/>
      <c r="D220" s="191"/>
      <c r="E220" s="191"/>
      <c r="F220" s="203"/>
      <c r="G220" s="191"/>
      <c r="H220" s="203"/>
    </row>
    <row r="221" spans="2:8" hidden="1">
      <c r="B221" s="191"/>
      <c r="C221" s="203"/>
      <c r="D221" s="191"/>
      <c r="E221" s="191"/>
      <c r="F221" s="203"/>
      <c r="G221" s="191"/>
      <c r="H221" s="203"/>
    </row>
    <row r="222" spans="2:8" hidden="1">
      <c r="B222" s="191"/>
      <c r="C222" s="203"/>
      <c r="D222" s="191"/>
      <c r="E222" s="191"/>
      <c r="F222" s="203"/>
      <c r="G222" s="191"/>
      <c r="H222" s="203"/>
    </row>
    <row r="223" spans="2:8" hidden="1">
      <c r="B223" s="191"/>
      <c r="C223" s="203"/>
      <c r="D223" s="191"/>
      <c r="E223" s="191"/>
      <c r="F223" s="203"/>
      <c r="G223" s="191"/>
      <c r="H223" s="203"/>
    </row>
    <row r="224" spans="2:8" hidden="1">
      <c r="B224" s="191"/>
      <c r="C224" s="203"/>
      <c r="D224" s="191"/>
      <c r="E224" s="191"/>
      <c r="F224" s="203"/>
      <c r="G224" s="191"/>
      <c r="H224" s="203"/>
    </row>
    <row r="225" spans="2:8" hidden="1">
      <c r="B225" s="191"/>
      <c r="C225" s="203"/>
      <c r="D225" s="191"/>
      <c r="E225" s="191"/>
      <c r="F225" s="203"/>
      <c r="G225" s="191"/>
      <c r="H225" s="203"/>
    </row>
    <row r="226" spans="2:8" hidden="1">
      <c r="B226" s="191"/>
      <c r="C226" s="203"/>
      <c r="D226" s="191"/>
      <c r="E226" s="191"/>
      <c r="F226" s="203"/>
      <c r="G226" s="191"/>
      <c r="H226" s="203"/>
    </row>
    <row r="227" spans="2:8" hidden="1">
      <c r="B227" s="191"/>
      <c r="C227" s="203"/>
      <c r="D227" s="191"/>
      <c r="E227" s="191"/>
      <c r="F227" s="203"/>
      <c r="G227" s="191"/>
      <c r="H227" s="203"/>
    </row>
    <row r="228" spans="2:8" hidden="1">
      <c r="B228" s="191"/>
      <c r="C228" s="203"/>
      <c r="D228" s="191"/>
      <c r="E228" s="191"/>
      <c r="F228" s="203"/>
      <c r="G228" s="191"/>
      <c r="H228" s="203"/>
    </row>
    <row r="229" spans="2:8" hidden="1">
      <c r="B229" s="191"/>
      <c r="C229" s="203"/>
      <c r="D229" s="191"/>
      <c r="E229" s="191"/>
      <c r="F229" s="203"/>
      <c r="G229" s="191"/>
      <c r="H229" s="203"/>
    </row>
    <row r="230" spans="2:8" hidden="1">
      <c r="B230" s="191"/>
      <c r="C230" s="203"/>
      <c r="D230" s="191"/>
      <c r="E230" s="191"/>
      <c r="F230" s="203"/>
      <c r="G230" s="191"/>
      <c r="H230" s="203"/>
    </row>
    <row r="231" spans="2:8" hidden="1">
      <c r="B231" s="191"/>
      <c r="C231" s="203"/>
      <c r="D231" s="191"/>
      <c r="E231" s="191"/>
      <c r="F231" s="203"/>
      <c r="G231" s="191"/>
      <c r="H231" s="203"/>
    </row>
    <row r="232" spans="2:8" hidden="1">
      <c r="B232" s="191"/>
      <c r="C232" s="203"/>
      <c r="D232" s="191"/>
      <c r="E232" s="191"/>
      <c r="F232" s="203"/>
      <c r="G232" s="191"/>
      <c r="H232" s="203"/>
    </row>
    <row r="233" spans="2:8" hidden="1">
      <c r="B233" s="191"/>
      <c r="C233" s="203"/>
      <c r="D233" s="191"/>
      <c r="E233" s="191"/>
      <c r="F233" s="203"/>
      <c r="G233" s="191"/>
      <c r="H233" s="203"/>
    </row>
    <row r="234" spans="2:8" hidden="1">
      <c r="B234" s="191"/>
      <c r="C234" s="203"/>
      <c r="D234" s="191"/>
      <c r="E234" s="191"/>
      <c r="F234" s="203"/>
      <c r="G234" s="191"/>
      <c r="H234" s="203"/>
    </row>
    <row r="235" spans="2:8" hidden="1">
      <c r="B235" s="191"/>
      <c r="C235" s="203"/>
      <c r="D235" s="191"/>
      <c r="E235" s="191"/>
      <c r="F235" s="203"/>
      <c r="G235" s="191"/>
      <c r="H235" s="203"/>
    </row>
    <row r="236" spans="2:8" hidden="1">
      <c r="B236" s="191"/>
      <c r="C236" s="203"/>
      <c r="D236" s="191"/>
      <c r="E236" s="191"/>
      <c r="F236" s="203"/>
      <c r="G236" s="191"/>
      <c r="H236" s="203"/>
    </row>
    <row r="237" spans="2:8" hidden="1">
      <c r="B237" s="191"/>
      <c r="C237" s="203"/>
      <c r="D237" s="191"/>
      <c r="E237" s="191"/>
      <c r="F237" s="203"/>
      <c r="G237" s="191"/>
      <c r="H237" s="203"/>
    </row>
    <row r="238" spans="2:8" hidden="1">
      <c r="B238" s="191"/>
      <c r="C238" s="203"/>
      <c r="D238" s="191"/>
      <c r="E238" s="191"/>
      <c r="F238" s="203"/>
      <c r="G238" s="191"/>
      <c r="H238" s="203"/>
    </row>
    <row r="239" spans="2:8" hidden="1">
      <c r="B239" s="191"/>
      <c r="C239" s="203"/>
      <c r="D239" s="191"/>
      <c r="E239" s="191"/>
      <c r="F239" s="203"/>
      <c r="G239" s="191"/>
      <c r="H239" s="203"/>
    </row>
    <row r="240" spans="2:8" hidden="1">
      <c r="B240" s="191"/>
      <c r="C240" s="203"/>
      <c r="D240" s="191"/>
      <c r="E240" s="191"/>
      <c r="F240" s="203"/>
      <c r="G240" s="191"/>
      <c r="H240" s="203"/>
    </row>
    <row r="241" spans="2:8" hidden="1">
      <c r="B241" s="191"/>
      <c r="C241" s="203"/>
      <c r="D241" s="191"/>
      <c r="E241" s="191"/>
      <c r="F241" s="203"/>
      <c r="G241" s="191"/>
      <c r="H241" s="203"/>
    </row>
    <row r="242" spans="2:8" hidden="1">
      <c r="B242" s="191"/>
      <c r="C242" s="203"/>
      <c r="D242" s="191"/>
      <c r="E242" s="191"/>
      <c r="F242" s="203"/>
      <c r="G242" s="191"/>
      <c r="H242" s="203"/>
    </row>
    <row r="243" spans="2:8" hidden="1">
      <c r="B243" s="191"/>
      <c r="C243" s="203"/>
      <c r="D243" s="191"/>
      <c r="E243" s="191"/>
      <c r="F243" s="203"/>
      <c r="G243" s="191"/>
      <c r="H243" s="203"/>
    </row>
    <row r="244" spans="2:8" hidden="1">
      <c r="B244" s="191"/>
      <c r="C244" s="203"/>
      <c r="D244" s="191"/>
      <c r="E244" s="191"/>
      <c r="F244" s="203"/>
      <c r="G244" s="191"/>
      <c r="H244" s="203"/>
    </row>
    <row r="245" spans="2:8" hidden="1">
      <c r="B245" s="191"/>
      <c r="C245" s="203"/>
      <c r="D245" s="191"/>
      <c r="E245" s="191"/>
      <c r="F245" s="203"/>
      <c r="G245" s="191"/>
      <c r="H245" s="203"/>
    </row>
    <row r="246" spans="2:8" hidden="1">
      <c r="B246" s="191"/>
      <c r="C246" s="203"/>
      <c r="D246" s="191"/>
      <c r="E246" s="191"/>
      <c r="F246" s="203"/>
      <c r="G246" s="191"/>
      <c r="H246" s="203"/>
    </row>
    <row r="247" spans="2:8" hidden="1">
      <c r="B247" s="191"/>
      <c r="C247" s="203"/>
      <c r="D247" s="191"/>
      <c r="E247" s="191"/>
      <c r="F247" s="203"/>
      <c r="G247" s="191"/>
      <c r="H247" s="203"/>
    </row>
    <row r="248" spans="2:8" hidden="1">
      <c r="B248" s="191"/>
      <c r="C248" s="203"/>
      <c r="D248" s="191"/>
      <c r="E248" s="191"/>
      <c r="F248" s="203"/>
      <c r="G248" s="191"/>
      <c r="H248" s="203"/>
    </row>
    <row r="249" spans="2:8" hidden="1">
      <c r="B249" s="191"/>
      <c r="C249" s="203"/>
      <c r="D249" s="191"/>
      <c r="E249" s="191"/>
      <c r="F249" s="203"/>
      <c r="G249" s="191"/>
      <c r="H249" s="203"/>
    </row>
    <row r="250" spans="2:8" hidden="1">
      <c r="B250" s="191"/>
      <c r="C250" s="203"/>
      <c r="D250" s="191"/>
      <c r="E250" s="191"/>
      <c r="F250" s="203"/>
      <c r="G250" s="191"/>
      <c r="H250" s="203"/>
    </row>
    <row r="251" spans="2:8" hidden="1">
      <c r="B251" s="191"/>
      <c r="C251" s="203"/>
      <c r="D251" s="191"/>
      <c r="E251" s="191"/>
      <c r="F251" s="203"/>
      <c r="G251" s="191"/>
      <c r="H251" s="203"/>
    </row>
    <row r="252" spans="2:8" hidden="1">
      <c r="B252" s="191"/>
      <c r="C252" s="203"/>
      <c r="D252" s="191"/>
      <c r="E252" s="191"/>
      <c r="F252" s="203"/>
      <c r="G252" s="191"/>
      <c r="H252" s="203"/>
    </row>
    <row r="253" spans="2:8" hidden="1">
      <c r="B253" s="191"/>
      <c r="C253" s="203"/>
      <c r="D253" s="191"/>
      <c r="E253" s="191"/>
      <c r="F253" s="203"/>
      <c r="G253" s="191"/>
      <c r="H253" s="203"/>
    </row>
    <row r="254" spans="2:8" hidden="1">
      <c r="B254" s="191"/>
      <c r="C254" s="203"/>
      <c r="D254" s="191"/>
      <c r="E254" s="191"/>
      <c r="F254" s="203"/>
      <c r="G254" s="191"/>
      <c r="H254" s="203"/>
    </row>
    <row r="255" spans="2:8" hidden="1">
      <c r="B255" s="191"/>
      <c r="C255" s="203"/>
      <c r="D255" s="191"/>
      <c r="E255" s="191"/>
      <c r="F255" s="203"/>
      <c r="G255" s="191"/>
      <c r="H255" s="203"/>
    </row>
    <row r="256" spans="2:8" hidden="1">
      <c r="B256" s="191"/>
      <c r="C256" s="203"/>
      <c r="D256" s="191"/>
      <c r="E256" s="191"/>
      <c r="F256" s="203"/>
      <c r="G256" s="191"/>
      <c r="H256" s="203"/>
    </row>
    <row r="257" spans="2:8" hidden="1">
      <c r="B257" s="191"/>
      <c r="C257" s="203"/>
      <c r="D257" s="191"/>
      <c r="E257" s="191"/>
      <c r="F257" s="203"/>
      <c r="G257" s="191"/>
      <c r="H257" s="203"/>
    </row>
    <row r="258" spans="2:8" hidden="1">
      <c r="B258" s="191"/>
      <c r="C258" s="203"/>
      <c r="D258" s="191"/>
      <c r="E258" s="191"/>
      <c r="F258" s="203"/>
      <c r="G258" s="191"/>
      <c r="H258" s="203"/>
    </row>
    <row r="259" spans="2:8" hidden="1">
      <c r="B259" s="191"/>
      <c r="C259" s="203"/>
      <c r="D259" s="191"/>
      <c r="E259" s="191"/>
      <c r="F259" s="203"/>
      <c r="G259" s="191"/>
      <c r="H259" s="203"/>
    </row>
    <row r="260" spans="2:8" hidden="1">
      <c r="B260" s="191"/>
      <c r="C260" s="203"/>
      <c r="D260" s="191"/>
      <c r="E260" s="191"/>
      <c r="F260" s="203"/>
      <c r="G260" s="191"/>
      <c r="H260" s="203"/>
    </row>
    <row r="261" spans="2:8" hidden="1">
      <c r="B261" s="191"/>
      <c r="C261" s="203"/>
      <c r="D261" s="191"/>
      <c r="E261" s="191"/>
      <c r="F261" s="203"/>
      <c r="G261" s="191"/>
      <c r="H261" s="203"/>
    </row>
    <row r="262" spans="2:8" hidden="1">
      <c r="B262" s="191"/>
      <c r="C262" s="203"/>
      <c r="D262" s="191"/>
      <c r="E262" s="191"/>
      <c r="F262" s="203"/>
      <c r="G262" s="191"/>
      <c r="H262" s="203"/>
    </row>
    <row r="263" spans="2:8" hidden="1">
      <c r="B263" s="191"/>
      <c r="C263" s="203"/>
      <c r="D263" s="191"/>
      <c r="E263" s="191"/>
      <c r="F263" s="203"/>
      <c r="G263" s="191"/>
      <c r="H263" s="203"/>
    </row>
    <row r="264" spans="2:8" hidden="1">
      <c r="B264" s="191"/>
      <c r="C264" s="203"/>
      <c r="D264" s="191"/>
      <c r="E264" s="191"/>
      <c r="F264" s="203"/>
      <c r="G264" s="191"/>
      <c r="H264" s="203"/>
    </row>
    <row r="265" spans="2:8" hidden="1">
      <c r="B265" s="191"/>
      <c r="C265" s="203"/>
      <c r="D265" s="191"/>
      <c r="E265" s="191"/>
      <c r="F265" s="203"/>
      <c r="G265" s="191"/>
      <c r="H265" s="203"/>
    </row>
    <row r="266" spans="2:8" hidden="1">
      <c r="B266" s="191"/>
      <c r="C266" s="203"/>
      <c r="D266" s="191"/>
      <c r="E266" s="191"/>
      <c r="F266" s="203"/>
      <c r="G266" s="191"/>
      <c r="H266" s="203"/>
    </row>
    <row r="267" spans="2:8" hidden="1">
      <c r="B267" s="191"/>
      <c r="C267" s="203"/>
      <c r="D267" s="191"/>
      <c r="E267" s="191"/>
      <c r="F267" s="203"/>
      <c r="G267" s="191"/>
      <c r="H267" s="203"/>
    </row>
    <row r="268" spans="2:8" hidden="1">
      <c r="B268" s="191"/>
      <c r="C268" s="203"/>
      <c r="D268" s="191"/>
      <c r="E268" s="191"/>
      <c r="F268" s="203"/>
      <c r="G268" s="191"/>
      <c r="H268" s="203"/>
    </row>
    <row r="269" spans="2:8" hidden="1">
      <c r="B269" s="191"/>
      <c r="C269" s="203"/>
      <c r="D269" s="191"/>
      <c r="E269" s="191"/>
      <c r="F269" s="203"/>
      <c r="G269" s="191"/>
      <c r="H269" s="203"/>
    </row>
    <row r="270" spans="2:8" hidden="1">
      <c r="B270" s="191"/>
      <c r="C270" s="203"/>
      <c r="D270" s="191"/>
      <c r="E270" s="191"/>
      <c r="F270" s="203"/>
      <c r="G270" s="191"/>
      <c r="H270" s="203"/>
    </row>
    <row r="271" spans="2:8" hidden="1">
      <c r="B271" s="191"/>
      <c r="C271" s="203"/>
      <c r="D271" s="191"/>
      <c r="E271" s="191"/>
      <c r="F271" s="203"/>
      <c r="G271" s="191"/>
      <c r="H271" s="203"/>
    </row>
    <row r="272" spans="2:8" hidden="1">
      <c r="B272" s="191"/>
      <c r="C272" s="203"/>
      <c r="D272" s="191"/>
      <c r="E272" s="191"/>
      <c r="F272" s="203"/>
      <c r="G272" s="191"/>
      <c r="H272" s="203"/>
    </row>
    <row r="273" spans="2:8" hidden="1">
      <c r="B273" s="191"/>
      <c r="C273" s="203"/>
      <c r="D273" s="191"/>
      <c r="E273" s="191"/>
      <c r="F273" s="203"/>
      <c r="G273" s="191"/>
      <c r="H273" s="203"/>
    </row>
    <row r="274" spans="2:8" hidden="1">
      <c r="B274" s="191"/>
      <c r="C274" s="203"/>
      <c r="D274" s="191"/>
      <c r="E274" s="191"/>
      <c r="F274" s="203"/>
      <c r="G274" s="191"/>
      <c r="H274" s="203"/>
    </row>
    <row r="275" spans="2:8" hidden="1">
      <c r="B275" s="191"/>
      <c r="C275" s="203"/>
      <c r="D275" s="191"/>
      <c r="E275" s="191"/>
      <c r="F275" s="203"/>
      <c r="G275" s="191"/>
      <c r="H275" s="203"/>
    </row>
    <row r="276" spans="2:8" hidden="1">
      <c r="B276" s="191"/>
      <c r="C276" s="203"/>
      <c r="D276" s="191"/>
      <c r="E276" s="191"/>
      <c r="F276" s="203"/>
      <c r="G276" s="191"/>
      <c r="H276" s="203"/>
    </row>
    <row r="277" spans="2:8" hidden="1">
      <c r="B277" s="191"/>
      <c r="C277" s="203"/>
      <c r="D277" s="191"/>
      <c r="E277" s="191"/>
      <c r="F277" s="203"/>
      <c r="G277" s="191"/>
      <c r="H277" s="203"/>
    </row>
    <row r="278" spans="2:8" hidden="1">
      <c r="B278" s="191"/>
      <c r="C278" s="203"/>
      <c r="D278" s="191"/>
      <c r="E278" s="191"/>
      <c r="F278" s="203"/>
      <c r="G278" s="191"/>
      <c r="H278" s="203"/>
    </row>
    <row r="279" spans="2:8" hidden="1">
      <c r="B279" s="191"/>
      <c r="C279" s="203"/>
      <c r="D279" s="191"/>
      <c r="E279" s="191"/>
      <c r="F279" s="203"/>
      <c r="G279" s="191"/>
      <c r="H279" s="203"/>
    </row>
    <row r="280" spans="2:8" hidden="1">
      <c r="B280" s="191"/>
      <c r="C280" s="203"/>
      <c r="D280" s="191"/>
      <c r="E280" s="191"/>
      <c r="F280" s="203"/>
      <c r="G280" s="191"/>
      <c r="H280" s="203"/>
    </row>
    <row r="281" spans="2:8" hidden="1">
      <c r="B281" s="191"/>
      <c r="C281" s="203"/>
      <c r="D281" s="191"/>
      <c r="E281" s="191"/>
      <c r="F281" s="203"/>
      <c r="G281" s="191"/>
      <c r="H281" s="203"/>
    </row>
    <row r="282" spans="2:8" hidden="1">
      <c r="B282" s="191"/>
      <c r="C282" s="203"/>
      <c r="D282" s="191"/>
      <c r="E282" s="191"/>
      <c r="F282" s="203"/>
      <c r="G282" s="191"/>
      <c r="H282" s="203"/>
    </row>
    <row r="283" spans="2:8" hidden="1">
      <c r="B283" s="191"/>
      <c r="C283" s="203"/>
      <c r="D283" s="191"/>
      <c r="E283" s="191"/>
      <c r="F283" s="203"/>
      <c r="G283" s="191"/>
      <c r="H283" s="203"/>
    </row>
    <row r="284" spans="2:8" hidden="1">
      <c r="B284" s="191"/>
      <c r="C284" s="203"/>
      <c r="D284" s="191"/>
      <c r="E284" s="191"/>
      <c r="F284" s="203"/>
      <c r="G284" s="191"/>
      <c r="H284" s="203"/>
    </row>
    <row r="285" spans="2:8" hidden="1">
      <c r="B285" s="191"/>
      <c r="C285" s="203"/>
      <c r="D285" s="191"/>
      <c r="E285" s="191"/>
      <c r="F285" s="203"/>
      <c r="G285" s="191"/>
      <c r="H285" s="203"/>
    </row>
    <row r="286" spans="2:8" hidden="1">
      <c r="B286" s="191"/>
      <c r="C286" s="203"/>
      <c r="D286" s="191"/>
      <c r="E286" s="191"/>
      <c r="F286" s="203"/>
      <c r="G286" s="191"/>
      <c r="H286" s="203"/>
    </row>
    <row r="287" spans="2:8" hidden="1">
      <c r="B287" s="191"/>
      <c r="C287" s="203"/>
      <c r="D287" s="191"/>
      <c r="E287" s="191"/>
      <c r="F287" s="203"/>
      <c r="G287" s="191"/>
      <c r="H287" s="203"/>
    </row>
    <row r="288" spans="2:8" hidden="1">
      <c r="B288" s="191"/>
      <c r="C288" s="203"/>
      <c r="D288" s="191"/>
      <c r="E288" s="191"/>
      <c r="F288" s="203"/>
      <c r="G288" s="191"/>
      <c r="H288" s="203"/>
    </row>
    <row r="289" spans="2:8" hidden="1">
      <c r="B289" s="191"/>
      <c r="C289" s="203"/>
      <c r="D289" s="191"/>
      <c r="E289" s="191"/>
      <c r="F289" s="203"/>
      <c r="G289" s="191"/>
      <c r="H289" s="203"/>
    </row>
    <row r="290" spans="2:8" hidden="1">
      <c r="B290" s="191"/>
      <c r="C290" s="203"/>
      <c r="D290" s="191"/>
      <c r="E290" s="191"/>
      <c r="F290" s="203"/>
      <c r="G290" s="191"/>
      <c r="H290" s="203"/>
    </row>
    <row r="291" spans="2:8" hidden="1">
      <c r="B291" s="191"/>
      <c r="C291" s="203"/>
      <c r="D291" s="191"/>
      <c r="E291" s="191"/>
      <c r="F291" s="203"/>
      <c r="G291" s="191"/>
      <c r="H291" s="203"/>
    </row>
    <row r="292" spans="2:8" hidden="1">
      <c r="B292" s="191"/>
      <c r="C292" s="203"/>
      <c r="D292" s="191"/>
      <c r="E292" s="191"/>
      <c r="F292" s="203"/>
      <c r="G292" s="191"/>
      <c r="H292" s="203"/>
    </row>
    <row r="293" spans="2:8" hidden="1">
      <c r="B293" s="191"/>
      <c r="C293" s="203"/>
      <c r="D293" s="191"/>
      <c r="E293" s="191"/>
      <c r="F293" s="203"/>
      <c r="G293" s="191"/>
      <c r="H293" s="203"/>
    </row>
    <row r="294" spans="2:8" hidden="1">
      <c r="B294" s="191"/>
      <c r="C294" s="203"/>
      <c r="D294" s="191"/>
      <c r="E294" s="191"/>
      <c r="F294" s="203"/>
      <c r="G294" s="191"/>
      <c r="H294" s="203"/>
    </row>
    <row r="295" spans="2:8" hidden="1">
      <c r="B295" s="191"/>
      <c r="C295" s="203"/>
      <c r="D295" s="191"/>
      <c r="E295" s="191"/>
      <c r="F295" s="203"/>
      <c r="G295" s="191"/>
      <c r="H295" s="203"/>
    </row>
    <row r="296" spans="2:8" hidden="1">
      <c r="B296" s="191"/>
      <c r="C296" s="203"/>
      <c r="D296" s="191"/>
      <c r="E296" s="191"/>
      <c r="F296" s="203"/>
      <c r="G296" s="191"/>
      <c r="H296" s="203"/>
    </row>
    <row r="297" spans="2:8" hidden="1">
      <c r="B297" s="191"/>
      <c r="C297" s="203"/>
      <c r="D297" s="191"/>
      <c r="E297" s="191"/>
      <c r="F297" s="203"/>
      <c r="G297" s="191"/>
      <c r="H297" s="203"/>
    </row>
    <row r="298" spans="2:8" hidden="1">
      <c r="B298" s="191"/>
      <c r="C298" s="203"/>
      <c r="D298" s="191"/>
      <c r="E298" s="191"/>
      <c r="F298" s="203"/>
      <c r="G298" s="191"/>
      <c r="H298" s="203"/>
    </row>
    <row r="299" spans="2:8" hidden="1">
      <c r="B299" s="191"/>
      <c r="C299" s="203"/>
      <c r="D299" s="191"/>
      <c r="E299" s="191"/>
      <c r="F299" s="203"/>
      <c r="G299" s="191"/>
      <c r="H299" s="203"/>
    </row>
    <row r="300" spans="2:8" hidden="1">
      <c r="B300" s="191"/>
      <c r="C300" s="203"/>
      <c r="D300" s="191"/>
      <c r="E300" s="191"/>
      <c r="F300" s="203"/>
      <c r="G300" s="191"/>
      <c r="H300" s="203"/>
    </row>
    <row r="301" spans="2:8" hidden="1">
      <c r="B301" s="191"/>
      <c r="C301" s="203"/>
      <c r="D301" s="191"/>
      <c r="E301" s="191"/>
      <c r="F301" s="203"/>
      <c r="G301" s="191"/>
      <c r="H301" s="203"/>
    </row>
    <row r="302" spans="2:8" hidden="1">
      <c r="B302" s="191"/>
      <c r="C302" s="203"/>
      <c r="D302" s="191"/>
      <c r="E302" s="191"/>
      <c r="F302" s="203"/>
      <c r="G302" s="191"/>
      <c r="H302" s="203"/>
    </row>
    <row r="303" spans="2:8" hidden="1">
      <c r="B303" s="191"/>
      <c r="C303" s="203"/>
      <c r="D303" s="191"/>
      <c r="E303" s="191"/>
      <c r="F303" s="203"/>
      <c r="G303" s="191"/>
      <c r="H303" s="203"/>
    </row>
    <row r="304" spans="2:8" hidden="1">
      <c r="B304" s="191"/>
      <c r="C304" s="203"/>
      <c r="D304" s="191"/>
      <c r="E304" s="191"/>
      <c r="F304" s="203"/>
      <c r="G304" s="191"/>
      <c r="H304" s="203"/>
    </row>
    <row r="305" spans="2:8" hidden="1">
      <c r="B305" s="191"/>
      <c r="C305" s="203"/>
      <c r="D305" s="191"/>
      <c r="E305" s="191"/>
      <c r="F305" s="203"/>
      <c r="G305" s="191"/>
      <c r="H305" s="203"/>
    </row>
    <row r="306" spans="2:8" hidden="1">
      <c r="B306" s="191"/>
      <c r="C306" s="203"/>
      <c r="D306" s="191"/>
      <c r="E306" s="191"/>
      <c r="F306" s="203"/>
      <c r="G306" s="191"/>
      <c r="H306" s="203"/>
    </row>
    <row r="307" spans="2:8" hidden="1">
      <c r="B307" s="191"/>
      <c r="C307" s="203"/>
      <c r="D307" s="191"/>
      <c r="E307" s="191"/>
      <c r="F307" s="203"/>
      <c r="G307" s="191"/>
      <c r="H307" s="203"/>
    </row>
    <row r="308" spans="2:8" hidden="1">
      <c r="B308" s="191"/>
      <c r="C308" s="203"/>
      <c r="D308" s="191"/>
      <c r="E308" s="191"/>
      <c r="F308" s="203"/>
      <c r="G308" s="191"/>
      <c r="H308" s="203"/>
    </row>
    <row r="309" spans="2:8" hidden="1">
      <c r="B309" s="191"/>
      <c r="C309" s="203"/>
      <c r="D309" s="191"/>
      <c r="E309" s="191"/>
      <c r="F309" s="203"/>
      <c r="G309" s="191"/>
      <c r="H309" s="203"/>
    </row>
    <row r="310" spans="2:8" hidden="1">
      <c r="B310" s="191"/>
      <c r="C310" s="203"/>
      <c r="D310" s="191"/>
      <c r="E310" s="191"/>
      <c r="F310" s="203"/>
      <c r="G310" s="191"/>
      <c r="H310" s="203"/>
    </row>
    <row r="311" spans="2:8" hidden="1">
      <c r="B311" s="191"/>
      <c r="C311" s="203"/>
      <c r="D311" s="191"/>
      <c r="E311" s="191"/>
      <c r="F311" s="203"/>
      <c r="G311" s="191"/>
      <c r="H311" s="203"/>
    </row>
    <row r="312" spans="2:8" hidden="1">
      <c r="B312" s="191"/>
      <c r="C312" s="203"/>
      <c r="D312" s="191"/>
      <c r="E312" s="191"/>
      <c r="F312" s="203"/>
      <c r="G312" s="191"/>
      <c r="H312" s="203"/>
    </row>
    <row r="313" spans="2:8" hidden="1">
      <c r="B313" s="191"/>
      <c r="C313" s="203"/>
      <c r="D313" s="191"/>
      <c r="E313" s="191"/>
      <c r="F313" s="203"/>
      <c r="G313" s="191"/>
      <c r="H313" s="203"/>
    </row>
    <row r="314" spans="2:8" hidden="1">
      <c r="B314" s="191"/>
      <c r="C314" s="203"/>
      <c r="D314" s="191"/>
      <c r="E314" s="191"/>
      <c r="F314" s="203"/>
      <c r="G314" s="191"/>
      <c r="H314" s="203"/>
    </row>
    <row r="315" spans="2:8" hidden="1">
      <c r="B315" s="191"/>
      <c r="C315" s="203"/>
      <c r="D315" s="191"/>
      <c r="E315" s="191"/>
      <c r="F315" s="203"/>
      <c r="G315" s="191"/>
      <c r="H315" s="203"/>
    </row>
    <row r="316" spans="2:8" hidden="1">
      <c r="B316" s="191"/>
      <c r="C316" s="203"/>
      <c r="D316" s="191"/>
      <c r="E316" s="191"/>
      <c r="F316" s="203"/>
      <c r="G316" s="191"/>
      <c r="H316" s="203"/>
    </row>
    <row r="317" spans="2:8" hidden="1">
      <c r="B317" s="191"/>
      <c r="C317" s="203"/>
      <c r="D317" s="191"/>
      <c r="E317" s="191"/>
      <c r="F317" s="203"/>
      <c r="G317" s="191"/>
      <c r="H317" s="203"/>
    </row>
    <row r="318" spans="2:8" hidden="1">
      <c r="B318" s="191"/>
      <c r="C318" s="203"/>
      <c r="D318" s="191"/>
      <c r="E318" s="191"/>
      <c r="F318" s="203"/>
      <c r="G318" s="191"/>
      <c r="H318" s="203"/>
    </row>
    <row r="319" spans="2:8" hidden="1">
      <c r="B319" s="191"/>
      <c r="C319" s="203"/>
      <c r="D319" s="191"/>
      <c r="E319" s="191"/>
      <c r="F319" s="203"/>
      <c r="G319" s="191"/>
      <c r="H319" s="203"/>
    </row>
    <row r="320" spans="2:8" hidden="1">
      <c r="B320" s="191"/>
      <c r="C320" s="203"/>
      <c r="D320" s="191"/>
      <c r="E320" s="191"/>
      <c r="F320" s="203"/>
      <c r="G320" s="191"/>
      <c r="H320" s="203"/>
    </row>
    <row r="321" spans="2:8" hidden="1">
      <c r="B321" s="191"/>
      <c r="C321" s="203"/>
      <c r="D321" s="191"/>
      <c r="E321" s="191"/>
      <c r="F321" s="203"/>
      <c r="G321" s="191"/>
      <c r="H321" s="203"/>
    </row>
    <row r="322" spans="2:8" hidden="1">
      <c r="B322" s="191"/>
      <c r="C322" s="203"/>
      <c r="D322" s="191"/>
      <c r="E322" s="191"/>
      <c r="F322" s="203"/>
      <c r="G322" s="191"/>
      <c r="H322" s="203"/>
    </row>
    <row r="323" spans="2:8" hidden="1">
      <c r="B323" s="191"/>
      <c r="C323" s="203"/>
      <c r="D323" s="191"/>
      <c r="E323" s="191"/>
      <c r="F323" s="203"/>
      <c r="G323" s="191"/>
      <c r="H323" s="203"/>
    </row>
    <row r="324" spans="2:8" hidden="1">
      <c r="B324" s="191"/>
      <c r="C324" s="203"/>
      <c r="D324" s="191"/>
      <c r="E324" s="191"/>
      <c r="F324" s="203"/>
      <c r="G324" s="191"/>
      <c r="H324" s="203"/>
    </row>
    <row r="325" spans="2:8" hidden="1">
      <c r="B325" s="191"/>
      <c r="C325" s="203"/>
      <c r="D325" s="191"/>
      <c r="E325" s="191"/>
      <c r="F325" s="203"/>
      <c r="G325" s="191"/>
      <c r="H325" s="203"/>
    </row>
    <row r="326" spans="2:8" hidden="1">
      <c r="B326" s="191"/>
      <c r="C326" s="203"/>
      <c r="D326" s="191"/>
      <c r="E326" s="191"/>
      <c r="F326" s="203"/>
      <c r="G326" s="191"/>
      <c r="H326" s="203"/>
    </row>
    <row r="327" spans="2:8" hidden="1">
      <c r="B327" s="191"/>
      <c r="C327" s="203"/>
      <c r="D327" s="191"/>
      <c r="E327" s="191"/>
      <c r="F327" s="203"/>
      <c r="G327" s="191"/>
      <c r="H327" s="203"/>
    </row>
    <row r="328" spans="2:8" hidden="1">
      <c r="B328" s="191"/>
      <c r="C328" s="203"/>
      <c r="D328" s="191"/>
      <c r="E328" s="191"/>
      <c r="F328" s="203"/>
      <c r="G328" s="191"/>
      <c r="H328" s="203"/>
    </row>
    <row r="329" spans="2:8" hidden="1">
      <c r="B329" s="191"/>
      <c r="C329" s="203"/>
      <c r="D329" s="191"/>
      <c r="E329" s="191"/>
      <c r="F329" s="203"/>
      <c r="G329" s="191"/>
      <c r="H329" s="203"/>
    </row>
    <row r="330" spans="2:8" hidden="1">
      <c r="B330" s="191"/>
      <c r="C330" s="203"/>
      <c r="D330" s="191"/>
      <c r="E330" s="191"/>
      <c r="F330" s="203"/>
      <c r="G330" s="191"/>
      <c r="H330" s="203"/>
    </row>
    <row r="331" spans="2:8" hidden="1">
      <c r="B331" s="191"/>
      <c r="C331" s="203"/>
      <c r="D331" s="191"/>
      <c r="E331" s="191"/>
      <c r="F331" s="203"/>
      <c r="G331" s="191"/>
      <c r="H331" s="203"/>
    </row>
    <row r="332" spans="2:8" hidden="1">
      <c r="B332" s="191"/>
      <c r="C332" s="203"/>
      <c r="D332" s="191"/>
      <c r="E332" s="191"/>
      <c r="F332" s="203"/>
      <c r="G332" s="191"/>
      <c r="H332" s="203"/>
    </row>
    <row r="333" spans="2:8" hidden="1">
      <c r="B333" s="191"/>
      <c r="C333" s="203"/>
      <c r="D333" s="191"/>
      <c r="E333" s="191"/>
      <c r="F333" s="203"/>
      <c r="G333" s="191"/>
      <c r="H333" s="203"/>
    </row>
    <row r="334" spans="2:8" hidden="1">
      <c r="B334" s="191"/>
      <c r="C334" s="203"/>
      <c r="D334" s="191"/>
      <c r="E334" s="191"/>
      <c r="F334" s="203"/>
      <c r="G334" s="191"/>
      <c r="H334" s="203"/>
    </row>
    <row r="335" spans="2:8" hidden="1">
      <c r="B335" s="191"/>
      <c r="C335" s="203"/>
      <c r="D335" s="191"/>
      <c r="E335" s="191"/>
      <c r="F335" s="203"/>
      <c r="G335" s="191"/>
      <c r="H335" s="203"/>
    </row>
    <row r="336" spans="2:8" hidden="1">
      <c r="B336" s="191"/>
      <c r="C336" s="203"/>
      <c r="D336" s="191"/>
      <c r="E336" s="191"/>
      <c r="F336" s="203"/>
      <c r="G336" s="191"/>
      <c r="H336" s="203"/>
    </row>
    <row r="337" spans="2:8" hidden="1">
      <c r="B337" s="191"/>
      <c r="C337" s="203"/>
      <c r="D337" s="191"/>
      <c r="E337" s="191"/>
      <c r="F337" s="203"/>
      <c r="G337" s="191"/>
      <c r="H337" s="203"/>
    </row>
    <row r="338" spans="2:8" hidden="1">
      <c r="B338" s="191"/>
      <c r="C338" s="203"/>
      <c r="D338" s="191"/>
      <c r="E338" s="191"/>
      <c r="F338" s="203"/>
      <c r="G338" s="191"/>
      <c r="H338" s="203"/>
    </row>
    <row r="339" spans="2:8" hidden="1">
      <c r="B339" s="191"/>
      <c r="C339" s="203"/>
      <c r="D339" s="191"/>
      <c r="E339" s="191"/>
      <c r="F339" s="203"/>
      <c r="G339" s="191"/>
      <c r="H339" s="203"/>
    </row>
    <row r="340" spans="2:8" hidden="1">
      <c r="B340" s="191"/>
      <c r="C340" s="203"/>
      <c r="D340" s="191"/>
      <c r="E340" s="191"/>
      <c r="F340" s="203"/>
      <c r="G340" s="191"/>
      <c r="H340" s="203"/>
    </row>
    <row r="341" spans="2:8" hidden="1">
      <c r="B341" s="191"/>
      <c r="C341" s="203"/>
      <c r="D341" s="191"/>
      <c r="E341" s="191"/>
      <c r="F341" s="203"/>
      <c r="G341" s="191"/>
      <c r="H341" s="203"/>
    </row>
    <row r="342" spans="2:8" hidden="1">
      <c r="B342" s="191"/>
      <c r="C342" s="203"/>
      <c r="D342" s="191"/>
      <c r="E342" s="191"/>
      <c r="F342" s="203"/>
      <c r="G342" s="191"/>
      <c r="H342" s="203"/>
    </row>
    <row r="343" spans="2:8" hidden="1">
      <c r="B343" s="191"/>
      <c r="C343" s="203"/>
      <c r="D343" s="191"/>
      <c r="E343" s="191"/>
      <c r="F343" s="203"/>
      <c r="G343" s="191"/>
      <c r="H343" s="203"/>
    </row>
    <row r="344" spans="2:8" hidden="1">
      <c r="B344" s="191"/>
      <c r="C344" s="203"/>
      <c r="D344" s="191"/>
      <c r="E344" s="191"/>
      <c r="F344" s="203"/>
      <c r="G344" s="191"/>
      <c r="H344" s="203"/>
    </row>
    <row r="345" spans="2:8" hidden="1">
      <c r="B345" s="191"/>
      <c r="C345" s="203"/>
      <c r="D345" s="191"/>
      <c r="E345" s="191"/>
      <c r="F345" s="203"/>
      <c r="G345" s="191"/>
      <c r="H345" s="203"/>
    </row>
    <row r="346" spans="2:8" hidden="1">
      <c r="B346" s="191"/>
      <c r="C346" s="203"/>
      <c r="D346" s="191"/>
      <c r="E346" s="191"/>
      <c r="F346" s="203"/>
      <c r="G346" s="191"/>
      <c r="H346" s="203"/>
    </row>
    <row r="347" spans="2:8" hidden="1">
      <c r="B347" s="191"/>
      <c r="C347" s="203"/>
      <c r="D347" s="191"/>
      <c r="E347" s="191"/>
      <c r="F347" s="203"/>
      <c r="G347" s="191"/>
      <c r="H347" s="203"/>
    </row>
    <row r="348" spans="2:8" hidden="1">
      <c r="B348" s="191"/>
      <c r="C348" s="203"/>
      <c r="D348" s="191"/>
      <c r="E348" s="191"/>
      <c r="F348" s="203"/>
      <c r="G348" s="191"/>
      <c r="H348" s="203"/>
    </row>
    <row r="349" spans="2:8" hidden="1">
      <c r="B349" s="191"/>
      <c r="C349" s="203"/>
      <c r="D349" s="191"/>
      <c r="E349" s="191"/>
      <c r="F349" s="203"/>
      <c r="G349" s="191"/>
      <c r="H349" s="203"/>
    </row>
    <row r="350" spans="2:8" hidden="1">
      <c r="B350" s="191"/>
      <c r="C350" s="203"/>
      <c r="D350" s="191"/>
      <c r="E350" s="191"/>
      <c r="F350" s="203"/>
      <c r="G350" s="191"/>
      <c r="H350" s="203"/>
    </row>
    <row r="351" spans="2:8" hidden="1">
      <c r="B351" s="191"/>
      <c r="C351" s="203"/>
      <c r="D351" s="191"/>
      <c r="E351" s="191"/>
      <c r="F351" s="203"/>
      <c r="G351" s="191"/>
      <c r="H351" s="203"/>
    </row>
    <row r="352" spans="2:8" hidden="1">
      <c r="B352" s="191"/>
      <c r="C352" s="203"/>
      <c r="D352" s="191"/>
      <c r="E352" s="191"/>
      <c r="F352" s="203"/>
      <c r="G352" s="191"/>
      <c r="H352" s="203"/>
    </row>
    <row r="353" spans="2:8" hidden="1">
      <c r="B353" s="191"/>
      <c r="C353" s="203"/>
      <c r="D353" s="191"/>
      <c r="E353" s="191"/>
      <c r="F353" s="203"/>
      <c r="G353" s="191"/>
      <c r="H353" s="203"/>
    </row>
    <row r="354" spans="2:8" hidden="1">
      <c r="B354" s="191"/>
      <c r="C354" s="203"/>
      <c r="D354" s="191"/>
      <c r="E354" s="191"/>
      <c r="F354" s="203"/>
      <c r="G354" s="191"/>
      <c r="H354" s="203"/>
    </row>
    <row r="355" spans="2:8" hidden="1">
      <c r="B355" s="191"/>
      <c r="C355" s="203"/>
      <c r="D355" s="191"/>
      <c r="E355" s="191"/>
      <c r="F355" s="203"/>
      <c r="G355" s="191"/>
      <c r="H355" s="203"/>
    </row>
    <row r="356" spans="2:8" hidden="1">
      <c r="B356" s="191"/>
      <c r="C356" s="203"/>
      <c r="D356" s="191"/>
      <c r="E356" s="191"/>
      <c r="F356" s="203"/>
      <c r="G356" s="191"/>
      <c r="H356" s="203"/>
    </row>
    <row r="357" spans="2:8" hidden="1">
      <c r="B357" s="191"/>
      <c r="C357" s="203"/>
      <c r="D357" s="191"/>
      <c r="E357" s="191"/>
      <c r="F357" s="203"/>
      <c r="G357" s="191"/>
      <c r="H357" s="203"/>
    </row>
    <row r="358" spans="2:8" hidden="1">
      <c r="B358" s="191"/>
      <c r="C358" s="203"/>
      <c r="D358" s="191"/>
      <c r="E358" s="191"/>
      <c r="F358" s="203"/>
      <c r="G358" s="191"/>
      <c r="H358" s="203"/>
    </row>
    <row r="359" spans="2:8" hidden="1">
      <c r="B359" s="191"/>
      <c r="C359" s="203"/>
      <c r="D359" s="191"/>
      <c r="E359" s="191"/>
      <c r="F359" s="203"/>
      <c r="G359" s="191"/>
      <c r="H359" s="203"/>
    </row>
    <row r="360" spans="2:8" hidden="1">
      <c r="B360" s="191"/>
      <c r="C360" s="203"/>
      <c r="D360" s="191"/>
      <c r="E360" s="191"/>
      <c r="F360" s="203"/>
      <c r="G360" s="191"/>
      <c r="H360" s="203"/>
    </row>
    <row r="361" spans="2:8" hidden="1">
      <c r="B361" s="191"/>
      <c r="C361" s="203"/>
      <c r="D361" s="191"/>
      <c r="E361" s="191"/>
      <c r="F361" s="203"/>
      <c r="G361" s="191"/>
      <c r="H361" s="203"/>
    </row>
    <row r="362" spans="2:8" hidden="1">
      <c r="B362" s="191"/>
      <c r="C362" s="203"/>
      <c r="D362" s="191"/>
      <c r="E362" s="191"/>
      <c r="F362" s="203"/>
      <c r="G362" s="191"/>
      <c r="H362" s="203"/>
    </row>
    <row r="363" spans="2:8" hidden="1">
      <c r="B363" s="191"/>
      <c r="C363" s="203"/>
      <c r="D363" s="191"/>
      <c r="E363" s="191"/>
      <c r="F363" s="203"/>
      <c r="G363" s="191"/>
      <c r="H363" s="203"/>
    </row>
    <row r="364" spans="2:8" hidden="1">
      <c r="B364" s="191"/>
      <c r="C364" s="203"/>
      <c r="D364" s="191"/>
      <c r="E364" s="191"/>
      <c r="F364" s="203"/>
      <c r="G364" s="191"/>
      <c r="H364" s="203"/>
    </row>
    <row r="365" spans="2:8" hidden="1">
      <c r="B365" s="191"/>
      <c r="C365" s="203"/>
      <c r="D365" s="191"/>
      <c r="E365" s="191"/>
      <c r="F365" s="203"/>
      <c r="G365" s="191"/>
      <c r="H365" s="203"/>
    </row>
    <row r="366" spans="2:8" hidden="1">
      <c r="B366" s="191"/>
      <c r="C366" s="203"/>
      <c r="D366" s="191"/>
      <c r="E366" s="191"/>
      <c r="F366" s="203"/>
      <c r="G366" s="191"/>
      <c r="H366" s="203"/>
    </row>
    <row r="367" spans="2:8" hidden="1">
      <c r="B367" s="191"/>
      <c r="C367" s="203"/>
      <c r="D367" s="191"/>
      <c r="E367" s="191"/>
      <c r="F367" s="203"/>
      <c r="G367" s="191"/>
      <c r="H367" s="203"/>
    </row>
    <row r="368" spans="2:8" hidden="1">
      <c r="B368" s="191"/>
      <c r="C368" s="203"/>
      <c r="D368" s="191"/>
      <c r="E368" s="191"/>
      <c r="F368" s="203"/>
      <c r="G368" s="191"/>
      <c r="H368" s="203"/>
    </row>
    <row r="369" spans="2:8" hidden="1">
      <c r="B369" s="191"/>
      <c r="C369" s="203"/>
      <c r="D369" s="191"/>
      <c r="E369" s="191"/>
      <c r="F369" s="203"/>
      <c r="G369" s="191"/>
      <c r="H369" s="203"/>
    </row>
    <row r="370" spans="2:8" hidden="1">
      <c r="B370" s="191"/>
      <c r="C370" s="203"/>
      <c r="D370" s="191"/>
      <c r="E370" s="191"/>
      <c r="F370" s="203"/>
      <c r="G370" s="191"/>
      <c r="H370" s="203"/>
    </row>
    <row r="371" spans="2:8" hidden="1">
      <c r="B371" s="191"/>
      <c r="C371" s="203"/>
      <c r="D371" s="191"/>
      <c r="E371" s="191"/>
      <c r="F371" s="203"/>
      <c r="G371" s="191"/>
      <c r="H371" s="203"/>
    </row>
    <row r="372" spans="2:8" hidden="1">
      <c r="B372" s="191"/>
      <c r="C372" s="203"/>
      <c r="D372" s="191"/>
      <c r="E372" s="191"/>
      <c r="F372" s="203"/>
      <c r="G372" s="191"/>
      <c r="H372" s="203"/>
    </row>
    <row r="373" spans="2:8" hidden="1">
      <c r="B373" s="191"/>
      <c r="C373" s="203"/>
      <c r="D373" s="191"/>
      <c r="E373" s="191"/>
      <c r="F373" s="203"/>
      <c r="G373" s="191"/>
      <c r="H373" s="203"/>
    </row>
    <row r="374" spans="2:8" hidden="1">
      <c r="B374" s="191"/>
      <c r="C374" s="203"/>
      <c r="D374" s="191"/>
      <c r="E374" s="191"/>
      <c r="F374" s="203"/>
      <c r="G374" s="191"/>
      <c r="H374" s="203"/>
    </row>
    <row r="375" spans="2:8" hidden="1">
      <c r="B375" s="191"/>
      <c r="C375" s="203"/>
      <c r="D375" s="191"/>
      <c r="E375" s="191"/>
      <c r="F375" s="203"/>
      <c r="G375" s="191"/>
      <c r="H375" s="203"/>
    </row>
    <row r="376" spans="2:8" hidden="1">
      <c r="B376" s="191"/>
      <c r="C376" s="203"/>
      <c r="D376" s="191"/>
      <c r="E376" s="191"/>
      <c r="F376" s="203"/>
      <c r="G376" s="191"/>
      <c r="H376" s="203"/>
    </row>
  </sheetData>
  <sheetProtection password="9F78" sheet="1" objects="1" scenarios="1"/>
  <mergeCells count="12">
    <mergeCell ref="B1:K1"/>
    <mergeCell ref="E2:H2"/>
    <mergeCell ref="E3:H3"/>
    <mergeCell ref="E4:H4"/>
    <mergeCell ref="E24:H24"/>
    <mergeCell ref="C26:D28"/>
    <mergeCell ref="C56:D58"/>
    <mergeCell ref="E25:H25"/>
    <mergeCell ref="E26:H26"/>
    <mergeCell ref="E54:H54"/>
    <mergeCell ref="E55:H55"/>
    <mergeCell ref="E56:H56"/>
  </mergeCells>
  <pageMargins left="1" right="1" top="1" bottom="1" header="0.5" footer="0.5"/>
  <pageSetup scale="56" fitToHeight="2" orientation="landscape" r:id="rId1"/>
  <headerFooter>
    <oddHeader>&amp;COPG 2014-2015 Test Period Consumer Impact</oddHeader>
  </headerFooter>
  <ignoredErrors>
    <ignoredError sqref="G8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Hendel</cp:lastModifiedBy>
  <cp:lastPrinted>2014-03-16T14:14:54Z</cp:lastPrinted>
  <dcterms:created xsi:type="dcterms:W3CDTF">2007-07-01T14:51:25Z</dcterms:created>
  <dcterms:modified xsi:type="dcterms:W3CDTF">2014-03-16T14:23:20Z</dcterms:modified>
</cp:coreProperties>
</file>