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30" windowWidth="11940" windowHeight="5730" tabRatio="595" firstSheet="15" activeTab="18"/>
  </bookViews>
  <sheets>
    <sheet name="Revenue Input" sheetId="17" r:id="rId1"/>
    <sheet name="Transformer Allowance" sheetId="16" r:id="rId2"/>
    <sheet name="2011 Existing Rates" sheetId="10" r:id="rId3"/>
    <sheet name="2012 Test Yr On Existing Rates" sheetId="12" r:id="rId4"/>
    <sheet name="Forecast Data For 2012" sheetId="13" r:id="rId5"/>
    <sheet name="Cost Allocation Study" sheetId="7" r:id="rId6"/>
    <sheet name="Rates By Rate Class" sheetId="2" r:id="rId7"/>
    <sheet name="Allocation Low Voltage Costs" sheetId="5" r:id="rId8"/>
    <sheet name="Low Voltage Rates" sheetId="4" r:id="rId9"/>
    <sheet name="LRAM and SSM Rate Rider" sheetId="28" r:id="rId10"/>
    <sheet name="2012 Rate Rider" sheetId="18" r:id="rId11"/>
    <sheet name="Distribution Rate Schedule" sheetId="14" r:id="rId12"/>
    <sheet name="Other Electriciy Rates" sheetId="19" r:id="rId13"/>
    <sheet name="BILL IMPACTS " sheetId="30" r:id="rId14"/>
    <sheet name="Rate Schedule (Part 1)" sheetId="24" r:id="rId15"/>
    <sheet name="Rate Schedule (Part 2)" sheetId="25" r:id="rId16"/>
    <sheet name="Dist. Rev. Reconciliation" sheetId="15" r:id="rId17"/>
    <sheet name="Revenue Deficiency Analysis" sheetId="27" r:id="rId18"/>
    <sheet name="Sheet1" sheetId="31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5">'Cost Allocation Study'!$A$1:$M$17</definedName>
    <definedName name="_xlnm.Print_Area" localSheetId="11">'Distribution Rate Schedule'!$A$1:$E$45</definedName>
    <definedName name="_xlnm.Print_Area" localSheetId="8">'Low Voltage Rates'!$A$1:$H$16</definedName>
    <definedName name="_xlnm.Print_Area" localSheetId="9">'LRAM and SSM Rate Rider'!$A$1:$L$18</definedName>
    <definedName name="_xlnm.Print_Area" localSheetId="15">'Rate Schedule (Part 2)'!$B$5:$D$51</definedName>
    <definedName name="_xlnm.Print_Area" localSheetId="17">'Revenue Deficiency Analysis'!$A$1:$I$30</definedName>
  </definedNames>
  <calcPr calcId="125725" iterate="1"/>
</workbook>
</file>

<file path=xl/calcChain.xml><?xml version="1.0" encoding="utf-8"?>
<calcChain xmlns="http://schemas.openxmlformats.org/spreadsheetml/2006/main">
  <c r="B12" i="17"/>
  <c r="B9"/>
  <c r="D13" i="5"/>
  <c r="G24" i="12"/>
  <c r="F17" i="5"/>
  <c r="E8" i="18"/>
  <c r="L220" i="30"/>
  <c r="M220"/>
  <c r="N220"/>
  <c r="E7" i="18"/>
  <c r="L17" i="30"/>
  <c r="L40"/>
  <c r="M40"/>
  <c r="M17"/>
  <c r="N17"/>
  <c r="A14" i="5"/>
  <c r="A13" i="4"/>
  <c r="A13" i="5"/>
  <c r="A15" i="28"/>
  <c r="A12" i="5"/>
  <c r="A11"/>
  <c r="A10" i="4"/>
  <c r="A14" i="28"/>
  <c r="A10" i="5"/>
  <c r="A9" i="4"/>
  <c r="A11" i="28"/>
  <c r="A9" i="5"/>
  <c r="A8"/>
  <c r="I124" i="30"/>
  <c r="M123"/>
  <c r="M201"/>
  <c r="H11" i="7"/>
  <c r="I11"/>
  <c r="H12"/>
  <c r="D32" i="13"/>
  <c r="D31"/>
  <c r="D30"/>
  <c r="C29"/>
  <c r="C28"/>
  <c r="D13" i="4"/>
  <c r="C27" i="13"/>
  <c r="C24"/>
  <c r="C23"/>
  <c r="C22"/>
  <c r="B13" i="27"/>
  <c r="C21" i="13"/>
  <c r="D10" i="4"/>
  <c r="D14" i="28"/>
  <c r="F14"/>
  <c r="C14" i="12"/>
  <c r="G14"/>
  <c r="H14"/>
  <c r="J14"/>
  <c r="C20" i="13"/>
  <c r="F13" i="27"/>
  <c r="G13"/>
  <c r="C19" i="13"/>
  <c r="C18"/>
  <c r="D11" i="4"/>
  <c r="D13" i="28"/>
  <c r="C17" i="13"/>
  <c r="C13"/>
  <c r="C12"/>
  <c r="C11"/>
  <c r="C10"/>
  <c r="C9"/>
  <c r="C8"/>
  <c r="C7"/>
  <c r="H511" i="30"/>
  <c r="K511"/>
  <c r="H509"/>
  <c r="J507"/>
  <c r="J509"/>
  <c r="J510"/>
  <c r="H507"/>
  <c r="G507"/>
  <c r="J505"/>
  <c r="H505"/>
  <c r="I505"/>
  <c r="G505"/>
  <c r="K504"/>
  <c r="L504"/>
  <c r="J504"/>
  <c r="J503"/>
  <c r="I503"/>
  <c r="G503"/>
  <c r="H502"/>
  <c r="I502"/>
  <c r="G502"/>
  <c r="J501"/>
  <c r="H501"/>
  <c r="I501"/>
  <c r="G501"/>
  <c r="H490"/>
  <c r="K490"/>
  <c r="H488"/>
  <c r="J486"/>
  <c r="H486"/>
  <c r="G486"/>
  <c r="G488"/>
  <c r="G489"/>
  <c r="G490"/>
  <c r="J490"/>
  <c r="L490"/>
  <c r="J484"/>
  <c r="H484"/>
  <c r="I484"/>
  <c r="G484"/>
  <c r="K483"/>
  <c r="L483"/>
  <c r="J483"/>
  <c r="I483"/>
  <c r="I504"/>
  <c r="M504"/>
  <c r="N504"/>
  <c r="J482"/>
  <c r="I482"/>
  <c r="G482"/>
  <c r="H481"/>
  <c r="I481"/>
  <c r="G481"/>
  <c r="J480"/>
  <c r="J481"/>
  <c r="H480"/>
  <c r="I480"/>
  <c r="G480"/>
  <c r="I479"/>
  <c r="I500"/>
  <c r="H469"/>
  <c r="K469"/>
  <c r="H467"/>
  <c r="H465"/>
  <c r="H463"/>
  <c r="K462"/>
  <c r="L462"/>
  <c r="J462"/>
  <c r="I462"/>
  <c r="H460"/>
  <c r="H459"/>
  <c r="H458"/>
  <c r="J456"/>
  <c r="G456"/>
  <c r="H447"/>
  <c r="K447"/>
  <c r="H445"/>
  <c r="H443"/>
  <c r="H441"/>
  <c r="K440"/>
  <c r="L440"/>
  <c r="J440"/>
  <c r="I440"/>
  <c r="H438"/>
  <c r="H437"/>
  <c r="H436"/>
  <c r="J434"/>
  <c r="G434"/>
  <c r="K424"/>
  <c r="H424"/>
  <c r="J422"/>
  <c r="H422"/>
  <c r="G422"/>
  <c r="J420"/>
  <c r="H420"/>
  <c r="I420"/>
  <c r="G420"/>
  <c r="J418"/>
  <c r="H418"/>
  <c r="I418"/>
  <c r="G418"/>
  <c r="J417"/>
  <c r="L414"/>
  <c r="I414"/>
  <c r="M414"/>
  <c r="N414"/>
  <c r="J413"/>
  <c r="H413"/>
  <c r="I413"/>
  <c r="G413"/>
  <c r="J412"/>
  <c r="H412"/>
  <c r="I412"/>
  <c r="G412"/>
  <c r="I411"/>
  <c r="J409"/>
  <c r="G409"/>
  <c r="K400"/>
  <c r="H400"/>
  <c r="J398"/>
  <c r="J399"/>
  <c r="H398"/>
  <c r="G398"/>
  <c r="G399"/>
  <c r="G400"/>
  <c r="J400"/>
  <c r="L400"/>
  <c r="J396"/>
  <c r="H396"/>
  <c r="I396"/>
  <c r="G396"/>
  <c r="J394"/>
  <c r="H394"/>
  <c r="I394"/>
  <c r="G394"/>
  <c r="J393"/>
  <c r="L390"/>
  <c r="I390"/>
  <c r="M390"/>
  <c r="N390"/>
  <c r="J389"/>
  <c r="H389"/>
  <c r="I389"/>
  <c r="H388"/>
  <c r="I388"/>
  <c r="G388"/>
  <c r="I387"/>
  <c r="J385"/>
  <c r="G385"/>
  <c r="K376"/>
  <c r="H376"/>
  <c r="J374"/>
  <c r="J375"/>
  <c r="H374"/>
  <c r="G374"/>
  <c r="G375"/>
  <c r="G376"/>
  <c r="J372"/>
  <c r="H372"/>
  <c r="I372"/>
  <c r="G372"/>
  <c r="J370"/>
  <c r="H370"/>
  <c r="I370"/>
  <c r="G370"/>
  <c r="J369"/>
  <c r="L366"/>
  <c r="I366"/>
  <c r="M366"/>
  <c r="N366"/>
  <c r="J365"/>
  <c r="H365"/>
  <c r="I365"/>
  <c r="H364"/>
  <c r="I364"/>
  <c r="G364"/>
  <c r="I363"/>
  <c r="J361"/>
  <c r="G361"/>
  <c r="K352"/>
  <c r="H352"/>
  <c r="J350"/>
  <c r="H350"/>
  <c r="G350"/>
  <c r="G351"/>
  <c r="G352"/>
  <c r="J348"/>
  <c r="H348"/>
  <c r="I348"/>
  <c r="G348"/>
  <c r="J346"/>
  <c r="H346"/>
  <c r="I346"/>
  <c r="G346"/>
  <c r="J345"/>
  <c r="L342"/>
  <c r="I342"/>
  <c r="M342"/>
  <c r="N342"/>
  <c r="J341"/>
  <c r="H341"/>
  <c r="I341"/>
  <c r="H340"/>
  <c r="I340"/>
  <c r="G340"/>
  <c r="I339"/>
  <c r="J337"/>
  <c r="G337"/>
  <c r="K328"/>
  <c r="H328"/>
  <c r="J326"/>
  <c r="H326"/>
  <c r="G326"/>
  <c r="G327"/>
  <c r="G328"/>
  <c r="J328"/>
  <c r="L328"/>
  <c r="J324"/>
  <c r="H324"/>
  <c r="I324"/>
  <c r="G324"/>
  <c r="J322"/>
  <c r="H322"/>
  <c r="I322"/>
  <c r="G322"/>
  <c r="K321"/>
  <c r="K417"/>
  <c r="L417"/>
  <c r="J321"/>
  <c r="I321"/>
  <c r="I393"/>
  <c r="L320"/>
  <c r="L392"/>
  <c r="M392"/>
  <c r="N392"/>
  <c r="I318"/>
  <c r="M318"/>
  <c r="N318"/>
  <c r="J317"/>
  <c r="H317"/>
  <c r="H316"/>
  <c r="I316"/>
  <c r="G316"/>
  <c r="I315"/>
  <c r="J313"/>
  <c r="G313"/>
  <c r="K304"/>
  <c r="H304"/>
  <c r="K303"/>
  <c r="H303"/>
  <c r="K302"/>
  <c r="L302"/>
  <c r="H302"/>
  <c r="I302"/>
  <c r="H301"/>
  <c r="G301"/>
  <c r="G303"/>
  <c r="J299"/>
  <c r="J301"/>
  <c r="H299"/>
  <c r="G299"/>
  <c r="J297"/>
  <c r="H297"/>
  <c r="I297"/>
  <c r="G297"/>
  <c r="K296"/>
  <c r="L296"/>
  <c r="J296"/>
  <c r="I295"/>
  <c r="J294"/>
  <c r="H294"/>
  <c r="I294"/>
  <c r="G294"/>
  <c r="I293"/>
  <c r="J292"/>
  <c r="H292"/>
  <c r="I292"/>
  <c r="J291"/>
  <c r="H291"/>
  <c r="I291"/>
  <c r="G291"/>
  <c r="I290"/>
  <c r="J288"/>
  <c r="G288"/>
  <c r="K279"/>
  <c r="H279"/>
  <c r="K278"/>
  <c r="H278"/>
  <c r="K277"/>
  <c r="L277"/>
  <c r="H277"/>
  <c r="I277"/>
  <c r="H276"/>
  <c r="G276"/>
  <c r="G279"/>
  <c r="J274"/>
  <c r="J276"/>
  <c r="J278"/>
  <c r="H274"/>
  <c r="G274"/>
  <c r="J272"/>
  <c r="H272"/>
  <c r="I272"/>
  <c r="G272"/>
  <c r="K271"/>
  <c r="L271"/>
  <c r="J271"/>
  <c r="I270"/>
  <c r="J269"/>
  <c r="H269"/>
  <c r="G269"/>
  <c r="I269"/>
  <c r="I268"/>
  <c r="J267"/>
  <c r="H267"/>
  <c r="I267"/>
  <c r="J266"/>
  <c r="H266"/>
  <c r="I266"/>
  <c r="G266"/>
  <c r="I265"/>
  <c r="J263"/>
  <c r="G263"/>
  <c r="K254"/>
  <c r="H254"/>
  <c r="K253"/>
  <c r="H253"/>
  <c r="K252"/>
  <c r="L252"/>
  <c r="H252"/>
  <c r="I252"/>
  <c r="H251"/>
  <c r="G251"/>
  <c r="G253"/>
  <c r="J249"/>
  <c r="J251"/>
  <c r="H249"/>
  <c r="G249"/>
  <c r="J247"/>
  <c r="H247"/>
  <c r="I247"/>
  <c r="G247"/>
  <c r="K246"/>
  <c r="L246"/>
  <c r="J246"/>
  <c r="I245"/>
  <c r="J244"/>
  <c r="H244"/>
  <c r="G244"/>
  <c r="I244"/>
  <c r="I243"/>
  <c r="J242"/>
  <c r="H242"/>
  <c r="I242"/>
  <c r="J241"/>
  <c r="H241"/>
  <c r="I241"/>
  <c r="G241"/>
  <c r="I240"/>
  <c r="J238"/>
  <c r="G238"/>
  <c r="K229"/>
  <c r="H229"/>
  <c r="K228"/>
  <c r="H228"/>
  <c r="K227"/>
  <c r="L227"/>
  <c r="H227"/>
  <c r="I227"/>
  <c r="H226"/>
  <c r="G226"/>
  <c r="G228"/>
  <c r="I228"/>
  <c r="J224"/>
  <c r="J226"/>
  <c r="J228"/>
  <c r="H224"/>
  <c r="G224"/>
  <c r="J222"/>
  <c r="H222"/>
  <c r="I222"/>
  <c r="G222"/>
  <c r="K221"/>
  <c r="L221"/>
  <c r="J221"/>
  <c r="I220"/>
  <c r="J219"/>
  <c r="I219"/>
  <c r="H219"/>
  <c r="G219"/>
  <c r="I218"/>
  <c r="J217"/>
  <c r="H217"/>
  <c r="I217"/>
  <c r="G217"/>
  <c r="J216"/>
  <c r="H216"/>
  <c r="I216"/>
  <c r="G216"/>
  <c r="I215"/>
  <c r="J213"/>
  <c r="G213"/>
  <c r="K200"/>
  <c r="H200"/>
  <c r="K199"/>
  <c r="H199"/>
  <c r="K198"/>
  <c r="L198"/>
  <c r="H198"/>
  <c r="I198"/>
  <c r="H197"/>
  <c r="G197"/>
  <c r="J195"/>
  <c r="J197"/>
  <c r="H195"/>
  <c r="G195"/>
  <c r="J193"/>
  <c r="H193"/>
  <c r="I193"/>
  <c r="G193"/>
  <c r="K192"/>
  <c r="L192"/>
  <c r="J192"/>
  <c r="I192"/>
  <c r="I296"/>
  <c r="I191"/>
  <c r="J190"/>
  <c r="I190"/>
  <c r="G190"/>
  <c r="I189"/>
  <c r="J188"/>
  <c r="H188"/>
  <c r="I188"/>
  <c r="G188"/>
  <c r="J187"/>
  <c r="H187"/>
  <c r="I187"/>
  <c r="G187"/>
  <c r="I186"/>
  <c r="J184"/>
  <c r="G184"/>
  <c r="K174"/>
  <c r="H174"/>
  <c r="K173"/>
  <c r="L173"/>
  <c r="H173"/>
  <c r="I173"/>
  <c r="M173"/>
  <c r="N173"/>
  <c r="K172"/>
  <c r="H172"/>
  <c r="G172"/>
  <c r="G174"/>
  <c r="J170"/>
  <c r="J172"/>
  <c r="H170"/>
  <c r="G170"/>
  <c r="J168"/>
  <c r="G168"/>
  <c r="J167"/>
  <c r="I166"/>
  <c r="J165"/>
  <c r="G165"/>
  <c r="J162"/>
  <c r="G162"/>
  <c r="J159"/>
  <c r="G159"/>
  <c r="K149"/>
  <c r="H149"/>
  <c r="K148"/>
  <c r="L148"/>
  <c r="H148"/>
  <c r="I148"/>
  <c r="K147"/>
  <c r="H147"/>
  <c r="G147"/>
  <c r="G149"/>
  <c r="I149"/>
  <c r="J145"/>
  <c r="J147"/>
  <c r="J149"/>
  <c r="H145"/>
  <c r="G145"/>
  <c r="J143"/>
  <c r="G143"/>
  <c r="J142"/>
  <c r="I141"/>
  <c r="J140"/>
  <c r="G140"/>
  <c r="J138"/>
  <c r="J137"/>
  <c r="G137"/>
  <c r="G138"/>
  <c r="J134"/>
  <c r="G134"/>
  <c r="K121"/>
  <c r="H121"/>
  <c r="K120"/>
  <c r="L120"/>
  <c r="H120"/>
  <c r="I120"/>
  <c r="K119"/>
  <c r="H119"/>
  <c r="G119"/>
  <c r="G122"/>
  <c r="J122"/>
  <c r="J117"/>
  <c r="H117"/>
  <c r="G117"/>
  <c r="J115"/>
  <c r="G115"/>
  <c r="J114"/>
  <c r="I113"/>
  <c r="J112"/>
  <c r="G112"/>
  <c r="J110"/>
  <c r="J109"/>
  <c r="G109"/>
  <c r="G110"/>
  <c r="J106"/>
  <c r="G106"/>
  <c r="K95"/>
  <c r="H95"/>
  <c r="K94"/>
  <c r="L94"/>
  <c r="H94"/>
  <c r="I94"/>
  <c r="K93"/>
  <c r="H93"/>
  <c r="G93"/>
  <c r="G96"/>
  <c r="J96"/>
  <c r="J91"/>
  <c r="H91"/>
  <c r="G91"/>
  <c r="J89"/>
  <c r="G89"/>
  <c r="J88"/>
  <c r="I87"/>
  <c r="J86"/>
  <c r="G86"/>
  <c r="J84"/>
  <c r="J83"/>
  <c r="G83"/>
  <c r="G84"/>
  <c r="J80"/>
  <c r="G80"/>
  <c r="K73"/>
  <c r="K98"/>
  <c r="G70"/>
  <c r="G69"/>
  <c r="J67"/>
  <c r="J69"/>
  <c r="J70"/>
  <c r="G67"/>
  <c r="J65"/>
  <c r="G65"/>
  <c r="J64"/>
  <c r="J62"/>
  <c r="G62"/>
  <c r="I61"/>
  <c r="I139"/>
  <c r="J60"/>
  <c r="J59"/>
  <c r="G59"/>
  <c r="G60"/>
  <c r="I58"/>
  <c r="J56"/>
  <c r="G56"/>
  <c r="K50"/>
  <c r="H50"/>
  <c r="H73"/>
  <c r="H98"/>
  <c r="G47"/>
  <c r="G48"/>
  <c r="J48"/>
  <c r="G46"/>
  <c r="J44"/>
  <c r="G44"/>
  <c r="J42"/>
  <c r="G42"/>
  <c r="J41"/>
  <c r="J39"/>
  <c r="H39"/>
  <c r="H62"/>
  <c r="G39"/>
  <c r="I38"/>
  <c r="J36"/>
  <c r="J37"/>
  <c r="G36"/>
  <c r="G37"/>
  <c r="I35"/>
  <c r="J33"/>
  <c r="G33"/>
  <c r="K25"/>
  <c r="K48"/>
  <c r="K71"/>
  <c r="H25"/>
  <c r="H48"/>
  <c r="H71"/>
  <c r="K24"/>
  <c r="K47"/>
  <c r="K70"/>
  <c r="H24"/>
  <c r="H47"/>
  <c r="G24"/>
  <c r="G25"/>
  <c r="H23"/>
  <c r="G23"/>
  <c r="J21"/>
  <c r="J23"/>
  <c r="H21"/>
  <c r="H44"/>
  <c r="G21"/>
  <c r="J19"/>
  <c r="H19"/>
  <c r="H42"/>
  <c r="I42"/>
  <c r="G19"/>
  <c r="K18"/>
  <c r="K41"/>
  <c r="L41"/>
  <c r="J18"/>
  <c r="I18"/>
  <c r="I41"/>
  <c r="I64"/>
  <c r="I88"/>
  <c r="I114"/>
  <c r="I142"/>
  <c r="I167"/>
  <c r="J16"/>
  <c r="G16"/>
  <c r="I16"/>
  <c r="I15"/>
  <c r="H14"/>
  <c r="J13"/>
  <c r="H13"/>
  <c r="H36"/>
  <c r="H59"/>
  <c r="H83"/>
  <c r="I83"/>
  <c r="G13"/>
  <c r="I12"/>
  <c r="B3"/>
  <c r="B2"/>
  <c r="B1"/>
  <c r="A12" i="4"/>
  <c r="A11"/>
  <c r="A13" i="28"/>
  <c r="A8" i="4"/>
  <c r="A10" i="28"/>
  <c r="A7" i="4"/>
  <c r="A9" i="28"/>
  <c r="C31" i="19"/>
  <c r="D31"/>
  <c r="K509" i="30"/>
  <c r="B16" i="19"/>
  <c r="F14"/>
  <c r="F15"/>
  <c r="F12"/>
  <c r="C27"/>
  <c r="D27"/>
  <c r="K422" i="30"/>
  <c r="C29" i="19"/>
  <c r="D29"/>
  <c r="K467" i="30"/>
  <c r="C30" i="19"/>
  <c r="D30"/>
  <c r="K445" i="30"/>
  <c r="C33" i="19"/>
  <c r="D33"/>
  <c r="E33"/>
  <c r="D18"/>
  <c r="C18"/>
  <c r="D16"/>
  <c r="C16"/>
  <c r="C15"/>
  <c r="D15"/>
  <c r="D14"/>
  <c r="C14"/>
  <c r="C12"/>
  <c r="D12"/>
  <c r="C11"/>
  <c r="J12"/>
  <c r="C26"/>
  <c r="C25"/>
  <c r="D26"/>
  <c r="K301" i="30"/>
  <c r="B11" i="19"/>
  <c r="D11"/>
  <c r="O5" i="28"/>
  <c r="L15"/>
  <c r="E61" i="24"/>
  <c r="D25" i="19"/>
  <c r="D10"/>
  <c r="C10"/>
  <c r="B10"/>
  <c r="D65" i="10"/>
  <c r="B60"/>
  <c r="B61"/>
  <c r="D62"/>
  <c r="F12" i="12"/>
  <c r="D63" i="10"/>
  <c r="G12" i="12"/>
  <c r="D68" i="10"/>
  <c r="B66"/>
  <c r="D64"/>
  <c r="F16" i="12"/>
  <c r="D67" i="10"/>
  <c r="B10" i="28"/>
  <c r="B18" s="1"/>
  <c r="B11"/>
  <c r="B9"/>
  <c r="F9" s="1"/>
  <c r="H9" s="1"/>
  <c r="F34" i="2"/>
  <c r="F32"/>
  <c r="A16" i="10"/>
  <c r="A15" i="7"/>
  <c r="A16" i="2"/>
  <c r="A34"/>
  <c r="A15" i="10"/>
  <c r="A14" i="7"/>
  <c r="A15" i="2"/>
  <c r="A15" i="15"/>
  <c r="A15" i="27"/>
  <c r="A2" i="10"/>
  <c r="C16" i="12"/>
  <c r="G16"/>
  <c r="H16"/>
  <c r="J16"/>
  <c r="C13" i="16"/>
  <c r="I12" i="12"/>
  <c r="F18" i="19"/>
  <c r="J10" i="7"/>
  <c r="A8" i="10"/>
  <c r="A21"/>
  <c r="A34"/>
  <c r="A60"/>
  <c r="A74"/>
  <c r="A29"/>
  <c r="A42"/>
  <c r="A68"/>
  <c r="A82"/>
  <c r="A28"/>
  <c r="A41"/>
  <c r="A67"/>
  <c r="A81"/>
  <c r="A14"/>
  <c r="A13"/>
  <c r="A26"/>
  <c r="A39"/>
  <c r="A52"/>
  <c r="A65"/>
  <c r="A79"/>
  <c r="A12"/>
  <c r="A25"/>
  <c r="A38"/>
  <c r="A51"/>
  <c r="A64"/>
  <c r="A78"/>
  <c r="A11"/>
  <c r="A24"/>
  <c r="A37"/>
  <c r="A10"/>
  <c r="A9"/>
  <c r="A22"/>
  <c r="A35"/>
  <c r="A48"/>
  <c r="I32" i="19"/>
  <c r="E32"/>
  <c r="A15" i="18"/>
  <c r="A18" i="19"/>
  <c r="A33"/>
  <c r="I18"/>
  <c r="E18"/>
  <c r="I17"/>
  <c r="E17"/>
  <c r="E11" i="27"/>
  <c r="G11"/>
  <c r="C11"/>
  <c r="H11"/>
  <c r="I11"/>
  <c r="G15"/>
  <c r="C15"/>
  <c r="H15"/>
  <c r="D11"/>
  <c r="B11"/>
  <c r="A16" i="15"/>
  <c r="A16" i="27"/>
  <c r="A10" i="7"/>
  <c r="A11" i="2"/>
  <c r="A10" i="18"/>
  <c r="A11" i="7"/>
  <c r="A12"/>
  <c r="A14" i="12"/>
  <c r="A13" i="2"/>
  <c r="A19" i="14"/>
  <c r="A31"/>
  <c r="A43"/>
  <c r="D35"/>
  <c r="D36"/>
  <c r="E37"/>
  <c r="E38"/>
  <c r="C39"/>
  <c r="E39"/>
  <c r="C40"/>
  <c r="E40"/>
  <c r="C41"/>
  <c r="D41"/>
  <c r="C42"/>
  <c r="E42"/>
  <c r="E43"/>
  <c r="B36"/>
  <c r="B37"/>
  <c r="B38"/>
  <c r="B18"/>
  <c r="B42"/>
  <c r="B43"/>
  <c r="B35"/>
  <c r="E10" i="28"/>
  <c r="E11"/>
  <c r="E13"/>
  <c r="E14"/>
  <c r="E15"/>
  <c r="E17"/>
  <c r="A16" i="5"/>
  <c r="A15" i="4"/>
  <c r="A17" i="28"/>
  <c r="A7" i="7"/>
  <c r="A8" i="2"/>
  <c r="D14" i="4"/>
  <c r="B12" i="12"/>
  <c r="D7" i="4"/>
  <c r="D16"/>
  <c r="D8"/>
  <c r="D12"/>
  <c r="J14" i="7"/>
  <c r="A17" i="12"/>
  <c r="B68" i="10"/>
  <c r="A55"/>
  <c r="E30" i="14"/>
  <c r="A11"/>
  <c r="A23"/>
  <c r="A35"/>
  <c r="F30" i="2"/>
  <c r="F31"/>
  <c r="A16" i="12"/>
  <c r="D61" i="10"/>
  <c r="D66"/>
  <c r="D60"/>
  <c r="B62"/>
  <c r="B63"/>
  <c r="B64"/>
  <c r="B65"/>
  <c r="B67"/>
  <c r="A54"/>
  <c r="E62" i="24"/>
  <c r="E41"/>
  <c r="E40"/>
  <c r="E10" i="19"/>
  <c r="E11"/>
  <c r="E12"/>
  <c r="E13"/>
  <c r="E14"/>
  <c r="E15"/>
  <c r="E16"/>
  <c r="E28"/>
  <c r="E30"/>
  <c r="I28"/>
  <c r="I21" i="27"/>
  <c r="E9" i="28"/>
  <c r="A47" i="10"/>
  <c r="A3"/>
  <c r="A1"/>
  <c r="A3" i="18"/>
  <c r="F5"/>
  <c r="A9" i="12"/>
  <c r="A2" i="18"/>
  <c r="A1"/>
  <c r="C14" i="16"/>
  <c r="A3" i="12"/>
  <c r="A2"/>
  <c r="A1"/>
  <c r="A3" i="5"/>
  <c r="A2"/>
  <c r="A1"/>
  <c r="I12" i="19"/>
  <c r="I15"/>
  <c r="A3" i="7"/>
  <c r="A2"/>
  <c r="A1"/>
  <c r="A3" i="15"/>
  <c r="A2"/>
  <c r="A1"/>
  <c r="D45" i="14"/>
  <c r="A3"/>
  <c r="A2"/>
  <c r="A1"/>
  <c r="A3" i="13"/>
  <c r="A2"/>
  <c r="A1"/>
  <c r="A3" i="4"/>
  <c r="A2"/>
  <c r="A1"/>
  <c r="A3" i="28"/>
  <c r="C18"/>
  <c r="A2"/>
  <c r="A1"/>
  <c r="I13" i="19"/>
  <c r="A3"/>
  <c r="A2"/>
  <c r="A1"/>
  <c r="A3" i="24"/>
  <c r="E32"/>
  <c r="A2"/>
  <c r="A1"/>
  <c r="A3" i="25"/>
  <c r="D43"/>
  <c r="D44"/>
  <c r="D45"/>
  <c r="D46"/>
  <c r="D47"/>
  <c r="D48"/>
  <c r="D49"/>
  <c r="D50"/>
  <c r="D51"/>
  <c r="A2"/>
  <c r="A1"/>
  <c r="F27" i="2"/>
  <c r="A3"/>
  <c r="F26"/>
  <c r="A2"/>
  <c r="A1"/>
  <c r="A3" i="27"/>
  <c r="A2"/>
  <c r="A1"/>
  <c r="A13" i="16"/>
  <c r="A12"/>
  <c r="A3"/>
  <c r="A1"/>
  <c r="A2"/>
  <c r="I10" i="7"/>
  <c r="K10"/>
  <c r="B11" i="2"/>
  <c r="G11"/>
  <c r="E11"/>
  <c r="D14" i="14"/>
  <c r="E37" i="24"/>
  <c r="C14" i="14"/>
  <c r="C38"/>
  <c r="E36" i="24"/>
  <c r="F11" i="2"/>
  <c r="I14" i="7"/>
  <c r="E10"/>
  <c r="A16" i="14"/>
  <c r="A13" i="15"/>
  <c r="A13" i="27"/>
  <c r="A12" i="18"/>
  <c r="A15" i="19"/>
  <c r="A30"/>
  <c r="A31" i="2"/>
  <c r="A8" i="7"/>
  <c r="A61" i="10"/>
  <c r="A75"/>
  <c r="A27"/>
  <c r="A40"/>
  <c r="A13" i="7"/>
  <c r="A8" i="15"/>
  <c r="A8" i="27"/>
  <c r="A7" i="18"/>
  <c r="A10" i="19"/>
  <c r="A25"/>
  <c r="I14"/>
  <c r="B11" i="24"/>
  <c r="A9" i="7"/>
  <c r="A23" i="10"/>
  <c r="A36"/>
  <c r="A26" i="2"/>
  <c r="A63" i="10"/>
  <c r="A77"/>
  <c r="A50"/>
  <c r="I15" i="27"/>
  <c r="A12" i="2"/>
  <c r="A13" i="12"/>
  <c r="H12"/>
  <c r="J12"/>
  <c r="A12" i="15"/>
  <c r="A12" i="27"/>
  <c r="A15" i="14"/>
  <c r="A11" i="18"/>
  <c r="A14" i="19"/>
  <c r="A29"/>
  <c r="A30" i="2"/>
  <c r="A15" i="12"/>
  <c r="A14" i="2"/>
  <c r="A62" i="10"/>
  <c r="A76"/>
  <c r="A49"/>
  <c r="A66"/>
  <c r="A80"/>
  <c r="A53"/>
  <c r="B50" i="24"/>
  <c r="A28" i="14"/>
  <c r="A40"/>
  <c r="A10" i="12"/>
  <c r="A9" i="2"/>
  <c r="A12" i="14"/>
  <c r="A9" i="15"/>
  <c r="A9" i="27"/>
  <c r="A8" i="18"/>
  <c r="A11" i="19"/>
  <c r="A26"/>
  <c r="A27" i="2"/>
  <c r="A27" i="14"/>
  <c r="A39"/>
  <c r="B43" i="24"/>
  <c r="A13" i="18"/>
  <c r="A16" i="19"/>
  <c r="A31"/>
  <c r="A32" i="2"/>
  <c r="A14" i="15"/>
  <c r="A14" i="27"/>
  <c r="A17" i="14"/>
  <c r="B57" i="24"/>
  <c r="A29" i="14"/>
  <c r="A41"/>
  <c r="A24"/>
  <c r="A36"/>
  <c r="B19" i="24"/>
  <c r="B8" i="5"/>
  <c r="C11"/>
  <c r="B25" i="19"/>
  <c r="K44" i="30"/>
  <c r="L44"/>
  <c r="M44"/>
  <c r="N44"/>
  <c r="C10" i="5"/>
  <c r="C14"/>
  <c r="D14"/>
  <c r="B13"/>
  <c r="B9"/>
  <c r="F30" i="19"/>
  <c r="I30"/>
  <c r="F27"/>
  <c r="F33"/>
  <c r="I33"/>
  <c r="B31"/>
  <c r="B26"/>
  <c r="C12" i="5"/>
  <c r="F29" i="19"/>
  <c r="K465" i="30"/>
  <c r="L12" i="28"/>
  <c r="E39" i="24"/>
  <c r="D26" i="14"/>
  <c r="E38" i="24"/>
  <c r="K251" i="30"/>
  <c r="K276"/>
  <c r="K374"/>
  <c r="E29" i="19"/>
  <c r="K226" i="30"/>
  <c r="K350"/>
  <c r="K488"/>
  <c r="K398"/>
  <c r="E27" i="19"/>
  <c r="K197" i="30"/>
  <c r="K326"/>
  <c r="K23"/>
  <c r="K46"/>
  <c r="K69"/>
  <c r="I62"/>
  <c r="H112"/>
  <c r="I112"/>
  <c r="H140"/>
  <c r="H86"/>
  <c r="H165"/>
  <c r="G292"/>
  <c r="J14"/>
  <c r="G163"/>
  <c r="G14"/>
  <c r="I39"/>
  <c r="J163"/>
  <c r="G242"/>
  <c r="J502"/>
  <c r="I140"/>
  <c r="I86"/>
  <c r="I165"/>
  <c r="G317"/>
  <c r="J316"/>
  <c r="G415"/>
  <c r="G267"/>
  <c r="I246"/>
  <c r="L416"/>
  <c r="M416"/>
  <c r="N416"/>
  <c r="G341"/>
  <c r="J340"/>
  <c r="J364"/>
  <c r="G365"/>
  <c r="G389"/>
  <c r="J388"/>
  <c r="J423"/>
  <c r="I415"/>
  <c r="J415"/>
  <c r="I317"/>
  <c r="G319"/>
  <c r="G367"/>
  <c r="G343"/>
  <c r="G391"/>
  <c r="J391"/>
  <c r="I391"/>
  <c r="J343"/>
  <c r="I343"/>
  <c r="I319"/>
  <c r="J319"/>
  <c r="I367"/>
  <c r="J367"/>
  <c r="I323"/>
  <c r="I325"/>
  <c r="L197"/>
  <c r="I350"/>
  <c r="M320"/>
  <c r="N320"/>
  <c r="M440"/>
  <c r="N440"/>
  <c r="M277"/>
  <c r="N277"/>
  <c r="L149"/>
  <c r="M149"/>
  <c r="N149"/>
  <c r="I174"/>
  <c r="I422"/>
  <c r="G229"/>
  <c r="I229"/>
  <c r="M192"/>
  <c r="N192"/>
  <c r="I226"/>
  <c r="M302"/>
  <c r="N302"/>
  <c r="I271"/>
  <c r="M271"/>
  <c r="N271"/>
  <c r="M41"/>
  <c r="N41"/>
  <c r="I221"/>
  <c r="I223"/>
  <c r="L147"/>
  <c r="K345"/>
  <c r="L345"/>
  <c r="L18"/>
  <c r="M18"/>
  <c r="N18"/>
  <c r="H65"/>
  <c r="H89"/>
  <c r="I89"/>
  <c r="I25"/>
  <c r="I48"/>
  <c r="I398"/>
  <c r="M483"/>
  <c r="N483"/>
  <c r="L228"/>
  <c r="M228"/>
  <c r="N228"/>
  <c r="K369"/>
  <c r="L369"/>
  <c r="K393"/>
  <c r="L393"/>
  <c r="M393"/>
  <c r="N393"/>
  <c r="G254"/>
  <c r="J254"/>
  <c r="L254"/>
  <c r="K64"/>
  <c r="K142"/>
  <c r="L142"/>
  <c r="M142"/>
  <c r="N142"/>
  <c r="I93"/>
  <c r="M221"/>
  <c r="N221"/>
  <c r="J376"/>
  <c r="L376"/>
  <c r="I376"/>
  <c r="I279"/>
  <c r="J279"/>
  <c r="L279"/>
  <c r="L344"/>
  <c r="M344"/>
  <c r="N344"/>
  <c r="I36"/>
  <c r="J25"/>
  <c r="L69"/>
  <c r="M94"/>
  <c r="N94"/>
  <c r="I145"/>
  <c r="M198"/>
  <c r="N198"/>
  <c r="I224"/>
  <c r="I253"/>
  <c r="I274"/>
  <c r="I374"/>
  <c r="I485"/>
  <c r="I488"/>
  <c r="L368"/>
  <c r="M368"/>
  <c r="N368"/>
  <c r="M296"/>
  <c r="N296"/>
  <c r="I147"/>
  <c r="M147"/>
  <c r="N147"/>
  <c r="L509"/>
  <c r="L374"/>
  <c r="L422"/>
  <c r="M422"/>
  <c r="N422"/>
  <c r="I13"/>
  <c r="I91"/>
  <c r="I119"/>
  <c r="L278"/>
  <c r="I303"/>
  <c r="G423"/>
  <c r="K150"/>
  <c r="K175"/>
  <c r="K96"/>
  <c r="K122"/>
  <c r="L122"/>
  <c r="I47"/>
  <c r="H70"/>
  <c r="I70"/>
  <c r="I301"/>
  <c r="G95"/>
  <c r="I95"/>
  <c r="H162"/>
  <c r="I162"/>
  <c r="L25"/>
  <c r="L398"/>
  <c r="M398"/>
  <c r="N398"/>
  <c r="I506"/>
  <c r="I486"/>
  <c r="I400"/>
  <c r="M400"/>
  <c r="N400"/>
  <c r="L70"/>
  <c r="L321"/>
  <c r="M321"/>
  <c r="N321"/>
  <c r="I328"/>
  <c r="M328"/>
  <c r="N328"/>
  <c r="I326"/>
  <c r="G304"/>
  <c r="G150"/>
  <c r="J150"/>
  <c r="L150"/>
  <c r="I111"/>
  <c r="I24"/>
  <c r="I19"/>
  <c r="I164"/>
  <c r="I195"/>
  <c r="I249"/>
  <c r="I251"/>
  <c r="J488"/>
  <c r="L48"/>
  <c r="M48"/>
  <c r="N48"/>
  <c r="M120"/>
  <c r="N120"/>
  <c r="I298"/>
  <c r="L226"/>
  <c r="M226"/>
  <c r="N226"/>
  <c r="G121"/>
  <c r="I121"/>
  <c r="I117"/>
  <c r="M148"/>
  <c r="N148"/>
  <c r="I170"/>
  <c r="I194"/>
  <c r="I299"/>
  <c r="I352"/>
  <c r="G199"/>
  <c r="I199"/>
  <c r="G200"/>
  <c r="I197"/>
  <c r="L172"/>
  <c r="J174"/>
  <c r="L174"/>
  <c r="J24"/>
  <c r="L24"/>
  <c r="L23"/>
  <c r="I172"/>
  <c r="G175"/>
  <c r="L301"/>
  <c r="J303"/>
  <c r="L303"/>
  <c r="J327"/>
  <c r="L326"/>
  <c r="K167"/>
  <c r="L167"/>
  <c r="M167"/>
  <c r="N167"/>
  <c r="H150"/>
  <c r="H96"/>
  <c r="J46"/>
  <c r="I136"/>
  <c r="I108"/>
  <c r="I82"/>
  <c r="I161"/>
  <c r="J93"/>
  <c r="I395"/>
  <c r="I397"/>
  <c r="J253"/>
  <c r="L253"/>
  <c r="M253"/>
  <c r="N253"/>
  <c r="L251"/>
  <c r="J351"/>
  <c r="L350"/>
  <c r="M350"/>
  <c r="N350"/>
  <c r="I248"/>
  <c r="I250"/>
  <c r="G71"/>
  <c r="J199"/>
  <c r="L199"/>
  <c r="M227"/>
  <c r="N227"/>
  <c r="M246"/>
  <c r="N246"/>
  <c r="I345"/>
  <c r="I417"/>
  <c r="M417"/>
  <c r="N417"/>
  <c r="I369"/>
  <c r="G509"/>
  <c r="I507"/>
  <c r="I490"/>
  <c r="M490"/>
  <c r="N490"/>
  <c r="L276"/>
  <c r="H137"/>
  <c r="I137"/>
  <c r="I59"/>
  <c r="H109"/>
  <c r="I109"/>
  <c r="I65"/>
  <c r="H46"/>
  <c r="I23"/>
  <c r="J119"/>
  <c r="M252"/>
  <c r="N252"/>
  <c r="J352"/>
  <c r="L352"/>
  <c r="M352"/>
  <c r="N352"/>
  <c r="M462"/>
  <c r="N462"/>
  <c r="I21"/>
  <c r="H37"/>
  <c r="I14"/>
  <c r="H67"/>
  <c r="I67"/>
  <c r="I44"/>
  <c r="I276"/>
  <c r="G278"/>
  <c r="I278"/>
  <c r="M278"/>
  <c r="N278"/>
  <c r="I85"/>
  <c r="H115"/>
  <c r="I115"/>
  <c r="M24"/>
  <c r="N24"/>
  <c r="I254"/>
  <c r="M254"/>
  <c r="N254"/>
  <c r="H143"/>
  <c r="I143"/>
  <c r="M326"/>
  <c r="N326"/>
  <c r="M197"/>
  <c r="N197"/>
  <c r="M279"/>
  <c r="N279"/>
  <c r="H168"/>
  <c r="I168"/>
  <c r="M376"/>
  <c r="N376"/>
  <c r="I225"/>
  <c r="I273"/>
  <c r="M301"/>
  <c r="N301"/>
  <c r="I487"/>
  <c r="I255"/>
  <c r="K88"/>
  <c r="L88"/>
  <c r="M88"/>
  <c r="N88"/>
  <c r="J229"/>
  <c r="L229"/>
  <c r="M229"/>
  <c r="N229"/>
  <c r="M174"/>
  <c r="N174"/>
  <c r="I196"/>
  <c r="L64"/>
  <c r="M64"/>
  <c r="N64"/>
  <c r="M25"/>
  <c r="N25"/>
  <c r="K114"/>
  <c r="L114"/>
  <c r="M114"/>
  <c r="N114"/>
  <c r="M369"/>
  <c r="N369"/>
  <c r="M374"/>
  <c r="N374"/>
  <c r="G424"/>
  <c r="I230"/>
  <c r="M303"/>
  <c r="N303"/>
  <c r="I275"/>
  <c r="I280"/>
  <c r="I300"/>
  <c r="I304"/>
  <c r="J304"/>
  <c r="L304"/>
  <c r="M199"/>
  <c r="N199"/>
  <c r="L96"/>
  <c r="M70"/>
  <c r="N70"/>
  <c r="I20"/>
  <c r="I22"/>
  <c r="I26"/>
  <c r="I27"/>
  <c r="I28"/>
  <c r="M251"/>
  <c r="N251"/>
  <c r="L488"/>
  <c r="M488"/>
  <c r="N488"/>
  <c r="J489"/>
  <c r="H69"/>
  <c r="I69"/>
  <c r="M69"/>
  <c r="N69"/>
  <c r="I46"/>
  <c r="H60"/>
  <c r="I37"/>
  <c r="I43"/>
  <c r="I45"/>
  <c r="M276"/>
  <c r="N276"/>
  <c r="G510"/>
  <c r="I509"/>
  <c r="M509"/>
  <c r="N509"/>
  <c r="I96"/>
  <c r="H122"/>
  <c r="I122"/>
  <c r="I371"/>
  <c r="I373"/>
  <c r="I419"/>
  <c r="I421"/>
  <c r="J95"/>
  <c r="L95"/>
  <c r="M95"/>
  <c r="N95"/>
  <c r="L93"/>
  <c r="M93"/>
  <c r="N93"/>
  <c r="J47"/>
  <c r="L47"/>
  <c r="M47"/>
  <c r="N47"/>
  <c r="L46"/>
  <c r="J175"/>
  <c r="L175"/>
  <c r="I508"/>
  <c r="I71"/>
  <c r="J71"/>
  <c r="L71"/>
  <c r="H175"/>
  <c r="I175"/>
  <c r="I150"/>
  <c r="M150"/>
  <c r="N150"/>
  <c r="M23"/>
  <c r="N23"/>
  <c r="M172"/>
  <c r="N172"/>
  <c r="J121"/>
  <c r="L121"/>
  <c r="M121"/>
  <c r="N121"/>
  <c r="L119"/>
  <c r="M119"/>
  <c r="N119"/>
  <c r="M122"/>
  <c r="N122"/>
  <c r="I347"/>
  <c r="I349"/>
  <c r="M345"/>
  <c r="N345"/>
  <c r="I200"/>
  <c r="I202"/>
  <c r="J200"/>
  <c r="L200"/>
  <c r="M96"/>
  <c r="N96"/>
  <c r="I305"/>
  <c r="J424"/>
  <c r="L424"/>
  <c r="I424"/>
  <c r="M200"/>
  <c r="N200"/>
  <c r="M71"/>
  <c r="N71"/>
  <c r="M304"/>
  <c r="N304"/>
  <c r="M175"/>
  <c r="N175"/>
  <c r="H84"/>
  <c r="I84"/>
  <c r="I90"/>
  <c r="I92"/>
  <c r="I97"/>
  <c r="H163"/>
  <c r="I163"/>
  <c r="I169"/>
  <c r="I171"/>
  <c r="I176"/>
  <c r="H110"/>
  <c r="I110"/>
  <c r="I116"/>
  <c r="I118"/>
  <c r="I60"/>
  <c r="I66"/>
  <c r="I68"/>
  <c r="I72"/>
  <c r="H138"/>
  <c r="I138"/>
  <c r="I144"/>
  <c r="I146"/>
  <c r="I151"/>
  <c r="M46"/>
  <c r="N46"/>
  <c r="G511"/>
  <c r="I49"/>
  <c r="M424"/>
  <c r="N424"/>
  <c r="I98"/>
  <c r="I99"/>
  <c r="I50"/>
  <c r="I51"/>
  <c r="I73"/>
  <c r="I74"/>
  <c r="I511"/>
  <c r="J511"/>
  <c r="L511"/>
  <c r="M511"/>
  <c r="N511"/>
  <c r="H13" i="7"/>
  <c r="A14" i="18"/>
  <c r="A17" i="19"/>
  <c r="A32"/>
  <c r="A15" i="5"/>
  <c r="A14" i="4"/>
  <c r="A18" i="14"/>
  <c r="A30"/>
  <c r="A42"/>
  <c r="A12" i="12"/>
  <c r="A11" i="15"/>
  <c r="A11" i="27"/>
  <c r="A21"/>
  <c r="A13" i="19"/>
  <c r="A28"/>
  <c r="B8" i="27"/>
  <c r="H8"/>
  <c r="I27" i="19"/>
  <c r="C439" i="30"/>
  <c r="B12" i="27"/>
  <c r="K443" i="30"/>
  <c r="L295"/>
  <c r="M295"/>
  <c r="N295"/>
  <c r="L270"/>
  <c r="M270"/>
  <c r="N270"/>
  <c r="D7" i="18"/>
  <c r="E16" i="24"/>
  <c r="I25" i="27"/>
  <c r="I26"/>
  <c r="D8" i="18"/>
  <c r="E24" i="24"/>
  <c r="L189" i="30"/>
  <c r="M189"/>
  <c r="N189"/>
  <c r="E25" i="19"/>
  <c r="K170" i="30"/>
  <c r="L170"/>
  <c r="M170"/>
  <c r="N170"/>
  <c r="I29" i="19"/>
  <c r="B12" i="16"/>
  <c r="C13" i="27"/>
  <c r="H13"/>
  <c r="I13"/>
  <c r="C16"/>
  <c r="H16"/>
  <c r="C17" i="12"/>
  <c r="G17"/>
  <c r="D11"/>
  <c r="F11"/>
  <c r="E10" i="27"/>
  <c r="N40" i="30"/>
  <c r="L63"/>
  <c r="M63"/>
  <c r="N63"/>
  <c r="K67"/>
  <c r="L67"/>
  <c r="M67"/>
  <c r="N67"/>
  <c r="K145"/>
  <c r="L145"/>
  <c r="M145"/>
  <c r="N145"/>
  <c r="K21"/>
  <c r="L21"/>
  <c r="M21"/>
  <c r="N21"/>
  <c r="K91"/>
  <c r="L91"/>
  <c r="M91"/>
  <c r="N91"/>
  <c r="K117"/>
  <c r="L117"/>
  <c r="M117"/>
  <c r="N117"/>
  <c r="L85"/>
  <c r="M85"/>
  <c r="N85"/>
  <c r="L15"/>
  <c r="M15"/>
  <c r="N15"/>
  <c r="L139"/>
  <c r="M139"/>
  <c r="N139"/>
  <c r="L111"/>
  <c r="M111"/>
  <c r="N111"/>
  <c r="L38"/>
  <c r="M38"/>
  <c r="N38"/>
  <c r="L164"/>
  <c r="M164"/>
  <c r="N164"/>
  <c r="L61"/>
  <c r="M61"/>
  <c r="N61"/>
  <c r="E26" i="19"/>
  <c r="K299" i="30"/>
  <c r="L299"/>
  <c r="M299"/>
  <c r="N299"/>
  <c r="K249"/>
  <c r="L249"/>
  <c r="M249"/>
  <c r="N249"/>
  <c r="K195"/>
  <c r="L195"/>
  <c r="M195"/>
  <c r="N195"/>
  <c r="K224"/>
  <c r="L224"/>
  <c r="M224"/>
  <c r="N224"/>
  <c r="K274"/>
  <c r="L274"/>
  <c r="M274"/>
  <c r="N274"/>
  <c r="L87"/>
  <c r="M87"/>
  <c r="N87"/>
  <c r="L141"/>
  <c r="M141"/>
  <c r="N141"/>
  <c r="L166"/>
  <c r="M166"/>
  <c r="N166"/>
  <c r="L113"/>
  <c r="M113"/>
  <c r="N113"/>
  <c r="J27" i="19"/>
  <c r="L243" i="30"/>
  <c r="M243"/>
  <c r="N243"/>
  <c r="L293"/>
  <c r="M293"/>
  <c r="N293"/>
  <c r="L268"/>
  <c r="M268"/>
  <c r="N268"/>
  <c r="L218"/>
  <c r="M218"/>
  <c r="N218"/>
  <c r="K348"/>
  <c r="L348"/>
  <c r="M348"/>
  <c r="N348"/>
  <c r="K324"/>
  <c r="L324"/>
  <c r="M324"/>
  <c r="N324"/>
  <c r="K420"/>
  <c r="L420"/>
  <c r="M420"/>
  <c r="N420"/>
  <c r="K396"/>
  <c r="L396"/>
  <c r="M396"/>
  <c r="N396"/>
  <c r="K372"/>
  <c r="L372"/>
  <c r="M372"/>
  <c r="N372"/>
  <c r="L245"/>
  <c r="M245"/>
  <c r="N245"/>
  <c r="L191"/>
  <c r="M191"/>
  <c r="N191"/>
  <c r="K486"/>
  <c r="L486"/>
  <c r="M486"/>
  <c r="N486"/>
  <c r="E31" i="19"/>
  <c r="K507" i="30"/>
  <c r="L507"/>
  <c r="M507"/>
  <c r="N507"/>
  <c r="D21" i="12"/>
  <c r="F22"/>
  <c r="F28" i="2"/>
  <c r="B16" i="27"/>
  <c r="C13" i="4"/>
  <c r="B17" i="12"/>
  <c r="C11"/>
  <c r="C10" i="27"/>
  <c r="D10" i="5"/>
  <c r="D9" i="4"/>
  <c r="B14" i="27"/>
  <c r="H14"/>
  <c r="C12" i="4"/>
  <c r="D15" i="28"/>
  <c r="G15"/>
  <c r="C11" i="4"/>
  <c r="C460" i="30"/>
  <c r="G467"/>
  <c r="B13" i="12"/>
  <c r="G437" i="30"/>
  <c r="D17" i="28"/>
  <c r="G17"/>
  <c r="C461" i="30"/>
  <c r="G459"/>
  <c r="D11" i="5"/>
  <c r="F15" i="28"/>
  <c r="H15"/>
  <c r="F21" i="12"/>
  <c r="J467" i="30"/>
  <c r="J468"/>
  <c r="K327"/>
  <c r="L327"/>
  <c r="M327"/>
  <c r="N327"/>
  <c r="J29" i="19"/>
  <c r="J30"/>
  <c r="K351" i="30"/>
  <c r="L351"/>
  <c r="K12" i="19"/>
  <c r="H423" i="30"/>
  <c r="I423"/>
  <c r="I425"/>
  <c r="H327"/>
  <c r="I327"/>
  <c r="I329"/>
  <c r="H351"/>
  <c r="I351"/>
  <c r="I353"/>
  <c r="H399"/>
  <c r="I399"/>
  <c r="I401"/>
  <c r="J14" i="19"/>
  <c r="J15"/>
  <c r="E8" i="27"/>
  <c r="D9" i="12"/>
  <c r="K399" i="30"/>
  <c r="L399"/>
  <c r="G468"/>
  <c r="G469"/>
  <c r="J469"/>
  <c r="I467"/>
  <c r="D11" i="28"/>
  <c r="F11"/>
  <c r="H11" s="1"/>
  <c r="L11" s="1"/>
  <c r="E31" i="24" s="1"/>
  <c r="H375" i="30"/>
  <c r="I375"/>
  <c r="I377"/>
  <c r="L467"/>
  <c r="K423"/>
  <c r="L423"/>
  <c r="M423"/>
  <c r="N423"/>
  <c r="K375"/>
  <c r="L375"/>
  <c r="M375"/>
  <c r="N375"/>
  <c r="D9" i="5"/>
  <c r="B9" i="27"/>
  <c r="C459" i="30"/>
  <c r="F12" i="27"/>
  <c r="E14" i="12"/>
  <c r="F14"/>
  <c r="C437" i="30"/>
  <c r="C31" i="13"/>
  <c r="D12" i="5"/>
  <c r="C13" i="12"/>
  <c r="C12" i="27"/>
  <c r="F14"/>
  <c r="G14"/>
  <c r="E15" i="12"/>
  <c r="F15"/>
  <c r="F15" i="2"/>
  <c r="B15" i="12"/>
  <c r="G15"/>
  <c r="K446" i="30"/>
  <c r="J31" i="19"/>
  <c r="G8" i="27"/>
  <c r="G13" i="12"/>
  <c r="G436" i="30"/>
  <c r="I436"/>
  <c r="I468"/>
  <c r="J16" i="19"/>
  <c r="H446" i="30"/>
  <c r="M351"/>
  <c r="N351"/>
  <c r="H9" i="27"/>
  <c r="M467" i="30"/>
  <c r="N467"/>
  <c r="M399"/>
  <c r="N399"/>
  <c r="F9" i="12"/>
  <c r="H468" i="30"/>
  <c r="K15" i="19"/>
  <c r="K16"/>
  <c r="K18"/>
  <c r="K14"/>
  <c r="K27"/>
  <c r="K468" i="30"/>
  <c r="L468"/>
  <c r="K510"/>
  <c r="L510"/>
  <c r="J33" i="19"/>
  <c r="K489" i="30"/>
  <c r="L489"/>
  <c r="H510"/>
  <c r="I510"/>
  <c r="I512"/>
  <c r="J18" i="19"/>
  <c r="H489" i="30"/>
  <c r="I489"/>
  <c r="I491"/>
  <c r="L469"/>
  <c r="I469"/>
  <c r="K30" i="19"/>
  <c r="K31"/>
  <c r="K33"/>
  <c r="K29"/>
  <c r="M489" i="30"/>
  <c r="N489"/>
  <c r="I492"/>
  <c r="I493"/>
  <c r="I513"/>
  <c r="I514"/>
  <c r="M510"/>
  <c r="N510"/>
  <c r="C15" i="18"/>
  <c r="C9"/>
  <c r="B13"/>
  <c r="C11"/>
  <c r="C12"/>
  <c r="K322" i="30"/>
  <c r="E33" i="24"/>
  <c r="B8" i="18"/>
  <c r="E55" i="24"/>
  <c r="K441" i="30"/>
  <c r="K484"/>
  <c r="K370"/>
  <c r="L370"/>
  <c r="K394"/>
  <c r="L394"/>
  <c r="K418"/>
  <c r="L418"/>
  <c r="K346"/>
  <c r="L346"/>
  <c r="L322"/>
  <c r="E48" i="24"/>
  <c r="K463" i="30"/>
  <c r="M346"/>
  <c r="M394"/>
  <c r="K505"/>
  <c r="L505"/>
  <c r="L484"/>
  <c r="M322"/>
  <c r="M370"/>
  <c r="B7" i="18"/>
  <c r="M418" i="30"/>
  <c r="K193"/>
  <c r="E25" i="24"/>
  <c r="N322" i="30"/>
  <c r="K272"/>
  <c r="L272"/>
  <c r="K247"/>
  <c r="L247"/>
  <c r="K222"/>
  <c r="L222"/>
  <c r="L193"/>
  <c r="K297"/>
  <c r="L297"/>
  <c r="N418"/>
  <c r="M484"/>
  <c r="N394"/>
  <c r="E17" i="24"/>
  <c r="K19" i="30"/>
  <c r="N370"/>
  <c r="M505"/>
  <c r="N346"/>
  <c r="M193"/>
  <c r="N484"/>
  <c r="M247"/>
  <c r="N505"/>
  <c r="M222"/>
  <c r="K42"/>
  <c r="L19"/>
  <c r="M297"/>
  <c r="M272"/>
  <c r="N272"/>
  <c r="K65"/>
  <c r="L42"/>
  <c r="N247"/>
  <c r="N222"/>
  <c r="N297"/>
  <c r="M19"/>
  <c r="N193"/>
  <c r="N19"/>
  <c r="M42"/>
  <c r="L65"/>
  <c r="K89"/>
  <c r="L89"/>
  <c r="K115"/>
  <c r="N42"/>
  <c r="M65"/>
  <c r="K143"/>
  <c r="L115"/>
  <c r="N65"/>
  <c r="M89"/>
  <c r="L143"/>
  <c r="K168"/>
  <c r="L168"/>
  <c r="N89"/>
  <c r="M115"/>
  <c r="M168"/>
  <c r="M143"/>
  <c r="N115"/>
  <c r="N143"/>
  <c r="N168"/>
  <c r="G438"/>
  <c r="J437"/>
  <c r="C21" i="12"/>
  <c r="G11"/>
  <c r="C18"/>
  <c r="C9" i="4"/>
  <c r="B11" i="12"/>
  <c r="C32" i="13"/>
  <c r="B10" i="27"/>
  <c r="B31" i="2"/>
  <c r="I437" i="30"/>
  <c r="F17" i="28"/>
  <c r="H17"/>
  <c r="E9" i="27"/>
  <c r="C30" i="13"/>
  <c r="D10" i="12"/>
  <c r="H15"/>
  <c r="J15"/>
  <c r="I14" i="27"/>
  <c r="B34" i="2"/>
  <c r="D10" i="27"/>
  <c r="D17"/>
  <c r="C12" i="16"/>
  <c r="B15"/>
  <c r="B17" i="27"/>
  <c r="F17"/>
  <c r="G12"/>
  <c r="I12"/>
  <c r="G11" i="28"/>
  <c r="H14"/>
  <c r="G14"/>
  <c r="J436" i="30"/>
  <c r="G458"/>
  <c r="G460"/>
  <c r="I459"/>
  <c r="J459"/>
  <c r="C7" i="4"/>
  <c r="B9" i="12"/>
  <c r="D8" i="5"/>
  <c r="M469" i="30"/>
  <c r="N469"/>
  <c r="H12" i="27"/>
  <c r="C17"/>
  <c r="G10"/>
  <c r="B10" i="12"/>
  <c r="G10"/>
  <c r="C8" i="4"/>
  <c r="D10" i="28"/>
  <c r="G10"/>
  <c r="E13" i="12"/>
  <c r="D17"/>
  <c r="F17"/>
  <c r="H17"/>
  <c r="J17"/>
  <c r="E16" i="27"/>
  <c r="G16"/>
  <c r="I16"/>
  <c r="M468" i="30"/>
  <c r="N468"/>
  <c r="I8" i="27"/>
  <c r="H11" i="12"/>
  <c r="B14"/>
  <c r="C438" i="30"/>
  <c r="C10" i="4"/>
  <c r="F13" i="12"/>
  <c r="H13"/>
  <c r="J13"/>
  <c r="E18"/>
  <c r="D17" i="5"/>
  <c r="E8"/>
  <c r="E17"/>
  <c r="G445" i="30"/>
  <c r="J445"/>
  <c r="D9" i="28"/>
  <c r="C16" i="4"/>
  <c r="D10" i="15"/>
  <c r="D17"/>
  <c r="C15" i="16"/>
  <c r="B13" i="17"/>
  <c r="I20" i="27"/>
  <c r="I11" i="12"/>
  <c r="I18"/>
  <c r="H10" i="2"/>
  <c r="B32"/>
  <c r="G9" i="27"/>
  <c r="E17"/>
  <c r="I438" i="30"/>
  <c r="G439"/>
  <c r="J438"/>
  <c r="C34" i="2"/>
  <c r="D18" i="12"/>
  <c r="F10"/>
  <c r="G9"/>
  <c r="B18"/>
  <c r="J460" i="30"/>
  <c r="G461"/>
  <c r="I460"/>
  <c r="I458"/>
  <c r="J458"/>
  <c r="I14" i="28"/>
  <c r="G21" i="12"/>
  <c r="G22"/>
  <c r="H10" i="27"/>
  <c r="H17"/>
  <c r="J461" i="30"/>
  <c r="I461"/>
  <c r="G463"/>
  <c r="J446"/>
  <c r="L446"/>
  <c r="L445"/>
  <c r="I439"/>
  <c r="J439"/>
  <c r="G441"/>
  <c r="C32" i="2"/>
  <c r="E13" i="5"/>
  <c r="E12"/>
  <c r="E10"/>
  <c r="E15"/>
  <c r="E14"/>
  <c r="E11"/>
  <c r="E9"/>
  <c r="I10" i="27"/>
  <c r="G9" i="28"/>
  <c r="H10" i="12"/>
  <c r="J10"/>
  <c r="F18"/>
  <c r="I9" i="27"/>
  <c r="G17"/>
  <c r="H20" i="2"/>
  <c r="H17"/>
  <c r="I445" i="30"/>
  <c r="G446"/>
  <c r="J11" i="12"/>
  <c r="G18"/>
  <c r="H9"/>
  <c r="D34" i="2"/>
  <c r="B30"/>
  <c r="B28"/>
  <c r="B27"/>
  <c r="I441" i="30"/>
  <c r="I442"/>
  <c r="G443"/>
  <c r="J9" i="12"/>
  <c r="H18"/>
  <c r="J441" i="30"/>
  <c r="L441"/>
  <c r="G465"/>
  <c r="I463"/>
  <c r="I464"/>
  <c r="J463"/>
  <c r="L463"/>
  <c r="G447"/>
  <c r="I446"/>
  <c r="M446"/>
  <c r="N446"/>
  <c r="I17" i="27"/>
  <c r="I23"/>
  <c r="D32" i="2"/>
  <c r="M445" i="30"/>
  <c r="N445"/>
  <c r="J447"/>
  <c r="L447"/>
  <c r="I447"/>
  <c r="I465"/>
  <c r="J465"/>
  <c r="L465"/>
  <c r="J443"/>
  <c r="L443"/>
  <c r="I443"/>
  <c r="I444"/>
  <c r="I448"/>
  <c r="C27" i="2"/>
  <c r="D27"/>
  <c r="C28"/>
  <c r="D28"/>
  <c r="J18" i="12"/>
  <c r="B26" i="2"/>
  <c r="M463" i="30"/>
  <c r="N463"/>
  <c r="I466"/>
  <c r="I470"/>
  <c r="M441"/>
  <c r="N441"/>
  <c r="I450"/>
  <c r="I449"/>
  <c r="I471"/>
  <c r="I472"/>
  <c r="K16" i="12"/>
  <c r="K12"/>
  <c r="K14"/>
  <c r="K15"/>
  <c r="K17"/>
  <c r="K13"/>
  <c r="K11"/>
  <c r="K10"/>
  <c r="K9"/>
  <c r="M465" i="30"/>
  <c r="N465"/>
  <c r="M443"/>
  <c r="N443"/>
  <c r="M447"/>
  <c r="N447"/>
  <c r="C26" i="2"/>
  <c r="D26"/>
  <c r="K18" i="12"/>
  <c r="J15" i="28"/>
  <c r="I15"/>
  <c r="J14"/>
  <c r="I17"/>
  <c r="J17"/>
  <c r="L17"/>
  <c r="G13"/>
  <c r="F13"/>
  <c r="H13"/>
  <c r="I13"/>
  <c r="J13"/>
  <c r="K503" i="30"/>
  <c r="L503"/>
  <c r="M503"/>
  <c r="N503"/>
  <c r="K482"/>
  <c r="L482"/>
  <c r="M482"/>
  <c r="N482"/>
  <c r="L13" i="28"/>
  <c r="E47" i="24"/>
  <c r="K461" i="30"/>
  <c r="L461"/>
  <c r="M461"/>
  <c r="N461"/>
  <c r="L14" i="28"/>
  <c r="E54" i="24"/>
  <c r="K439" i="30"/>
  <c r="L439"/>
  <c r="M439"/>
  <c r="N439"/>
  <c r="F10" i="5"/>
  <c r="F15"/>
  <c r="J15" i="2"/>
  <c r="F13" i="5"/>
  <c r="D38" i="14"/>
  <c r="C30" i="2"/>
  <c r="D30"/>
  <c r="C31"/>
  <c r="D31"/>
  <c r="A14" i="14"/>
  <c r="B12" i="4"/>
  <c r="F12"/>
  <c r="E29" i="14"/>
  <c r="E60" i="24"/>
  <c r="J14" i="2"/>
  <c r="A11" i="12"/>
  <c r="A10" i="2"/>
  <c r="F14" i="5"/>
  <c r="F9"/>
  <c r="F11"/>
  <c r="F12"/>
  <c r="B11" i="4"/>
  <c r="G11"/>
  <c r="D27" i="14"/>
  <c r="E46" i="24"/>
  <c r="K460" i="30"/>
  <c r="L460"/>
  <c r="M460"/>
  <c r="N460"/>
  <c r="F8" i="5"/>
  <c r="B7" i="4"/>
  <c r="J8" i="2"/>
  <c r="J16"/>
  <c r="B13" i="4"/>
  <c r="G13"/>
  <c r="D31" i="14"/>
  <c r="J12" i="2"/>
  <c r="A13" i="14"/>
  <c r="A10" i="15"/>
  <c r="A10" i="27"/>
  <c r="A20"/>
  <c r="A28" i="2"/>
  <c r="A9" i="18"/>
  <c r="A12" i="19"/>
  <c r="A27"/>
  <c r="A26" i="14"/>
  <c r="A38"/>
  <c r="B35" i="24"/>
  <c r="J13" i="2"/>
  <c r="B10" i="4"/>
  <c r="G10"/>
  <c r="D28" i="14"/>
  <c r="E53" i="24"/>
  <c r="K438" i="30"/>
  <c r="L438"/>
  <c r="M438"/>
  <c r="N438"/>
  <c r="B27" i="24"/>
  <c r="A25" i="14"/>
  <c r="A37"/>
  <c r="K14" i="7"/>
  <c r="B15" i="2"/>
  <c r="F7" i="4"/>
  <c r="E23" i="14"/>
  <c r="B8" i="4"/>
  <c r="F8"/>
  <c r="E24" i="14"/>
  <c r="E22" i="24"/>
  <c r="J9" i="2"/>
  <c r="I11"/>
  <c r="K11"/>
  <c r="K502" i="30"/>
  <c r="L502"/>
  <c r="K481"/>
  <c r="L481"/>
  <c r="B14" i="4"/>
  <c r="B9"/>
  <c r="G9"/>
  <c r="D25" i="14"/>
  <c r="E30" i="24"/>
  <c r="J10" i="2"/>
  <c r="J17"/>
  <c r="M481" i="30"/>
  <c r="N481"/>
  <c r="K188"/>
  <c r="L188"/>
  <c r="K242"/>
  <c r="L242"/>
  <c r="K292"/>
  <c r="L292"/>
  <c r="K217"/>
  <c r="L217"/>
  <c r="K267"/>
  <c r="L267"/>
  <c r="K389"/>
  <c r="L389"/>
  <c r="K317"/>
  <c r="L317"/>
  <c r="K341"/>
  <c r="L341"/>
  <c r="K413"/>
  <c r="L413"/>
  <c r="K365"/>
  <c r="L365"/>
  <c r="M502"/>
  <c r="N502"/>
  <c r="E14" i="24"/>
  <c r="K14" i="30"/>
  <c r="B16" i="4"/>
  <c r="G15" i="2"/>
  <c r="E15"/>
  <c r="D18" i="14"/>
  <c r="D42"/>
  <c r="I15" i="2"/>
  <c r="K15"/>
  <c r="M317" i="30"/>
  <c r="N317"/>
  <c r="M242"/>
  <c r="N242"/>
  <c r="K37"/>
  <c r="L14"/>
  <c r="M365"/>
  <c r="N365"/>
  <c r="M389"/>
  <c r="N389"/>
  <c r="M267"/>
  <c r="N267"/>
  <c r="M188"/>
  <c r="N188"/>
  <c r="K110"/>
  <c r="L110"/>
  <c r="K138"/>
  <c r="L138"/>
  <c r="K163"/>
  <c r="L163"/>
  <c r="K84"/>
  <c r="L84"/>
  <c r="M413"/>
  <c r="N413"/>
  <c r="M217"/>
  <c r="N217"/>
  <c r="M341"/>
  <c r="N341"/>
  <c r="M292"/>
  <c r="N292"/>
  <c r="M138"/>
  <c r="N138"/>
  <c r="M110"/>
  <c r="N110"/>
  <c r="M14"/>
  <c r="N14"/>
  <c r="M84"/>
  <c r="N84"/>
  <c r="L37"/>
  <c r="K60"/>
  <c r="L60"/>
  <c r="M163"/>
  <c r="N163"/>
  <c r="M37"/>
  <c r="N37"/>
  <c r="M60"/>
  <c r="N60"/>
  <c r="D12" i="7"/>
  <c r="J12"/>
  <c r="D8"/>
  <c r="J8"/>
  <c r="D11"/>
  <c r="J11"/>
  <c r="D15"/>
  <c r="J15"/>
  <c r="D13"/>
  <c r="J13"/>
  <c r="D7"/>
  <c r="D9"/>
  <c r="J9"/>
  <c r="J7"/>
  <c r="J16"/>
  <c r="D16"/>
  <c r="B7"/>
  <c r="G7"/>
  <c r="B8"/>
  <c r="G8"/>
  <c r="I8"/>
  <c r="B9"/>
  <c r="G9"/>
  <c r="B11"/>
  <c r="G11"/>
  <c r="K11"/>
  <c r="B12" i="2"/>
  <c r="B12" i="7"/>
  <c r="I12"/>
  <c r="G12"/>
  <c r="K12"/>
  <c r="B13" i="2"/>
  <c r="I31"/>
  <c r="B13" i="7"/>
  <c r="G13"/>
  <c r="I13"/>
  <c r="K13"/>
  <c r="B14" i="2"/>
  <c r="B15" i="7"/>
  <c r="I15"/>
  <c r="G15"/>
  <c r="K15"/>
  <c r="B16" i="2"/>
  <c r="G26"/>
  <c r="G27"/>
  <c r="G28"/>
  <c r="G30"/>
  <c r="G31"/>
  <c r="G32"/>
  <c r="G34"/>
  <c r="E34"/>
  <c r="D16"/>
  <c r="I7" i="7"/>
  <c r="K7"/>
  <c r="E31" i="2"/>
  <c r="D13"/>
  <c r="B16" i="14"/>
  <c r="E51" i="24"/>
  <c r="K436" i="30"/>
  <c r="I9" i="7"/>
  <c r="K9"/>
  <c r="B10" i="2"/>
  <c r="B16" i="7"/>
  <c r="F16" i="2"/>
  <c r="C19" i="14"/>
  <c r="C43"/>
  <c r="B16" i="15"/>
  <c r="F13" i="2"/>
  <c r="G13"/>
  <c r="E13"/>
  <c r="D16" i="14"/>
  <c r="I28" i="2"/>
  <c r="E28"/>
  <c r="D10"/>
  <c r="C13" i="14"/>
  <c r="F10" i="2"/>
  <c r="I16"/>
  <c r="K16"/>
  <c r="F16" i="15"/>
  <c r="G16" i="2"/>
  <c r="E16"/>
  <c r="B40" i="14"/>
  <c r="B13" i="15"/>
  <c r="L436" i="30"/>
  <c r="M436"/>
  <c r="N436"/>
  <c r="D19" i="14"/>
  <c r="D43"/>
  <c r="C16" i="15"/>
  <c r="E16"/>
  <c r="I10" i="2"/>
  <c r="K10"/>
  <c r="F10" i="15"/>
  <c r="G10" i="2"/>
  <c r="E10"/>
  <c r="E28" i="24"/>
  <c r="C37" i="14"/>
  <c r="L387" i="30"/>
  <c r="L339"/>
  <c r="B10" i="15"/>
  <c r="L411" i="30"/>
  <c r="L363"/>
  <c r="L315"/>
  <c r="D13" i="14"/>
  <c r="G20" i="2"/>
  <c r="M363" i="30"/>
  <c r="E29" i="24"/>
  <c r="D37" i="14"/>
  <c r="C10" i="15"/>
  <c r="E10"/>
  <c r="M411" i="30"/>
  <c r="M387"/>
  <c r="M315"/>
  <c r="M339"/>
  <c r="N315"/>
  <c r="N339"/>
  <c r="K388"/>
  <c r="L388"/>
  <c r="K340"/>
  <c r="L340"/>
  <c r="K316"/>
  <c r="L316"/>
  <c r="K364"/>
  <c r="L364"/>
  <c r="K412"/>
  <c r="L412"/>
  <c r="N363"/>
  <c r="N387"/>
  <c r="N411"/>
  <c r="M388"/>
  <c r="M340"/>
  <c r="M412"/>
  <c r="M364"/>
  <c r="M316"/>
  <c r="N364"/>
  <c r="N388"/>
  <c r="N316"/>
  <c r="N412"/>
  <c r="N340"/>
  <c r="B18" i="7"/>
  <c r="B20"/>
  <c r="K18"/>
  <c r="I28" i="27"/>
  <c r="I30"/>
  <c r="B8" i="17"/>
  <c r="B10"/>
  <c r="C16" i="7"/>
  <c r="B14" i="17"/>
  <c r="I30" i="2"/>
  <c r="E32"/>
  <c r="D14"/>
  <c r="I32"/>
  <c r="K8" i="7"/>
  <c r="B9" i="2"/>
  <c r="I16" i="7"/>
  <c r="E52" i="24"/>
  <c r="K437" i="30"/>
  <c r="L437"/>
  <c r="D40" i="14"/>
  <c r="C13" i="15"/>
  <c r="E13"/>
  <c r="I13" i="2"/>
  <c r="K13"/>
  <c r="F13" i="15"/>
  <c r="E30" i="2"/>
  <c r="D12"/>
  <c r="B8"/>
  <c r="I11" i="28"/>
  <c r="C7" i="7"/>
  <c r="E7"/>
  <c r="C12"/>
  <c r="E12"/>
  <c r="F12"/>
  <c r="C15"/>
  <c r="E15"/>
  <c r="F15"/>
  <c r="C11"/>
  <c r="E11"/>
  <c r="F11"/>
  <c r="C9"/>
  <c r="E9"/>
  <c r="F9"/>
  <c r="C13"/>
  <c r="E13"/>
  <c r="F13"/>
  <c r="C14"/>
  <c r="E14"/>
  <c r="C8"/>
  <c r="E8"/>
  <c r="F8"/>
  <c r="F12" i="2"/>
  <c r="B15" i="14"/>
  <c r="M437" i="30"/>
  <c r="F14" i="2"/>
  <c r="B17" i="14"/>
  <c r="E27" i="2"/>
  <c r="D9"/>
  <c r="I27"/>
  <c r="L442" i="30"/>
  <c r="L444"/>
  <c r="K16" i="7"/>
  <c r="K20"/>
  <c r="B17" i="2"/>
  <c r="C8"/>
  <c r="I26"/>
  <c r="E26"/>
  <c r="D8"/>
  <c r="E16" i="7"/>
  <c r="F16"/>
  <c r="F7"/>
  <c r="I14" i="2"/>
  <c r="K14"/>
  <c r="F14" i="15"/>
  <c r="G14" i="2"/>
  <c r="E14"/>
  <c r="E17" i="14"/>
  <c r="G12" i="2"/>
  <c r="E12"/>
  <c r="D15" i="14"/>
  <c r="F9" i="2"/>
  <c r="C12" i="14"/>
  <c r="N437" i="30"/>
  <c r="M442"/>
  <c r="L448"/>
  <c r="E58" i="24"/>
  <c r="B41" i="14"/>
  <c r="B14" i="15"/>
  <c r="B39" i="14"/>
  <c r="B12" i="15"/>
  <c r="E44" i="24"/>
  <c r="K458" i="30"/>
  <c r="L458"/>
  <c r="F8" i="2"/>
  <c r="C11" i="14"/>
  <c r="C11" i="2"/>
  <c r="C9"/>
  <c r="C13"/>
  <c r="C10"/>
  <c r="C15"/>
  <c r="C14"/>
  <c r="C12"/>
  <c r="C16"/>
  <c r="E12" i="15"/>
  <c r="L449" i="30"/>
  <c r="L450"/>
  <c r="O448"/>
  <c r="I9" i="2"/>
  <c r="K9"/>
  <c r="F9" i="15"/>
  <c r="G9" i="2"/>
  <c r="E9"/>
  <c r="E12" i="14"/>
  <c r="E14" i="15"/>
  <c r="N442" i="30"/>
  <c r="M444"/>
  <c r="D39" i="14"/>
  <c r="C12" i="15"/>
  <c r="E45" i="24"/>
  <c r="K459" i="30"/>
  <c r="L459"/>
  <c r="L500"/>
  <c r="L479"/>
  <c r="I12" i="2"/>
  <c r="K12"/>
  <c r="F12" i="15"/>
  <c r="C17" i="2"/>
  <c r="M458" i="30"/>
  <c r="L464"/>
  <c r="L466"/>
  <c r="C36" i="14"/>
  <c r="B9" i="15"/>
  <c r="E20" i="24"/>
  <c r="E59"/>
  <c r="E41" i="14"/>
  <c r="C14" i="15"/>
  <c r="E12" i="24"/>
  <c r="C35" i="14"/>
  <c r="B8" i="15"/>
  <c r="F17" i="2"/>
  <c r="G8"/>
  <c r="I8"/>
  <c r="K480" i="30"/>
  <c r="L480"/>
  <c r="K501"/>
  <c r="L501"/>
  <c r="L470"/>
  <c r="M479"/>
  <c r="M448"/>
  <c r="N444"/>
  <c r="L290"/>
  <c r="L186"/>
  <c r="L240"/>
  <c r="L265"/>
  <c r="L215"/>
  <c r="N458"/>
  <c r="M464"/>
  <c r="M500"/>
  <c r="L506"/>
  <c r="E9" i="15"/>
  <c r="M459" i="30"/>
  <c r="N459"/>
  <c r="O440"/>
  <c r="O439"/>
  <c r="O446"/>
  <c r="O445"/>
  <c r="O438"/>
  <c r="O447"/>
  <c r="O443"/>
  <c r="O441"/>
  <c r="O436"/>
  <c r="O437"/>
  <c r="O444"/>
  <c r="E36" i="14"/>
  <c r="C9" i="15"/>
  <c r="E21" i="24"/>
  <c r="O449" i="30"/>
  <c r="O450"/>
  <c r="M449"/>
  <c r="N449"/>
  <c r="K8" i="2"/>
  <c r="I17"/>
  <c r="H18"/>
  <c r="F18"/>
  <c r="B17" i="15"/>
  <c r="E8" i="2"/>
  <c r="E11" i="14"/>
  <c r="G17" i="2"/>
  <c r="G18"/>
  <c r="L108" i="30"/>
  <c r="L12"/>
  <c r="L136"/>
  <c r="L82"/>
  <c r="L161"/>
  <c r="L58"/>
  <c r="M58"/>
  <c r="N58"/>
  <c r="L35"/>
  <c r="M35"/>
  <c r="N35"/>
  <c r="N500"/>
  <c r="M265"/>
  <c r="M485"/>
  <c r="N479"/>
  <c r="M480"/>
  <c r="N480"/>
  <c r="K187"/>
  <c r="L187"/>
  <c r="M187"/>
  <c r="N187"/>
  <c r="K216"/>
  <c r="L216"/>
  <c r="M216"/>
  <c r="N216"/>
  <c r="K266"/>
  <c r="L266"/>
  <c r="M266"/>
  <c r="N266"/>
  <c r="K291"/>
  <c r="L291"/>
  <c r="M291"/>
  <c r="N291"/>
  <c r="K241"/>
  <c r="L241"/>
  <c r="M241"/>
  <c r="N241"/>
  <c r="O442"/>
  <c r="N464"/>
  <c r="M466"/>
  <c r="M240"/>
  <c r="M450"/>
  <c r="N450"/>
  <c r="N448"/>
  <c r="L472"/>
  <c r="L471"/>
  <c r="L508"/>
  <c r="M186"/>
  <c r="M215"/>
  <c r="M290"/>
  <c r="L485"/>
  <c r="M501"/>
  <c r="N501"/>
  <c r="E35" i="14"/>
  <c r="E13" i="24"/>
  <c r="M12" i="30"/>
  <c r="M161"/>
  <c r="M108"/>
  <c r="M82"/>
  <c r="I18" i="2"/>
  <c r="M136" i="30"/>
  <c r="K17" i="2"/>
  <c r="F8" i="15"/>
  <c r="F17"/>
  <c r="L512" i="30"/>
  <c r="O465"/>
  <c r="O461"/>
  <c r="O462"/>
  <c r="O469"/>
  <c r="O468"/>
  <c r="O463"/>
  <c r="O460"/>
  <c r="O467"/>
  <c r="O458"/>
  <c r="O459"/>
  <c r="O466"/>
  <c r="N240"/>
  <c r="M491"/>
  <c r="N485"/>
  <c r="M487"/>
  <c r="N487"/>
  <c r="M506"/>
  <c r="L487"/>
  <c r="N215"/>
  <c r="M470"/>
  <c r="N466"/>
  <c r="M471"/>
  <c r="N471"/>
  <c r="O471"/>
  <c r="N265"/>
  <c r="N290"/>
  <c r="N186"/>
  <c r="O470"/>
  <c r="N82"/>
  <c r="K137"/>
  <c r="L137"/>
  <c r="K83"/>
  <c r="L83"/>
  <c r="K162"/>
  <c r="L162"/>
  <c r="K109"/>
  <c r="L109"/>
  <c r="N136"/>
  <c r="N108"/>
  <c r="N12"/>
  <c r="N161"/>
  <c r="K13"/>
  <c r="C8" i="15"/>
  <c r="L513" i="30"/>
  <c r="O472"/>
  <c r="N470"/>
  <c r="M472"/>
  <c r="N472"/>
  <c r="L491"/>
  <c r="N491"/>
  <c r="N506"/>
  <c r="M508"/>
  <c r="N508"/>
  <c r="M512"/>
  <c r="O464"/>
  <c r="M137"/>
  <c r="M109"/>
  <c r="C17" i="15"/>
  <c r="E8"/>
  <c r="E17"/>
  <c r="E21"/>
  <c r="K36" i="30"/>
  <c r="L13"/>
  <c r="M83"/>
  <c r="M162"/>
  <c r="N512"/>
  <c r="L493"/>
  <c r="L492"/>
  <c r="M513"/>
  <c r="N513"/>
  <c r="L514"/>
  <c r="L36"/>
  <c r="K59"/>
  <c r="L59"/>
  <c r="M13"/>
  <c r="N162"/>
  <c r="N109"/>
  <c r="N83"/>
  <c r="N137"/>
  <c r="O484"/>
  <c r="O483"/>
  <c r="O488"/>
  <c r="O489"/>
  <c r="O490"/>
  <c r="O486"/>
  <c r="O482"/>
  <c r="O481"/>
  <c r="O479"/>
  <c r="O480"/>
  <c r="O485"/>
  <c r="O487"/>
  <c r="O504"/>
  <c r="O503"/>
  <c r="O510"/>
  <c r="O505"/>
  <c r="O509"/>
  <c r="O502"/>
  <c r="O511"/>
  <c r="O507"/>
  <c r="O500"/>
  <c r="O501"/>
  <c r="O506"/>
  <c r="O508"/>
  <c r="O512"/>
  <c r="O514"/>
  <c r="O491"/>
  <c r="O513"/>
  <c r="M492"/>
  <c r="O492"/>
  <c r="M514"/>
  <c r="N514"/>
  <c r="M59"/>
  <c r="N13"/>
  <c r="M36"/>
  <c r="N492"/>
  <c r="M493"/>
  <c r="N493"/>
  <c r="O493"/>
  <c r="N36"/>
  <c r="N59"/>
  <c r="L9" i="28" l="1"/>
  <c r="E15" i="24" s="1"/>
  <c r="K140" i="30" s="1"/>
  <c r="L140" s="1"/>
  <c r="J9" i="28"/>
  <c r="J11"/>
  <c r="K367" i="30"/>
  <c r="L367" s="1"/>
  <c r="M367" s="1"/>
  <c r="K415"/>
  <c r="L415" s="1"/>
  <c r="K391"/>
  <c r="L391" s="1"/>
  <c r="K343"/>
  <c r="L343" s="1"/>
  <c r="M343" s="1"/>
  <c r="F10" i="28"/>
  <c r="H10" s="1"/>
  <c r="K16" i="30"/>
  <c r="K86"/>
  <c r="L86" s="1"/>
  <c r="K112"/>
  <c r="L112" s="1"/>
  <c r="L347"/>
  <c r="L349" s="1"/>
  <c r="L353" s="1"/>
  <c r="L371"/>
  <c r="L373" s="1"/>
  <c r="L377" s="1"/>
  <c r="K319"/>
  <c r="L319" s="1"/>
  <c r="I9" i="28"/>
  <c r="K165" i="30" l="1"/>
  <c r="L165" s="1"/>
  <c r="L395"/>
  <c r="L397" s="1"/>
  <c r="L401" s="1"/>
  <c r="M391"/>
  <c r="L16"/>
  <c r="K39"/>
  <c r="M415"/>
  <c r="L419"/>
  <c r="L421" s="1"/>
  <c r="L425" s="1"/>
  <c r="J10" i="28"/>
  <c r="L10"/>
  <c r="E23" i="24" s="1"/>
  <c r="I10" i="28"/>
  <c r="L323" i="30"/>
  <c r="L325" s="1"/>
  <c r="L329" s="1"/>
  <c r="M319"/>
  <c r="N367"/>
  <c r="M371"/>
  <c r="M347"/>
  <c r="N343"/>
  <c r="L169"/>
  <c r="L171" s="1"/>
  <c r="L176" s="1"/>
  <c r="M165"/>
  <c r="L144"/>
  <c r="L146" s="1"/>
  <c r="L151" s="1"/>
  <c r="M140"/>
  <c r="M112"/>
  <c r="L116"/>
  <c r="L118" s="1"/>
  <c r="L124" s="1"/>
  <c r="L90"/>
  <c r="M86"/>
  <c r="K244" l="1"/>
  <c r="L244" s="1"/>
  <c r="K294"/>
  <c r="L294" s="1"/>
  <c r="K269"/>
  <c r="L269" s="1"/>
  <c r="K190"/>
  <c r="L190" s="1"/>
  <c r="K219"/>
  <c r="L219" s="1"/>
  <c r="L39"/>
  <c r="K62"/>
  <c r="L62" s="1"/>
  <c r="M16"/>
  <c r="L20"/>
  <c r="L22" s="1"/>
  <c r="M395"/>
  <c r="N391"/>
  <c r="N415"/>
  <c r="M419"/>
  <c r="N140"/>
  <c r="M144"/>
  <c r="L26"/>
  <c r="M349"/>
  <c r="N347"/>
  <c r="M90"/>
  <c r="N86"/>
  <c r="M116"/>
  <c r="N112"/>
  <c r="N165"/>
  <c r="M169"/>
  <c r="M373"/>
  <c r="N371"/>
  <c r="L92"/>
  <c r="N319"/>
  <c r="M323"/>
  <c r="M20" l="1"/>
  <c r="N16"/>
  <c r="M190"/>
  <c r="L194"/>
  <c r="L196" s="1"/>
  <c r="L202" s="1"/>
  <c r="L66"/>
  <c r="L68" s="1"/>
  <c r="M62"/>
  <c r="M269"/>
  <c r="L273"/>
  <c r="L275" s="1"/>
  <c r="L280" s="1"/>
  <c r="M397"/>
  <c r="N395"/>
  <c r="L43"/>
  <c r="M39"/>
  <c r="M294"/>
  <c r="L298"/>
  <c r="L300" s="1"/>
  <c r="L305" s="1"/>
  <c r="N419"/>
  <c r="M421"/>
  <c r="L223"/>
  <c r="L225" s="1"/>
  <c r="L230" s="1"/>
  <c r="M219"/>
  <c r="L248"/>
  <c r="L250" s="1"/>
  <c r="L255" s="1"/>
  <c r="M244"/>
  <c r="N323"/>
  <c r="M325"/>
  <c r="L97"/>
  <c r="M377"/>
  <c r="N377" s="1"/>
  <c r="N373"/>
  <c r="N90"/>
  <c r="M92"/>
  <c r="L72"/>
  <c r="N144"/>
  <c r="M146"/>
  <c r="M118"/>
  <c r="N116"/>
  <c r="N349"/>
  <c r="M353"/>
  <c r="N353" s="1"/>
  <c r="N169"/>
  <c r="M171"/>
  <c r="L27"/>
  <c r="L28" s="1"/>
  <c r="M43" l="1"/>
  <c r="N39"/>
  <c r="N219"/>
  <c r="M223"/>
  <c r="L45"/>
  <c r="N269"/>
  <c r="M273"/>
  <c r="M194"/>
  <c r="N190"/>
  <c r="N294"/>
  <c r="M298"/>
  <c r="N62"/>
  <c r="M66"/>
  <c r="N244"/>
  <c r="M248"/>
  <c r="N421"/>
  <c r="M425"/>
  <c r="N425" s="1"/>
  <c r="M401"/>
  <c r="N401" s="1"/>
  <c r="N397"/>
  <c r="M22"/>
  <c r="N22" s="1"/>
  <c r="N20"/>
  <c r="M26"/>
  <c r="N26" s="1"/>
  <c r="O13"/>
  <c r="O15"/>
  <c r="O25"/>
  <c r="O19"/>
  <c r="O24"/>
  <c r="O12"/>
  <c r="O17"/>
  <c r="O23"/>
  <c r="O21"/>
  <c r="O14"/>
  <c r="O18"/>
  <c r="O16"/>
  <c r="O20"/>
  <c r="O22"/>
  <c r="N146"/>
  <c r="M151"/>
  <c r="N151" s="1"/>
  <c r="L73"/>
  <c r="M97"/>
  <c r="N92"/>
  <c r="O26"/>
  <c r="N118"/>
  <c r="M124"/>
  <c r="N124" s="1"/>
  <c r="L98"/>
  <c r="O27"/>
  <c r="M27"/>
  <c r="M176"/>
  <c r="N176" s="1"/>
  <c r="N171"/>
  <c r="M329"/>
  <c r="N329" s="1"/>
  <c r="N325"/>
  <c r="M250" l="1"/>
  <c r="N248"/>
  <c r="N298"/>
  <c r="M300"/>
  <c r="M275"/>
  <c r="N273"/>
  <c r="M225"/>
  <c r="N223"/>
  <c r="M72"/>
  <c r="N72" s="1"/>
  <c r="M68"/>
  <c r="N68" s="1"/>
  <c r="N66"/>
  <c r="N194"/>
  <c r="M196"/>
  <c r="L49"/>
  <c r="M49"/>
  <c r="N43"/>
  <c r="M45"/>
  <c r="N45" s="1"/>
  <c r="N27"/>
  <c r="M28"/>
  <c r="N28" s="1"/>
  <c r="O82"/>
  <c r="O84"/>
  <c r="O83"/>
  <c r="O85"/>
  <c r="M98"/>
  <c r="N98" s="1"/>
  <c r="M73"/>
  <c r="N97"/>
  <c r="L74"/>
  <c r="L99"/>
  <c r="O98" s="1"/>
  <c r="O28"/>
  <c r="N49" l="1"/>
  <c r="N300"/>
  <c r="M305"/>
  <c r="N305" s="1"/>
  <c r="M230"/>
  <c r="N230" s="1"/>
  <c r="N225"/>
  <c r="L50"/>
  <c r="N196"/>
  <c r="M202"/>
  <c r="N202" s="1"/>
  <c r="N275"/>
  <c r="M280"/>
  <c r="N280" s="1"/>
  <c r="M255"/>
  <c r="N255" s="1"/>
  <c r="N250"/>
  <c r="O70"/>
  <c r="O65"/>
  <c r="O59"/>
  <c r="O58"/>
  <c r="O61"/>
  <c r="O60"/>
  <c r="O64"/>
  <c r="O69"/>
  <c r="O63"/>
  <c r="O71"/>
  <c r="O67"/>
  <c r="O62"/>
  <c r="O66"/>
  <c r="O68"/>
  <c r="O72"/>
  <c r="O73"/>
  <c r="M99"/>
  <c r="N99" s="1"/>
  <c r="O95"/>
  <c r="O87"/>
  <c r="O96"/>
  <c r="O89"/>
  <c r="O91"/>
  <c r="O93"/>
  <c r="O94"/>
  <c r="O88"/>
  <c r="O86"/>
  <c r="O90"/>
  <c r="O92"/>
  <c r="O97"/>
  <c r="O99" s="1"/>
  <c r="N73"/>
  <c r="M74"/>
  <c r="N74" s="1"/>
  <c r="M50" l="1"/>
  <c r="L51"/>
  <c r="O50" s="1"/>
  <c r="O74"/>
  <c r="O38" l="1"/>
  <c r="O36"/>
  <c r="O35"/>
  <c r="O40"/>
  <c r="O42"/>
  <c r="O41"/>
  <c r="O37"/>
  <c r="O48"/>
  <c r="O44"/>
  <c r="O46"/>
  <c r="O47"/>
  <c r="O39"/>
  <c r="O43"/>
  <c r="O45"/>
  <c r="O49"/>
  <c r="O51" s="1"/>
  <c r="N50"/>
  <c r="M51"/>
  <c r="N51" s="1"/>
  <c r="O108"/>
  <c r="O109"/>
  <c r="O110"/>
  <c r="O111"/>
  <c r="O112"/>
  <c r="O113"/>
  <c r="O114"/>
  <c r="O115"/>
  <c r="O116"/>
  <c r="O117"/>
  <c r="O118"/>
  <c r="O119"/>
  <c r="O120"/>
  <c r="O121"/>
  <c r="O122"/>
  <c r="O124"/>
  <c r="H125"/>
  <c r="I125"/>
  <c r="K125"/>
  <c r="L125"/>
  <c r="M125"/>
  <c r="N125"/>
  <c r="O125"/>
  <c r="I126"/>
  <c r="L126"/>
  <c r="M126"/>
  <c r="N126"/>
  <c r="O126"/>
  <c r="I127"/>
  <c r="L127"/>
  <c r="I128"/>
  <c r="L128"/>
  <c r="M128"/>
  <c r="N128"/>
  <c r="O136"/>
  <c r="O137"/>
  <c r="O138"/>
  <c r="O139"/>
  <c r="O140"/>
  <c r="O141"/>
  <c r="O142"/>
  <c r="O143"/>
  <c r="O144"/>
  <c r="O145"/>
  <c r="O146"/>
  <c r="O147"/>
  <c r="O148"/>
  <c r="O149"/>
  <c r="O150"/>
  <c r="O151"/>
  <c r="H152"/>
  <c r="I152"/>
  <c r="K152"/>
  <c r="L152"/>
  <c r="M152"/>
  <c r="N152"/>
  <c r="O152"/>
  <c r="I153"/>
  <c r="L153"/>
  <c r="M153"/>
  <c r="N153"/>
  <c r="O153"/>
  <c r="O161"/>
  <c r="O162"/>
  <c r="O163"/>
  <c r="O164"/>
  <c r="O165"/>
  <c r="O166"/>
  <c r="O167"/>
  <c r="O168"/>
  <c r="O169"/>
  <c r="O170"/>
  <c r="O171"/>
  <c r="O172"/>
  <c r="O173"/>
  <c r="O174"/>
  <c r="O175"/>
  <c r="O176"/>
  <c r="H177"/>
  <c r="I177"/>
  <c r="K177"/>
  <c r="L177"/>
  <c r="M177"/>
  <c r="N177"/>
  <c r="O177"/>
  <c r="I178"/>
  <c r="L178"/>
  <c r="M178"/>
  <c r="N178"/>
  <c r="O178"/>
  <c r="O186"/>
  <c r="O187"/>
  <c r="O188"/>
  <c r="O189"/>
  <c r="O190"/>
  <c r="O191"/>
  <c r="O192"/>
  <c r="O193"/>
  <c r="O194"/>
  <c r="O195"/>
  <c r="O196"/>
  <c r="O197"/>
  <c r="O198"/>
  <c r="O199"/>
  <c r="O200"/>
  <c r="O202"/>
  <c r="H203"/>
  <c r="I203"/>
  <c r="K203"/>
  <c r="L203"/>
  <c r="M203"/>
  <c r="N203"/>
  <c r="O203"/>
  <c r="I204"/>
  <c r="L204"/>
  <c r="M204"/>
  <c r="N204"/>
  <c r="O204"/>
  <c r="I205"/>
  <c r="L205"/>
  <c r="I206"/>
  <c r="L206"/>
  <c r="M206"/>
  <c r="N206"/>
  <c r="O215"/>
  <c r="O216"/>
  <c r="O217"/>
  <c r="O218"/>
  <c r="O219"/>
  <c r="O220"/>
  <c r="O221"/>
  <c r="O222"/>
  <c r="O223"/>
  <c r="O224"/>
  <c r="O225"/>
  <c r="O226"/>
  <c r="O227"/>
  <c r="O228"/>
  <c r="O229"/>
  <c r="O230"/>
  <c r="H231"/>
  <c r="I231"/>
  <c r="K231"/>
  <c r="L231"/>
  <c r="M231"/>
  <c r="N231"/>
  <c r="O231"/>
  <c r="I232"/>
  <c r="L232"/>
  <c r="M232"/>
  <c r="N232"/>
  <c r="O232"/>
  <c r="O240"/>
  <c r="O241"/>
  <c r="O242"/>
  <c r="O243"/>
  <c r="O244"/>
  <c r="O245"/>
  <c r="O246"/>
  <c r="O247"/>
  <c r="O248"/>
  <c r="O249"/>
  <c r="O250"/>
  <c r="O251"/>
  <c r="O252"/>
  <c r="O253"/>
  <c r="O254"/>
  <c r="O255"/>
  <c r="H256"/>
  <c r="I256"/>
  <c r="K256"/>
  <c r="L256"/>
  <c r="M256"/>
  <c r="N256"/>
  <c r="O256"/>
  <c r="I257"/>
  <c r="L257"/>
  <c r="M257"/>
  <c r="N257"/>
  <c r="O257"/>
  <c r="O265"/>
  <c r="O266"/>
  <c r="O267"/>
  <c r="O268"/>
  <c r="O269"/>
  <c r="O270"/>
  <c r="O271"/>
  <c r="O272"/>
  <c r="O273"/>
  <c r="O274"/>
  <c r="O275"/>
  <c r="O276"/>
  <c r="O277"/>
  <c r="O278"/>
  <c r="O279"/>
  <c r="O280"/>
  <c r="H281"/>
  <c r="I281"/>
  <c r="K281"/>
  <c r="L281"/>
  <c r="M281"/>
  <c r="N281"/>
  <c r="O281"/>
  <c r="I282"/>
  <c r="L282"/>
  <c r="M282"/>
  <c r="N282"/>
  <c r="O282"/>
  <c r="O290"/>
  <c r="O291"/>
  <c r="O292"/>
  <c r="O293"/>
  <c r="O294"/>
  <c r="O295"/>
  <c r="O296"/>
  <c r="O297"/>
  <c r="O298"/>
  <c r="O299"/>
  <c r="O300"/>
  <c r="O301"/>
  <c r="O302"/>
  <c r="O303"/>
  <c r="O304"/>
  <c r="O305"/>
  <c r="H306"/>
  <c r="I306"/>
  <c r="K306"/>
  <c r="L306"/>
  <c r="M306"/>
  <c r="N306"/>
  <c r="O306"/>
  <c r="I307"/>
  <c r="L307"/>
  <c r="M307"/>
  <c r="N307"/>
  <c r="O307"/>
  <c r="O315"/>
  <c r="O316"/>
  <c r="O317"/>
  <c r="O318"/>
  <c r="O319"/>
  <c r="O320"/>
  <c r="O321"/>
  <c r="O322"/>
  <c r="O323"/>
  <c r="O324"/>
  <c r="O325"/>
  <c r="O326"/>
  <c r="O327"/>
  <c r="O328"/>
  <c r="O329"/>
  <c r="H330"/>
  <c r="I330"/>
  <c r="K330"/>
  <c r="L330"/>
  <c r="M330"/>
  <c r="N330"/>
  <c r="O330"/>
  <c r="I331"/>
  <c r="L331"/>
  <c r="M331"/>
  <c r="N331"/>
  <c r="O331"/>
  <c r="O339"/>
  <c r="O340"/>
  <c r="O341"/>
  <c r="O342"/>
  <c r="O343"/>
  <c r="O344"/>
  <c r="O345"/>
  <c r="O346"/>
  <c r="O347"/>
  <c r="O348"/>
  <c r="O349"/>
  <c r="O350"/>
  <c r="O351"/>
  <c r="O352"/>
  <c r="O353"/>
  <c r="H354"/>
  <c r="I354"/>
  <c r="K354"/>
  <c r="L354"/>
  <c r="M354"/>
  <c r="N354"/>
  <c r="O354"/>
  <c r="I355"/>
  <c r="L355"/>
  <c r="M355"/>
  <c r="N355"/>
  <c r="O355"/>
  <c r="O363"/>
  <c r="O364"/>
  <c r="O365"/>
  <c r="O366"/>
  <c r="O367"/>
  <c r="O368"/>
  <c r="O369"/>
  <c r="O370"/>
  <c r="O371"/>
  <c r="O372"/>
  <c r="O373"/>
  <c r="O374"/>
  <c r="O375"/>
  <c r="O376"/>
  <c r="O377"/>
  <c r="H378"/>
  <c r="I378"/>
  <c r="K378"/>
  <c r="L378"/>
  <c r="M378"/>
  <c r="N378"/>
  <c r="O378"/>
  <c r="I379"/>
  <c r="L379"/>
  <c r="M379"/>
  <c r="N379"/>
  <c r="O379"/>
  <c r="O387"/>
  <c r="O388"/>
  <c r="O389"/>
  <c r="O390"/>
  <c r="O391"/>
  <c r="O392"/>
  <c r="O393"/>
  <c r="O394"/>
  <c r="O395"/>
  <c r="O396"/>
  <c r="O397"/>
  <c r="O398"/>
  <c r="O399"/>
  <c r="O400"/>
  <c r="O401"/>
  <c r="H402"/>
  <c r="I402"/>
  <c r="K402"/>
  <c r="L402"/>
  <c r="M402"/>
  <c r="N402"/>
  <c r="O402"/>
  <c r="I403"/>
  <c r="L403"/>
  <c r="M403"/>
  <c r="N403"/>
  <c r="O403"/>
  <c r="O411"/>
  <c r="O412"/>
  <c r="O413"/>
  <c r="O414"/>
  <c r="O415"/>
  <c r="O416"/>
  <c r="O417"/>
  <c r="O418"/>
  <c r="O419"/>
  <c r="O420"/>
  <c r="O421"/>
  <c r="O422"/>
  <c r="O423"/>
  <c r="O424"/>
  <c r="O425"/>
  <c r="H426"/>
  <c r="I426"/>
  <c r="K426"/>
  <c r="L426"/>
  <c r="M426"/>
  <c r="N426"/>
  <c r="O426"/>
  <c r="I427"/>
  <c r="L427"/>
  <c r="M427"/>
  <c r="N427"/>
  <c r="O427"/>
</calcChain>
</file>

<file path=xl/sharedStrings.xml><?xml version="1.0" encoding="utf-8"?>
<sst xmlns="http://schemas.openxmlformats.org/spreadsheetml/2006/main" count="1113" uniqueCount="278">
  <si>
    <t>Customer Class</t>
  </si>
  <si>
    <t>TOTAL</t>
  </si>
  <si>
    <t>Proposed Fixed Rate</t>
  </si>
  <si>
    <t>Resulting Variable Rate</t>
  </si>
  <si>
    <t>Total Fixed Revenue</t>
  </si>
  <si>
    <t>Total Variable Revenue</t>
  </si>
  <si>
    <t>Transformer Allowance</t>
  </si>
  <si>
    <t>Annual kWh</t>
  </si>
  <si>
    <t>Annual kW For Dx</t>
  </si>
  <si>
    <t>Annual kW For Tx</t>
  </si>
  <si>
    <t>Annualized Customers</t>
  </si>
  <si>
    <t>Fixed Distribution Revenue</t>
  </si>
  <si>
    <t>Variable Distribution Revenue</t>
  </si>
  <si>
    <t>Calculated kWh</t>
  </si>
  <si>
    <t>Calculated kW</t>
  </si>
  <si>
    <t>Volumetric Rate Type</t>
  </si>
  <si>
    <t>kWh</t>
  </si>
  <si>
    <t>kW</t>
  </si>
  <si>
    <t>TOTALS</t>
  </si>
  <si>
    <t>Retail Transmission Connection Rate ($)</t>
  </si>
  <si>
    <t>Allocation Percentages</t>
  </si>
  <si>
    <t>Allocated $</t>
  </si>
  <si>
    <t>per KWh</t>
  </si>
  <si>
    <t>per kW</t>
  </si>
  <si>
    <t>Class</t>
  </si>
  <si>
    <t>Connection</t>
  </si>
  <si>
    <t>Customer</t>
  </si>
  <si>
    <t>Annualized Connections</t>
  </si>
  <si>
    <t>Revenue At Existing Rates</t>
  </si>
  <si>
    <t>Total Distribution Revenue</t>
  </si>
  <si>
    <t>Sum of Quantity</t>
  </si>
  <si>
    <t>Transformer Allowance Credit</t>
  </si>
  <si>
    <t xml:space="preserve">   Total</t>
  </si>
  <si>
    <t>Expected</t>
  </si>
  <si>
    <t xml:space="preserve">     kW</t>
  </si>
  <si>
    <t>General Service:</t>
  </si>
  <si>
    <t xml:space="preserve">    Total</t>
  </si>
  <si>
    <r>
      <t xml:space="preserve">     </t>
    </r>
    <r>
      <rPr>
        <b/>
        <sz val="12"/>
        <rFont val="Arial"/>
        <family val="2"/>
      </rPr>
      <t>$</t>
    </r>
  </si>
  <si>
    <t>Transformer Ownership Allowance</t>
  </si>
  <si>
    <t>Service Revenue Requirement</t>
  </si>
  <si>
    <t>Rate Determination Constants/Options For Test Year</t>
  </si>
  <si>
    <t>Total</t>
  </si>
  <si>
    <t>LV &amp; Wheeling Charges</t>
  </si>
  <si>
    <t>Less: Revenue Offsets</t>
  </si>
  <si>
    <t>Addback Transformer Allowances</t>
  </si>
  <si>
    <t xml:space="preserve">      Gross Revenues For Rates</t>
  </si>
  <si>
    <t>Regulatory Assets Rate Riders ($)
per kWh</t>
  </si>
  <si>
    <t>Regulatory Assets Rate Riders ($)
per kW</t>
  </si>
  <si>
    <t>RESIDENTIAL</t>
  </si>
  <si>
    <t>Other Charges
per kWh ($)</t>
  </si>
  <si>
    <t>Other Charges
per kW ($)</t>
  </si>
  <si>
    <t>Cost of Power Commodity
per kWh ($)</t>
  </si>
  <si>
    <t>Loss Adjustment Factor</t>
  </si>
  <si>
    <t>Retail Transmission Rate
(from 8-6)</t>
  </si>
  <si>
    <t>Wholesale Market Service Rate</t>
  </si>
  <si>
    <t>per KW</t>
  </si>
  <si>
    <t>per kWh</t>
  </si>
  <si>
    <t>Supply Facilities Loss Factor</t>
  </si>
  <si>
    <t>Distribution Loss Factor - Secondary Metered Customer &lt; 5,000 kW</t>
  </si>
  <si>
    <t>Distribution Loss Factor - Secondary Metered Customer &gt; 5,000 kW</t>
  </si>
  <si>
    <t>Distribution Loss Factor - Primary Metered Customer &lt; 5,000 kW</t>
  </si>
  <si>
    <t>Distribution Loss Factor - Primary Metered Customer &gt; 5,000 kW</t>
  </si>
  <si>
    <t>Total Loss Factor - Secondary Metered Customer &lt; 5,000 kW</t>
  </si>
  <si>
    <t>Total Loss Factor - Secondary Metered Customer &gt; 5,000 kW</t>
  </si>
  <si>
    <t>Total Loss Factor - Primary Metered Customer &lt; 5,000 kW</t>
  </si>
  <si>
    <t>Total Loss Factor - Primary Metered Customer &gt; 5,000 kW</t>
  </si>
  <si>
    <t>OTHER ELECTRICITY CHARGES</t>
  </si>
  <si>
    <t>Volume</t>
  </si>
  <si>
    <t>RATE                             $</t>
  </si>
  <si>
    <t>CHARGE
$</t>
  </si>
  <si>
    <t>Consumption</t>
  </si>
  <si>
    <t>Monthly Service Charge</t>
  </si>
  <si>
    <t>Distribution (kWh)</t>
  </si>
  <si>
    <t>IMPACT</t>
  </si>
  <si>
    <t>Change
$</t>
  </si>
  <si>
    <t>Change
%</t>
  </si>
  <si>
    <t>% of Total Bill</t>
  </si>
  <si>
    <t>Other Charges (kWh)</t>
  </si>
  <si>
    <t>Cost of Power Commodity (kWh)</t>
  </si>
  <si>
    <t>Total Bill</t>
  </si>
  <si>
    <t xml:space="preserve">
$</t>
  </si>
  <si>
    <t xml:space="preserve">
%</t>
  </si>
  <si>
    <t>Distribution (kW)</t>
  </si>
  <si>
    <t xml:space="preserve"> Sentinel Lighting</t>
  </si>
  <si>
    <t xml:space="preserve"> Street Lighting</t>
  </si>
  <si>
    <t>Item Description</t>
  </si>
  <si>
    <t>Unit</t>
  </si>
  <si>
    <t>per month</t>
  </si>
  <si>
    <t>Distribution Volumetric Rate</t>
  </si>
  <si>
    <t>Schedule of Distribution Rates and Charges</t>
  </si>
  <si>
    <t>RATES SCHEDULE (Part 1)</t>
  </si>
  <si>
    <t>GENERAL SERVICE &gt; 50 kW</t>
  </si>
  <si>
    <t>Item Description (Rate Code)</t>
  </si>
  <si>
    <t>Calculation Basis</t>
  </si>
  <si>
    <t>Arrears certificate  (1)</t>
  </si>
  <si>
    <t>Statement of account (2)</t>
  </si>
  <si>
    <t>Pulling post dated cheques (3)</t>
  </si>
  <si>
    <t>Duplicate invoices for previous billing  (4)</t>
  </si>
  <si>
    <t>Request for other billing information (5)</t>
  </si>
  <si>
    <t>Easement letter (6)</t>
  </si>
  <si>
    <t>Income tax letter  (7)</t>
  </si>
  <si>
    <t>Notification charge (8)</t>
  </si>
  <si>
    <t>Account history (9)</t>
  </si>
  <si>
    <t>Credit reference/credit check (plus credit agency costs) (10)</t>
  </si>
  <si>
    <t>Returned cheque charge (plus bank charges) (11)</t>
  </si>
  <si>
    <t>Charge to certify cheque (12)</t>
  </si>
  <si>
    <t>Legal letter charge (13)</t>
  </si>
  <si>
    <t>Account set up charge/change of occupancy charge (plus credit agency costs if applicable) (14)</t>
  </si>
  <si>
    <t>Special meter reads (15)</t>
  </si>
  <si>
    <t>Collection of account charge - no disconnection (16)</t>
  </si>
  <si>
    <t>Collection of account charge  - no disconnection - after regular hours (17)</t>
  </si>
  <si>
    <t>Disconnect/Reconnect at meter - during regular hours  (18)</t>
  </si>
  <si>
    <t>Install/Remove load control device - during regular hours (19)</t>
  </si>
  <si>
    <t>Disconnect/Reconnect at meter - after regular hours (20)</t>
  </si>
  <si>
    <t>Install/Remove load control device - after regular hours (21)</t>
  </si>
  <si>
    <t>Disconnect/Reconnect at pole - during regular hours  (22)</t>
  </si>
  <si>
    <t>Disconnect/Reconnect at pole - after regular hours  (23)</t>
  </si>
  <si>
    <t>Meter dispute charge plus Measurement Canada fees (if meter found correct) (24)</t>
  </si>
  <si>
    <t>Service call - customer-owned equipment (25)</t>
  </si>
  <si>
    <t>Service call - after regular hours (26)</t>
  </si>
  <si>
    <t>Temporary service install &amp; remove - overhead - no transformer (27)</t>
  </si>
  <si>
    <t>Temporary service install &amp; remove - underground - no transformer (28)</t>
  </si>
  <si>
    <t>Temporary service install &amp; remove - overhead - with transformer (29)</t>
  </si>
  <si>
    <t>Specific Charge for Access to the Power Poles $/pole/year (30)</t>
  </si>
  <si>
    <t>Standard</t>
  </si>
  <si>
    <t>Administrative Billing Charge (31)</t>
  </si>
  <si>
    <t>Loss Factors</t>
  </si>
  <si>
    <t>RATES SCHEDULE (Part 2)</t>
  </si>
  <si>
    <t>Dist. Rev. Before TX Allow.</t>
  </si>
  <si>
    <t>Dist Rev At Existing Rates %</t>
  </si>
  <si>
    <t>Rev Requirement %</t>
  </si>
  <si>
    <t>LV/ Adj.
Rates/kWh</t>
  </si>
  <si>
    <t>LV Adj.
Rates/ kW</t>
  </si>
  <si>
    <t xml:space="preserve">LV Adj.
Allocated </t>
  </si>
  <si>
    <t>Retail Transmission Rate</t>
  </si>
  <si>
    <t>GENERAL SERVICE &lt; 50 kW</t>
  </si>
  <si>
    <t>Connections</t>
  </si>
  <si>
    <t>Billing Determinants</t>
  </si>
  <si>
    <t>Forecast Fixed/Variable Ratios</t>
  </si>
  <si>
    <t>Revenue Requirement</t>
  </si>
  <si>
    <t>Revenue Deficiency</t>
  </si>
  <si>
    <t>Budgeted Revenue Offsets</t>
  </si>
  <si>
    <t>Total Revenue</t>
  </si>
  <si>
    <t>Less Transformer Allowances:</t>
  </si>
  <si>
    <t>Net Revenue At Existing Rates</t>
  </si>
  <si>
    <t>Turn Rounding On</t>
  </si>
  <si>
    <t>First Block</t>
  </si>
  <si>
    <t>Balance Block</t>
  </si>
  <si>
    <t>Total Net Rev. Requirement</t>
  </si>
  <si>
    <t>Gross Distribution Revenue</t>
  </si>
  <si>
    <t>Minimum System with PLCC Adustment (Ceiling Fixed Charge From Cost Allocation Model)</t>
  </si>
  <si>
    <t>Transformer Ownership Credit</t>
  </si>
  <si>
    <t>Rate Class</t>
  </si>
  <si>
    <t>Rate Riders</t>
  </si>
  <si>
    <t>Two Year Rate Rider</t>
  </si>
  <si>
    <t>Three Year Rate Rider</t>
  </si>
  <si>
    <t>LRAM</t>
  </si>
  <si>
    <t>SSM</t>
  </si>
  <si>
    <t>$</t>
  </si>
  <si>
    <t>$/unit (kWh or kW)</t>
  </si>
  <si>
    <t>LRAM &amp; SSM Rider (kWh)</t>
  </si>
  <si>
    <t>LRAM and SSM Rate Rider</t>
  </si>
  <si>
    <t>Number of Years to Use</t>
  </si>
  <si>
    <t>Rate Rider to Use</t>
  </si>
  <si>
    <t>(2 or 3)</t>
  </si>
  <si>
    <t>Rounding is turned on</t>
  </si>
  <si>
    <t>Smart Meter Rate Rider</t>
  </si>
  <si>
    <t>Difference Due to Rate Rounding</t>
  </si>
  <si>
    <t>Debt Retirement Charge</t>
  </si>
  <si>
    <t>Additional Charge</t>
  </si>
  <si>
    <t>Low Voltage Cost Rate Component ($)
per kWh</t>
  </si>
  <si>
    <t>Low Voltage Cost Rate Component ($)
per kW</t>
  </si>
  <si>
    <t>Unit of Measure</t>
  </si>
  <si>
    <t># of Customers</t>
  </si>
  <si>
    <t># of Connections</t>
  </si>
  <si>
    <t xml:space="preserve">Description </t>
  </si>
  <si>
    <t>Transformer Allowance rate</t>
  </si>
  <si>
    <t>Basis for Allocation ($)</t>
  </si>
  <si>
    <t>Metrics</t>
  </si>
  <si>
    <r>
      <t>BILL IMPACTS</t>
    </r>
    <r>
      <rPr>
        <b/>
        <i/>
        <sz val="16"/>
        <rFont val="Arial"/>
        <family val="2"/>
      </rPr>
      <t xml:space="preserve">  (Monthly Consumptions)</t>
    </r>
  </si>
  <si>
    <t>Rate ($)</t>
  </si>
  <si>
    <t>Addback LV Charges</t>
  </si>
  <si>
    <t xml:space="preserve">      Total Base Revenue Requirement</t>
  </si>
  <si>
    <t>Cost Allocation Based Calculations</t>
  </si>
  <si>
    <t>Fixed Charge Analysis</t>
  </si>
  <si>
    <t>Current Volumetric Split</t>
  </si>
  <si>
    <t>Current Fixed Charge Spilt</t>
  </si>
  <si>
    <t>Fixed Rate Based on Current Fixed/Variable Revenue Proportions</t>
  </si>
  <si>
    <t>Adder per Month</t>
  </si>
  <si>
    <t xml:space="preserve">Dist. Rev. Including Transformer </t>
  </si>
  <si>
    <t>Dist. Rev. Excluding Transformer</t>
  </si>
  <si>
    <t xml:space="preserve"> Unmetered Scattered</t>
  </si>
  <si>
    <t>Total Bill Before Taxes</t>
  </si>
  <si>
    <t>GST</t>
  </si>
  <si>
    <t>Deferral and Variance 
Account Rate Riders 
($) per kWh</t>
  </si>
  <si>
    <t>Deferral and Variance 
Account Rate Riders 
($) per kW</t>
  </si>
  <si>
    <t>2010 BILL</t>
  </si>
  <si>
    <t>Check total - should be zero</t>
  </si>
  <si>
    <t xml:space="preserve">Total Revenue </t>
  </si>
  <si>
    <t>Revenue Cost Ratio</t>
  </si>
  <si>
    <t>Proposed Revenue to Cost Ratio</t>
  </si>
  <si>
    <t>Proposed Revenue</t>
  </si>
  <si>
    <t xml:space="preserve">Miscellaneous Revenue </t>
  </si>
  <si>
    <t>Proposed Base Revenue</t>
  </si>
  <si>
    <t>This need to be zero</t>
  </si>
  <si>
    <t>Residential</t>
  </si>
  <si>
    <t>GS &lt; 50 kW</t>
  </si>
  <si>
    <t>GS &gt;50</t>
  </si>
  <si>
    <t>Sentinel Lights</t>
  </si>
  <si>
    <t>Street Lighting</t>
  </si>
  <si>
    <t>USL</t>
  </si>
  <si>
    <t>Total Check</t>
  </si>
  <si>
    <t># of Cust/Con</t>
  </si>
  <si>
    <t>Board Target Low</t>
  </si>
  <si>
    <t>Board Target High</t>
  </si>
  <si>
    <t>Deferral and Variance Account Rider</t>
  </si>
  <si>
    <t>Smart Meter Rate Adder</t>
  </si>
  <si>
    <t>Low Voltage Rider</t>
  </si>
  <si>
    <t>y</t>
  </si>
  <si>
    <t>2011 Rates</t>
  </si>
  <si>
    <t>2011 BILL</t>
  </si>
  <si>
    <t>Deferrral &amp; Variance Acct (kWh)</t>
  </si>
  <si>
    <t>Low Voltage Rider (kWh)</t>
  </si>
  <si>
    <t>Distribution Sub-Total</t>
  </si>
  <si>
    <t>Retail Transmisssion (kWh)</t>
  </si>
  <si>
    <t>Delivery Sub-Total</t>
  </si>
  <si>
    <t>Low Voltage Rider (kW)</t>
  </si>
  <si>
    <t>LRAM &amp; SSM Rider (kW)</t>
  </si>
  <si>
    <t>Deferrral &amp; Variance Acct (kW)</t>
  </si>
  <si>
    <t>Retail Transmisssion (kW)</t>
  </si>
  <si>
    <t>Target Fixed Charge Split</t>
  </si>
  <si>
    <t xml:space="preserve"> Fixed Charge with Target Split</t>
  </si>
  <si>
    <t>Late Payment Charge ($/kWh)</t>
  </si>
  <si>
    <t>=</t>
  </si>
  <si>
    <t>SPC ($/kWh)</t>
  </si>
  <si>
    <t>SPC (kWh)</t>
  </si>
  <si>
    <t>EXISTING 2011 RATE YEAR - DISTRIBUTION REVENUE RATES EXCLUDING SMART METER RATE RIDER</t>
  </si>
  <si>
    <t>Forecast Class Billing Determinants for 2012 Test Year Based on Existing Class Revenue Proportions</t>
  </si>
  <si>
    <t>2012 Test</t>
  </si>
  <si>
    <t>EXISTING 2011 DISTRIBUTION VOLUMETRIC EXCL LV</t>
  </si>
  <si>
    <t>Regulatory Assets Rate Rider For 2011, if applicable</t>
  </si>
  <si>
    <t>Low Voltage Rate Component For 2011</t>
  </si>
  <si>
    <t>Smart Meter Adder - 2011</t>
  </si>
  <si>
    <t>Forecast Data For 2012 Test Year Projection</t>
  </si>
  <si>
    <t>2012 Test Year Normalized</t>
  </si>
  <si>
    <t>2012 Base Revenue Allocated based on Proportion of Revenue at Existing Rates</t>
  </si>
  <si>
    <t>Check Revenue Cost Ratios from 2012 Cost Allocation Model</t>
  </si>
  <si>
    <t>Miscellaneous Revenue Allocated from 2012 Cost Allocation Model</t>
  </si>
  <si>
    <t>Revenue Requirement - 2012 Cost Allocation Model</t>
  </si>
  <si>
    <t>Distribution Rate Allocation Between Fixed &amp; Variable Rates For 2012 Test Year</t>
  </si>
  <si>
    <t>2011 Rates From OEB Approved Tariff</t>
  </si>
  <si>
    <t>Billing Units (2012)</t>
  </si>
  <si>
    <t xml:space="preserve">Amounts </t>
  </si>
  <si>
    <t>2012 Test Year - Rate Rider</t>
  </si>
  <si>
    <t>2012 TEST YEAR - Low Voltage Distribution Rates</t>
  </si>
  <si>
    <t>2012 TEST YEAR - Distribution Rates</t>
  </si>
  <si>
    <t>Rate Schedule - 2012 Test Year Filing</t>
  </si>
  <si>
    <t>2012 TEST YEAR - BASE REVENUE DISTRIBUTION RATES</t>
  </si>
  <si>
    <t>2012 Rates</t>
  </si>
  <si>
    <t>2012 BILL</t>
  </si>
  <si>
    <t>Effective May 1, 2012</t>
  </si>
  <si>
    <t>2012 Test Year Distribution Revenue Reconciliation</t>
  </si>
  <si>
    <t>Forecast Revenue For 2012 Test Year Based on Existing Rates (Less Low Voltage Rate Component)</t>
  </si>
  <si>
    <t xml:space="preserve">Hydro One </t>
  </si>
  <si>
    <t xml:space="preserve">   </t>
  </si>
  <si>
    <t>ED-2003-0015 , EB-2011-099</t>
  </si>
  <si>
    <t xml:space="preserve">E.L.K. Energy Inc., </t>
  </si>
  <si>
    <t>Smart Meter Dispostion Rate Rider ($)
per Metered Cust./Month</t>
  </si>
  <si>
    <t>Stranded Meter Charge ($/month)</t>
  </si>
  <si>
    <t>Late Payment  2011 Existing Rates</t>
  </si>
  <si>
    <t>Stranded Meter Rider ($/Month)</t>
  </si>
  <si>
    <t>Smart Meter Adder/Rider (per month)</t>
  </si>
  <si>
    <t>Late Payment (per month)</t>
  </si>
  <si>
    <t>($) per month</t>
  </si>
  <si>
    <t xml:space="preserve">2012 Test Year - LRAM </t>
  </si>
  <si>
    <t>Table 8-9 Calculation of Low Voltage Rates by Rate Class - Settlement</t>
  </si>
  <si>
    <t>Table 8-8 Low Voltage Costs Allocated by Customer Class - Settlement</t>
  </si>
  <si>
    <t xml:space="preserve"> </t>
  </si>
</sst>
</file>

<file path=xl/styles.xml><?xml version="1.0" encoding="utf-8"?>
<styleSheet xmlns="http://schemas.openxmlformats.org/spreadsheetml/2006/main">
  <numFmts count="29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  <numFmt numFmtId="169" formatCode="&quot;$&quot;#,##0.0000"/>
    <numFmt numFmtId="170" formatCode="0.0000"/>
    <numFmt numFmtId="171" formatCode="0.000%"/>
    <numFmt numFmtId="172" formatCode="_-&quot;$&quot;* #,##0.0000_-;\-&quot;$&quot;* #,##0.0000_-;_-&quot;$&quot;* &quot;-&quot;??_-;_-@_-"/>
    <numFmt numFmtId="173" formatCode="_-* #,##0.00000000_-;\-* #,##0.00000000_-;_-* &quot;-&quot;??_-;_-@_-"/>
    <numFmt numFmtId="174" formatCode="#,##0.0000_);\(#,##0.0000\)"/>
    <numFmt numFmtId="175" formatCode="#,##0.0000"/>
    <numFmt numFmtId="176" formatCode="0.0%"/>
    <numFmt numFmtId="177" formatCode="0.00000"/>
    <numFmt numFmtId="178" formatCode="0_ ;\-0\ "/>
    <numFmt numFmtId="179" formatCode="#,##0.00;[Red]\(#,##0.00\)"/>
    <numFmt numFmtId="180" formatCode="#,##0.00_ ;\-#,##0.00\ "/>
    <numFmt numFmtId="181" formatCode="&quot;$&quot;#,##0.0000_);[Red]\(#,##0.0000\)"/>
    <numFmt numFmtId="182" formatCode="#,##0.00%;[Red]\(#,##0.00%\)"/>
    <numFmt numFmtId="183" formatCode="&quot;$&quot;#,##0.00;\(&quot;$&quot;###0.00\)"/>
    <numFmt numFmtId="184" formatCode="&quot;$&quot;#,##0;\(&quot;$&quot;#,##0\)"/>
    <numFmt numFmtId="185" formatCode="&quot;$&quot;#,##0.00_);[Red]\(#,##0.00\)"/>
    <numFmt numFmtId="186" formatCode="#,##0.00000;\-#,##0.00000"/>
    <numFmt numFmtId="187" formatCode="_-* #,##0.0000_-;\-* #,##0.0000_-;_-* &quot;-&quot;??_-;_-@_-"/>
    <numFmt numFmtId="188" formatCode="#,##0.00;\(#,##0.00\)"/>
  </numFmts>
  <fonts count="35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2"/>
      <color indexed="56"/>
      <name val="Arial"/>
      <family val="2"/>
    </font>
    <font>
      <b/>
      <i/>
      <sz val="16"/>
      <name val="Arial"/>
      <family val="2"/>
    </font>
    <font>
      <b/>
      <i/>
      <sz val="20"/>
      <color indexed="12"/>
      <name val="Arial"/>
      <family val="2"/>
    </font>
    <font>
      <b/>
      <u/>
      <sz val="18"/>
      <name val="Arial"/>
      <family val="2"/>
    </font>
    <font>
      <b/>
      <u/>
      <sz val="14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i/>
      <sz val="16"/>
      <name val="Arial"/>
      <family val="2"/>
    </font>
    <font>
      <u/>
      <sz val="12"/>
      <name val="Arial"/>
      <family val="2"/>
    </font>
    <font>
      <i/>
      <sz val="12"/>
      <name val="Arial"/>
      <family val="2"/>
    </font>
    <font>
      <b/>
      <sz val="10"/>
      <color indexed="60"/>
      <name val="Arial"/>
      <family val="2"/>
    </font>
    <font>
      <b/>
      <sz val="9"/>
      <name val="Arial"/>
      <family val="2"/>
    </font>
    <font>
      <b/>
      <sz val="10"/>
      <name val="MS Sans Serif"/>
      <family val="2"/>
    </font>
    <font>
      <sz val="10"/>
      <name val="MS Sans Serif"/>
      <family val="2"/>
    </font>
    <font>
      <b/>
      <sz val="8"/>
      <name val="Arial"/>
      <family val="2"/>
    </font>
    <font>
      <b/>
      <sz val="18"/>
      <name val="Arial"/>
      <family val="2"/>
    </font>
    <font>
      <i/>
      <sz val="9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</fills>
  <borders count="78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5"/>
      </top>
      <bottom/>
      <diagonal/>
    </border>
    <border>
      <left style="medium">
        <color indexed="64"/>
      </left>
      <right/>
      <top style="thin">
        <color indexed="65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165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2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9" fontId="1" fillId="0" borderId="0" applyFont="0" applyFill="0" applyBorder="0" applyAlignment="0" applyProtection="0"/>
    <xf numFmtId="0" fontId="1" fillId="0" borderId="1" applyNumberFormat="0" applyFont="0" applyBorder="0" applyAlignment="0" applyProtection="0"/>
  </cellStyleXfs>
  <cellXfs count="561">
    <xf numFmtId="0" fontId="0" fillId="0" borderId="0" xfId="0"/>
    <xf numFmtId="166" fontId="0" fillId="0" borderId="0" xfId="1" applyNumberFormat="1" applyFont="1"/>
    <xf numFmtId="0" fontId="5" fillId="0" borderId="0" xfId="0" applyFont="1"/>
    <xf numFmtId="165" fontId="0" fillId="0" borderId="0" xfId="1" applyFont="1"/>
    <xf numFmtId="0" fontId="8" fillId="0" borderId="0" xfId="0" applyFont="1"/>
    <xf numFmtId="0" fontId="6" fillId="0" borderId="0" xfId="0" applyFont="1"/>
    <xf numFmtId="0" fontId="9" fillId="0" borderId="0" xfId="0" applyFont="1"/>
    <xf numFmtId="168" fontId="6" fillId="0" borderId="0" xfId="3" applyNumberFormat="1" applyFont="1" applyFill="1"/>
    <xf numFmtId="0" fontId="0" fillId="0" borderId="0" xfId="0" applyFill="1"/>
    <xf numFmtId="168" fontId="0" fillId="0" borderId="0" xfId="0" applyNumberFormat="1"/>
    <xf numFmtId="0" fontId="0" fillId="0" borderId="0" xfId="0" quotePrefix="1"/>
    <xf numFmtId="37" fontId="5" fillId="0" borderId="0" xfId="0" applyNumberFormat="1" applyFont="1" applyFill="1" applyBorder="1" applyAlignment="1">
      <alignment horizontal="left" vertical="center" wrapText="1"/>
    </xf>
    <xf numFmtId="168" fontId="4" fillId="0" borderId="0" xfId="3" applyNumberFormat="1" applyFont="1" applyFill="1" applyBorder="1"/>
    <xf numFmtId="172" fontId="4" fillId="0" borderId="0" xfId="3" applyNumberFormat="1" applyFont="1" applyFill="1" applyBorder="1"/>
    <xf numFmtId="166" fontId="4" fillId="0" borderId="0" xfId="1" applyNumberFormat="1" applyFont="1" applyFill="1" applyBorder="1"/>
    <xf numFmtId="168" fontId="5" fillId="0" borderId="0" xfId="3" applyNumberFormat="1" applyFont="1" applyFill="1" applyBorder="1" applyAlignment="1">
      <alignment horizontal="left" indent="1"/>
    </xf>
    <xf numFmtId="0" fontId="0" fillId="0" borderId="0" xfId="0" applyFill="1" applyBorder="1"/>
    <xf numFmtId="171" fontId="0" fillId="0" borderId="0" xfId="0" applyNumberFormat="1"/>
    <xf numFmtId="166" fontId="0" fillId="0" borderId="0" xfId="1" applyNumberFormat="1" applyFont="1" applyFill="1" applyBorder="1"/>
    <xf numFmtId="166" fontId="5" fillId="0" borderId="0" xfId="1" applyNumberFormat="1" applyFont="1" applyFill="1" applyBorder="1" applyAlignment="1">
      <alignment horizontal="center"/>
    </xf>
    <xf numFmtId="0" fontId="6" fillId="0" borderId="0" xfId="0" applyFont="1" applyFill="1" applyBorder="1"/>
    <xf numFmtId="168" fontId="6" fillId="0" borderId="0" xfId="3" applyNumberFormat="1" applyFont="1" applyFill="1" applyBorder="1"/>
    <xf numFmtId="37" fontId="0" fillId="0" borderId="0" xfId="0" applyNumberFormat="1"/>
    <xf numFmtId="0" fontId="0" fillId="2" borderId="0" xfId="0" applyFill="1"/>
    <xf numFmtId="0" fontId="0" fillId="2" borderId="0" xfId="0" applyFill="1" applyBorder="1"/>
    <xf numFmtId="0" fontId="0" fillId="0" borderId="0" xfId="0" applyBorder="1"/>
    <xf numFmtId="0" fontId="13" fillId="0" borderId="0" xfId="0" applyFont="1" applyFill="1" applyBorder="1" applyAlignment="1"/>
    <xf numFmtId="174" fontId="0" fillId="0" borderId="0" xfId="0" applyNumberFormat="1" applyFill="1" applyProtection="1"/>
    <xf numFmtId="170" fontId="0" fillId="0" borderId="0" xfId="0" applyNumberFormat="1"/>
    <xf numFmtId="0" fontId="15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10" fillId="0" borderId="2" xfId="0" applyFont="1" applyFill="1" applyBorder="1" applyAlignment="1">
      <alignment horizontal="centerContinuous" vertical="center"/>
    </xf>
    <xf numFmtId="0" fontId="5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0" fillId="0" borderId="0" xfId="0" applyFont="1" applyFill="1" applyBorder="1" applyAlignment="1">
      <alignment horizontal="centerContinuous" vertical="center"/>
    </xf>
    <xf numFmtId="0" fontId="4" fillId="0" borderId="4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69" fontId="8" fillId="0" borderId="0" xfId="0" applyNumberFormat="1" applyFont="1" applyFill="1" applyBorder="1" applyAlignment="1">
      <alignment horizontal="center"/>
    </xf>
    <xf numFmtId="0" fontId="22" fillId="0" borderId="0" xfId="0" applyFont="1" applyFill="1" applyBorder="1" applyAlignment="1">
      <alignment wrapText="1"/>
    </xf>
    <xf numFmtId="167" fontId="8" fillId="0" borderId="0" xfId="0" applyNumberFormat="1" applyFont="1" applyFill="1" applyBorder="1"/>
    <xf numFmtId="174" fontId="11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Fill="1" applyBorder="1"/>
    <xf numFmtId="0" fontId="11" fillId="0" borderId="0" xfId="0" applyFont="1" applyFill="1" applyBorder="1" applyAlignment="1">
      <alignment horizontal="center"/>
    </xf>
    <xf numFmtId="168" fontId="6" fillId="0" borderId="5" xfId="3" applyNumberFormat="1" applyFont="1" applyFill="1" applyBorder="1"/>
    <xf numFmtId="168" fontId="6" fillId="0" borderId="6" xfId="3" applyNumberFormat="1" applyFont="1" applyFill="1" applyBorder="1"/>
    <xf numFmtId="0" fontId="20" fillId="0" borderId="0" xfId="0" applyFont="1" applyFill="1" applyBorder="1" applyAlignment="1">
      <alignment horizontal="left" vertical="center" indent="5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39" fontId="20" fillId="0" borderId="0" xfId="4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center"/>
    </xf>
    <xf numFmtId="39" fontId="20" fillId="0" borderId="0" xfId="4" applyNumberFormat="1" applyFont="1" applyFill="1" applyBorder="1" applyAlignment="1">
      <alignment horizontal="center" vertical="center"/>
    </xf>
    <xf numFmtId="10" fontId="0" fillId="0" borderId="0" xfId="10" applyNumberFormat="1" applyFont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173" fontId="0" fillId="0" borderId="0" xfId="1" applyNumberFormat="1" applyFont="1" applyFill="1" applyBorder="1"/>
    <xf numFmtId="0" fontId="0" fillId="3" borderId="0" xfId="0" applyFill="1"/>
    <xf numFmtId="166" fontId="5" fillId="0" borderId="0" xfId="1" applyNumberFormat="1" applyFont="1"/>
    <xf numFmtId="165" fontId="0" fillId="0" borderId="0" xfId="0" applyNumberFormat="1"/>
    <xf numFmtId="3" fontId="19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/>
    <xf numFmtId="0" fontId="4" fillId="0" borderId="0" xfId="0" applyFont="1" applyFill="1"/>
    <xf numFmtId="165" fontId="0" fillId="0" borderId="0" xfId="0" applyNumberFormat="1" applyFill="1"/>
    <xf numFmtId="0" fontId="5" fillId="0" borderId="7" xfId="0" applyFont="1" applyFill="1" applyBorder="1"/>
    <xf numFmtId="37" fontId="1" fillId="4" borderId="8" xfId="0" applyNumberFormat="1" applyFont="1" applyFill="1" applyBorder="1" applyAlignment="1">
      <alignment horizontal="center"/>
    </xf>
    <xf numFmtId="0" fontId="5" fillId="0" borderId="9" xfId="0" applyFont="1" applyFill="1" applyBorder="1"/>
    <xf numFmtId="37" fontId="1" fillId="4" borderId="10" xfId="0" applyNumberFormat="1" applyFont="1" applyFill="1" applyBorder="1" applyAlignment="1">
      <alignment horizontal="center"/>
    </xf>
    <xf numFmtId="0" fontId="5" fillId="0" borderId="11" xfId="0" applyFont="1" applyFill="1" applyBorder="1"/>
    <xf numFmtId="0" fontId="5" fillId="0" borderId="12" xfId="0" applyFont="1" applyFill="1" applyBorder="1"/>
    <xf numFmtId="0" fontId="5" fillId="0" borderId="13" xfId="0" applyFont="1" applyFill="1" applyBorder="1"/>
    <xf numFmtId="37" fontId="1" fillId="4" borderId="14" xfId="0" applyNumberFormat="1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/>
    </xf>
    <xf numFmtId="0" fontId="8" fillId="5" borderId="17" xfId="0" applyFont="1" applyFill="1" applyBorder="1" applyAlignment="1">
      <alignment horizontal="center"/>
    </xf>
    <xf numFmtId="0" fontId="6" fillId="0" borderId="0" xfId="0" applyFont="1" applyFill="1"/>
    <xf numFmtId="0" fontId="0" fillId="0" borderId="18" xfId="0" applyFill="1" applyBorder="1"/>
    <xf numFmtId="0" fontId="0" fillId="0" borderId="19" xfId="0" applyFill="1" applyBorder="1"/>
    <xf numFmtId="0" fontId="8" fillId="0" borderId="17" xfId="0" applyFont="1" applyFill="1" applyBorder="1"/>
    <xf numFmtId="0" fontId="6" fillId="0" borderId="17" xfId="0" applyFont="1" applyFill="1" applyBorder="1" applyAlignment="1">
      <alignment horizontal="center"/>
    </xf>
    <xf numFmtId="174" fontId="5" fillId="5" borderId="17" xfId="0" applyNumberFormat="1" applyFont="1" applyFill="1" applyBorder="1" applyAlignment="1">
      <alignment horizontal="center"/>
    </xf>
    <xf numFmtId="0" fontId="5" fillId="5" borderId="17" xfId="0" applyFont="1" applyFill="1" applyBorder="1" applyAlignment="1">
      <alignment horizontal="center"/>
    </xf>
    <xf numFmtId="0" fontId="5" fillId="5" borderId="20" xfId="0" applyFont="1" applyFill="1" applyBorder="1" applyAlignment="1">
      <alignment horizontal="center"/>
    </xf>
    <xf numFmtId="174" fontId="5" fillId="5" borderId="20" xfId="0" applyNumberFormat="1" applyFont="1" applyFill="1" applyBorder="1" applyAlignment="1">
      <alignment horizontal="center"/>
    </xf>
    <xf numFmtId="0" fontId="5" fillId="0" borderId="21" xfId="0" applyFont="1" applyFill="1" applyBorder="1"/>
    <xf numFmtId="0" fontId="5" fillId="0" borderId="17" xfId="0" applyFont="1" applyFill="1" applyBorder="1"/>
    <xf numFmtId="0" fontId="5" fillId="5" borderId="17" xfId="0" applyFont="1" applyFill="1" applyBorder="1" applyAlignment="1">
      <alignment horizontal="center" wrapText="1"/>
    </xf>
    <xf numFmtId="0" fontId="5" fillId="0" borderId="22" xfId="0" applyFont="1" applyFill="1" applyBorder="1" applyAlignment="1">
      <alignment horizontal="center"/>
    </xf>
    <xf numFmtId="37" fontId="5" fillId="0" borderId="23" xfId="0" applyNumberFormat="1" applyFont="1" applyFill="1" applyBorder="1" applyAlignment="1">
      <alignment horizontal="center"/>
    </xf>
    <xf numFmtId="10" fontId="5" fillId="0" borderId="23" xfId="10" applyNumberFormat="1" applyFont="1" applyFill="1" applyBorder="1" applyAlignment="1">
      <alignment horizontal="center"/>
    </xf>
    <xf numFmtId="10" fontId="4" fillId="0" borderId="17" xfId="10" applyNumberFormat="1" applyFont="1" applyFill="1" applyBorder="1" applyAlignment="1">
      <alignment horizontal="center"/>
    </xf>
    <xf numFmtId="3" fontId="0" fillId="0" borderId="17" xfId="0" applyNumberFormat="1" applyFill="1" applyBorder="1" applyAlignment="1">
      <alignment horizontal="center"/>
    </xf>
    <xf numFmtId="10" fontId="0" fillId="0" borderId="17" xfId="10" applyNumberFormat="1" applyFont="1" applyFill="1" applyBorder="1" applyAlignment="1">
      <alignment horizontal="center"/>
    </xf>
    <xf numFmtId="0" fontId="5" fillId="0" borderId="24" xfId="0" applyFont="1" applyFill="1" applyBorder="1" applyAlignment="1">
      <alignment horizontal="left" indent="1"/>
    </xf>
    <xf numFmtId="0" fontId="0" fillId="0" borderId="25" xfId="0" applyFill="1" applyBorder="1"/>
    <xf numFmtId="171" fontId="5" fillId="0" borderId="25" xfId="10" applyNumberFormat="1" applyFont="1" applyFill="1" applyBorder="1"/>
    <xf numFmtId="168" fontId="5" fillId="0" borderId="6" xfId="3" applyNumberFormat="1" applyFont="1" applyFill="1" applyBorder="1" applyAlignment="1">
      <alignment horizontal="center"/>
    </xf>
    <xf numFmtId="4" fontId="5" fillId="0" borderId="6" xfId="0" applyNumberFormat="1" applyFont="1" applyFill="1" applyBorder="1" applyAlignment="1">
      <alignment horizontal="center"/>
    </xf>
    <xf numFmtId="169" fontId="5" fillId="0" borderId="6" xfId="0" applyNumberFormat="1" applyFont="1" applyFill="1" applyBorder="1" applyAlignment="1">
      <alignment horizontal="center"/>
    </xf>
    <xf numFmtId="37" fontId="5" fillId="0" borderId="17" xfId="0" applyNumberFormat="1" applyFont="1" applyFill="1" applyBorder="1"/>
    <xf numFmtId="169" fontId="4" fillId="0" borderId="17" xfId="3" applyNumberFormat="1" applyFont="1" applyFill="1" applyBorder="1" applyAlignment="1">
      <alignment horizontal="center"/>
    </xf>
    <xf numFmtId="168" fontId="4" fillId="0" borderId="17" xfId="3" applyNumberFormat="1" applyFont="1" applyFill="1" applyBorder="1"/>
    <xf numFmtId="172" fontId="4" fillId="0" borderId="17" xfId="3" applyNumberFormat="1" applyFont="1" applyFill="1" applyBorder="1"/>
    <xf numFmtId="180" fontId="4" fillId="0" borderId="17" xfId="1" applyNumberFormat="1" applyFont="1" applyFill="1" applyBorder="1" applyAlignment="1">
      <alignment horizontal="center"/>
    </xf>
    <xf numFmtId="0" fontId="5" fillId="0" borderId="17" xfId="0" applyFont="1" applyFill="1" applyBorder="1" applyAlignment="1">
      <alignment horizontal="left" indent="1"/>
    </xf>
    <xf numFmtId="0" fontId="5" fillId="0" borderId="17" xfId="0" applyFont="1" applyFill="1" applyBorder="1" applyAlignment="1">
      <alignment horizontal="center"/>
    </xf>
    <xf numFmtId="0" fontId="5" fillId="0" borderId="26" xfId="0" applyFont="1" applyFill="1" applyBorder="1" applyAlignment="1">
      <alignment horizontal="left" indent="1"/>
    </xf>
    <xf numFmtId="4" fontId="4" fillId="4" borderId="17" xfId="1" applyNumberFormat="1" applyFont="1" applyFill="1" applyBorder="1" applyAlignment="1">
      <alignment horizontal="center"/>
    </xf>
    <xf numFmtId="166" fontId="4" fillId="0" borderId="17" xfId="1" applyNumberFormat="1" applyFont="1" applyFill="1" applyBorder="1" applyAlignment="1">
      <alignment horizontal="center"/>
    </xf>
    <xf numFmtId="3" fontId="4" fillId="0" borderId="17" xfId="1" applyNumberFormat="1" applyFont="1" applyFill="1" applyBorder="1" applyAlignment="1">
      <alignment horizontal="center"/>
    </xf>
    <xf numFmtId="175" fontId="4" fillId="0" borderId="17" xfId="1" applyNumberFormat="1" applyFont="1" applyFill="1" applyBorder="1" applyAlignment="1">
      <alignment horizontal="center"/>
    </xf>
    <xf numFmtId="166" fontId="0" fillId="0" borderId="0" xfId="0" applyNumberFormat="1" applyFill="1"/>
    <xf numFmtId="175" fontId="1" fillId="0" borderId="17" xfId="0" applyNumberFormat="1" applyFont="1" applyFill="1" applyBorder="1" applyAlignment="1">
      <alignment horizontal="center"/>
    </xf>
    <xf numFmtId="181" fontId="1" fillId="0" borderId="20" xfId="0" applyNumberFormat="1" applyFont="1" applyFill="1" applyBorder="1" applyAlignment="1">
      <alignment horizontal="center"/>
    </xf>
    <xf numFmtId="0" fontId="5" fillId="4" borderId="20" xfId="0" applyFont="1" applyFill="1" applyBorder="1" applyAlignment="1">
      <alignment horizontal="center"/>
    </xf>
    <xf numFmtId="0" fontId="26" fillId="5" borderId="17" xfId="0" applyFont="1" applyFill="1" applyBorder="1" applyAlignment="1">
      <alignment horizontal="center" wrapText="1"/>
    </xf>
    <xf numFmtId="164" fontId="26" fillId="5" borderId="17" xfId="3" applyFont="1" applyFill="1" applyBorder="1" applyAlignment="1">
      <alignment horizontal="center" wrapText="1"/>
    </xf>
    <xf numFmtId="177" fontId="26" fillId="5" borderId="17" xfId="0" applyNumberFormat="1" applyFont="1" applyFill="1" applyBorder="1" applyAlignment="1">
      <alignment horizontal="center" wrapText="1"/>
    </xf>
    <xf numFmtId="178" fontId="26" fillId="5" borderId="17" xfId="0" applyNumberFormat="1" applyFont="1" applyFill="1" applyBorder="1" applyAlignment="1">
      <alignment horizontal="center" wrapText="1"/>
    </xf>
    <xf numFmtId="0" fontId="20" fillId="5" borderId="27" xfId="0" applyFont="1" applyFill="1" applyBorder="1" applyAlignment="1">
      <alignment horizontal="center" wrapText="1"/>
    </xf>
    <xf numFmtId="174" fontId="0" fillId="5" borderId="28" xfId="0" applyNumberFormat="1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170" fontId="0" fillId="5" borderId="17" xfId="0" applyNumberFormat="1" applyFill="1" applyBorder="1" applyAlignment="1">
      <alignment horizontal="center" vertical="center" wrapText="1"/>
    </xf>
    <xf numFmtId="0" fontId="0" fillId="5" borderId="28" xfId="0" applyFill="1" applyBorder="1" applyAlignment="1">
      <alignment horizontal="center" vertical="center" wrapText="1"/>
    </xf>
    <xf numFmtId="170" fontId="0" fillId="5" borderId="28" xfId="0" applyNumberFormat="1" applyFill="1" applyBorder="1" applyAlignment="1">
      <alignment horizontal="center" vertical="center" wrapText="1"/>
    </xf>
    <xf numFmtId="0" fontId="0" fillId="5" borderId="28" xfId="0" quotePrefix="1" applyFill="1" applyBorder="1" applyAlignment="1">
      <alignment horizontal="center" vertical="center" wrapText="1"/>
    </xf>
    <xf numFmtId="174" fontId="0" fillId="5" borderId="28" xfId="0" applyNumberFormat="1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170" fontId="0" fillId="5" borderId="17" xfId="0" applyNumberFormat="1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170" fontId="0" fillId="5" borderId="28" xfId="0" applyNumberFormat="1" applyFill="1" applyBorder="1" applyAlignment="1">
      <alignment horizontal="center" vertical="center"/>
    </xf>
    <xf numFmtId="0" fontId="0" fillId="5" borderId="28" xfId="0" applyFill="1" applyBorder="1" applyAlignment="1">
      <alignment vertical="center"/>
    </xf>
    <xf numFmtId="174" fontId="4" fillId="4" borderId="28" xfId="0" applyNumberFormat="1" applyFont="1" applyFill="1" applyBorder="1" applyAlignment="1" applyProtection="1">
      <alignment horizontal="center"/>
    </xf>
    <xf numFmtId="170" fontId="4" fillId="4" borderId="17" xfId="0" applyNumberFormat="1" applyFont="1" applyFill="1" applyBorder="1" applyAlignment="1" applyProtection="1">
      <alignment horizontal="center"/>
      <protection locked="0"/>
    </xf>
    <xf numFmtId="170" fontId="0" fillId="0" borderId="17" xfId="0" applyNumberFormat="1" applyFill="1" applyBorder="1" applyAlignment="1">
      <alignment horizontal="center"/>
    </xf>
    <xf numFmtId="170" fontId="4" fillId="1" borderId="28" xfId="0" applyNumberFormat="1" applyFont="1" applyFill="1" applyBorder="1" applyAlignment="1" applyProtection="1">
      <alignment horizontal="center"/>
    </xf>
    <xf numFmtId="170" fontId="5" fillId="1" borderId="17" xfId="0" applyNumberFormat="1" applyFont="1" applyFill="1" applyBorder="1" applyAlignment="1" applyProtection="1">
      <alignment horizontal="center"/>
    </xf>
    <xf numFmtId="170" fontId="0" fillId="1" borderId="17" xfId="0" applyNumberFormat="1" applyFill="1" applyBorder="1" applyAlignment="1" applyProtection="1">
      <alignment horizontal="center"/>
    </xf>
    <xf numFmtId="170" fontId="0" fillId="1" borderId="28" xfId="0" applyNumberFormat="1" applyFill="1" applyBorder="1" applyAlignment="1" applyProtection="1">
      <alignment horizontal="center"/>
    </xf>
    <xf numFmtId="170" fontId="0" fillId="4" borderId="28" xfId="0" applyNumberFormat="1" applyFill="1" applyBorder="1" applyAlignment="1" applyProtection="1">
      <alignment horizontal="center"/>
    </xf>
    <xf numFmtId="170" fontId="4" fillId="4" borderId="28" xfId="0" applyNumberFormat="1" applyFont="1" applyFill="1" applyBorder="1" applyAlignment="1" applyProtection="1">
      <alignment horizontal="center"/>
      <protection locked="0"/>
    </xf>
    <xf numFmtId="0" fontId="0" fillId="0" borderId="29" xfId="0" applyBorder="1"/>
    <xf numFmtId="0" fontId="0" fillId="0" borderId="2" xfId="0" applyBorder="1"/>
    <xf numFmtId="0" fontId="0" fillId="0" borderId="30" xfId="0" applyBorder="1"/>
    <xf numFmtId="0" fontId="0" fillId="0" borderId="3" xfId="0" applyBorder="1"/>
    <xf numFmtId="3" fontId="19" fillId="5" borderId="31" xfId="0" applyNumberFormat="1" applyFont="1" applyFill="1" applyBorder="1" applyAlignment="1">
      <alignment horizontal="right" vertical="center"/>
    </xf>
    <xf numFmtId="3" fontId="19" fillId="5" borderId="32" xfId="0" applyNumberFormat="1" applyFont="1" applyFill="1" applyBorder="1" applyAlignment="1">
      <alignment horizontal="left" vertical="center"/>
    </xf>
    <xf numFmtId="3" fontId="19" fillId="5" borderId="30" xfId="0" applyNumberFormat="1" applyFont="1" applyFill="1" applyBorder="1" applyAlignment="1">
      <alignment horizontal="right" vertical="center"/>
    </xf>
    <xf numFmtId="0" fontId="6" fillId="5" borderId="3" xfId="0" applyFont="1" applyFill="1" applyBorder="1" applyAlignment="1">
      <alignment vertical="center"/>
    </xf>
    <xf numFmtId="0" fontId="0" fillId="0" borderId="33" xfId="0" applyBorder="1"/>
    <xf numFmtId="0" fontId="18" fillId="0" borderId="0" xfId="0" applyFont="1" applyFill="1" applyBorder="1" applyAlignment="1">
      <alignment vertical="center"/>
    </xf>
    <xf numFmtId="0" fontId="0" fillId="0" borderId="34" xfId="0" applyBorder="1"/>
    <xf numFmtId="10" fontId="24" fillId="0" borderId="0" xfId="10" applyNumberFormat="1" applyFont="1" applyFill="1" applyBorder="1" applyAlignment="1">
      <alignment horizontal="center" vertical="center"/>
    </xf>
    <xf numFmtId="10" fontId="20" fillId="0" borderId="0" xfId="10" applyNumberFormat="1" applyFont="1" applyFill="1" applyBorder="1" applyAlignment="1">
      <alignment horizontal="center" vertical="center"/>
    </xf>
    <xf numFmtId="39" fontId="5" fillId="0" borderId="0" xfId="4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20" fillId="0" borderId="4" xfId="0" applyFont="1" applyFill="1" applyBorder="1" applyAlignment="1">
      <alignment horizontal="left" vertical="center" indent="5"/>
    </xf>
    <xf numFmtId="0" fontId="20" fillId="0" borderId="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vertical="center"/>
    </xf>
    <xf numFmtId="39" fontId="20" fillId="0" borderId="4" xfId="4" applyNumberFormat="1" applyFont="1" applyFill="1" applyBorder="1" applyAlignment="1">
      <alignment vertical="center"/>
    </xf>
    <xf numFmtId="0" fontId="20" fillId="0" borderId="4" xfId="0" applyFont="1" applyFill="1" applyBorder="1" applyAlignment="1">
      <alignment horizontal="left" vertical="center"/>
    </xf>
    <xf numFmtId="39" fontId="20" fillId="0" borderId="4" xfId="4" applyNumberFormat="1" applyFont="1" applyFill="1" applyBorder="1" applyAlignment="1">
      <alignment horizontal="center" vertical="center"/>
    </xf>
    <xf numFmtId="10" fontId="24" fillId="0" borderId="4" xfId="10" applyNumberFormat="1" applyFont="1" applyFill="1" applyBorder="1" applyAlignment="1">
      <alignment horizontal="center" vertical="center"/>
    </xf>
    <xf numFmtId="10" fontId="20" fillId="0" borderId="4" xfId="10" applyNumberFormat="1" applyFont="1" applyFill="1" applyBorder="1" applyAlignment="1">
      <alignment horizontal="center" vertical="center"/>
    </xf>
    <xf numFmtId="39" fontId="5" fillId="0" borderId="4" xfId="4" applyNumberFormat="1" applyFont="1" applyFill="1" applyBorder="1" applyAlignment="1">
      <alignment horizontal="center" vertical="center"/>
    </xf>
    <xf numFmtId="0" fontId="5" fillId="5" borderId="35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 wrapText="1"/>
    </xf>
    <xf numFmtId="2" fontId="5" fillId="5" borderId="36" xfId="0" applyNumberFormat="1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/>
    </xf>
    <xf numFmtId="0" fontId="5" fillId="5" borderId="31" xfId="0" applyFont="1" applyFill="1" applyBorder="1" applyAlignment="1">
      <alignment horizontal="center" vertical="center" wrapText="1"/>
    </xf>
    <xf numFmtId="2" fontId="5" fillId="5" borderId="37" xfId="0" applyNumberFormat="1" applyFont="1" applyFill="1" applyBorder="1" applyAlignment="1">
      <alignment horizontal="center" vertical="center" wrapText="1"/>
    </xf>
    <xf numFmtId="2" fontId="5" fillId="5" borderId="32" xfId="0" applyNumberFormat="1" applyFont="1" applyFill="1" applyBorder="1" applyAlignment="1">
      <alignment horizontal="center" vertical="center" wrapText="1"/>
    </xf>
    <xf numFmtId="174" fontId="4" fillId="0" borderId="17" xfId="4" applyNumberFormat="1" applyFont="1" applyFill="1" applyBorder="1" applyAlignment="1">
      <alignment horizontal="center" vertical="center"/>
    </xf>
    <xf numFmtId="174" fontId="4" fillId="0" borderId="17" xfId="0" applyNumberFormat="1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left" vertical="center" wrapText="1"/>
    </xf>
    <xf numFmtId="0" fontId="4" fillId="0" borderId="39" xfId="0" applyFont="1" applyFill="1" applyBorder="1" applyAlignment="1">
      <alignment vertical="center" wrapText="1"/>
    </xf>
    <xf numFmtId="0" fontId="4" fillId="0" borderId="40" xfId="0" applyFont="1" applyFill="1" applyBorder="1" applyAlignment="1">
      <alignment vertical="center" wrapText="1"/>
    </xf>
    <xf numFmtId="0" fontId="4" fillId="0" borderId="41" xfId="0" applyFont="1" applyFill="1" applyBorder="1" applyAlignment="1">
      <alignment vertical="center" wrapText="1"/>
    </xf>
    <xf numFmtId="0" fontId="4" fillId="0" borderId="42" xfId="0" applyFont="1" applyFill="1" applyBorder="1" applyAlignment="1">
      <alignment vertical="center" wrapText="1"/>
    </xf>
    <xf numFmtId="3" fontId="4" fillId="0" borderId="28" xfId="0" applyNumberFormat="1" applyFont="1" applyFill="1" applyBorder="1" applyAlignment="1">
      <alignment horizontal="center" vertical="center"/>
    </xf>
    <xf numFmtId="3" fontId="4" fillId="0" borderId="43" xfId="0" applyNumberFormat="1" applyFont="1" applyFill="1" applyBorder="1" applyAlignment="1">
      <alignment horizontal="center" vertical="center"/>
    </xf>
    <xf numFmtId="175" fontId="4" fillId="0" borderId="21" xfId="0" applyNumberFormat="1" applyFont="1" applyFill="1" applyBorder="1" applyAlignment="1">
      <alignment horizontal="center" vertical="center"/>
    </xf>
    <xf numFmtId="39" fontId="4" fillId="0" borderId="44" xfId="4" applyNumberFormat="1" applyFont="1" applyFill="1" applyBorder="1" applyAlignment="1">
      <alignment horizontal="center" vertical="center"/>
    </xf>
    <xf numFmtId="175" fontId="4" fillId="0" borderId="15" xfId="0" applyNumberFormat="1" applyFont="1" applyFill="1" applyBorder="1" applyAlignment="1">
      <alignment horizontal="center" vertical="center"/>
    </xf>
    <xf numFmtId="39" fontId="4" fillId="0" borderId="45" xfId="4" applyNumberFormat="1" applyFont="1" applyFill="1" applyBorder="1" applyAlignment="1">
      <alignment horizontal="center" vertical="center"/>
    </xf>
    <xf numFmtId="0" fontId="4" fillId="1" borderId="46" xfId="0" applyFont="1" applyFill="1" applyBorder="1" applyAlignment="1">
      <alignment horizontal="center" vertical="center"/>
    </xf>
    <xf numFmtId="0" fontId="4" fillId="1" borderId="47" xfId="0" applyFont="1" applyFill="1" applyBorder="1" applyAlignment="1">
      <alignment horizontal="center" vertical="center"/>
    </xf>
    <xf numFmtId="39" fontId="4" fillId="0" borderId="48" xfId="4" applyNumberFormat="1" applyFont="1" applyFill="1" applyBorder="1" applyAlignment="1">
      <alignment horizontal="center" vertical="center"/>
    </xf>
    <xf numFmtId="39" fontId="4" fillId="0" borderId="49" xfId="4" applyNumberFormat="1" applyFont="1" applyFill="1" applyBorder="1" applyAlignment="1">
      <alignment horizontal="center" vertical="center"/>
    </xf>
    <xf numFmtId="3" fontId="4" fillId="0" borderId="50" xfId="0" applyNumberFormat="1" applyFont="1" applyFill="1" applyBorder="1" applyAlignment="1">
      <alignment horizontal="center" vertical="center"/>
    </xf>
    <xf numFmtId="179" fontId="4" fillId="0" borderId="48" xfId="4" applyNumberFormat="1" applyFont="1" applyFill="1" applyBorder="1" applyAlignment="1">
      <alignment horizontal="center" vertical="center"/>
    </xf>
    <xf numFmtId="0" fontId="5" fillId="5" borderId="51" xfId="0" applyFont="1" applyFill="1" applyBorder="1" applyAlignment="1">
      <alignment horizontal="center" vertical="center"/>
    </xf>
    <xf numFmtId="179" fontId="4" fillId="0" borderId="49" xfId="4" applyNumberFormat="1" applyFont="1" applyFill="1" applyBorder="1" applyAlignment="1">
      <alignment horizontal="center" vertical="center"/>
    </xf>
    <xf numFmtId="0" fontId="5" fillId="5" borderId="34" xfId="0" applyFont="1" applyFill="1" applyBorder="1" applyAlignment="1">
      <alignment horizontal="center" vertical="center" wrapText="1"/>
    </xf>
    <xf numFmtId="2" fontId="5" fillId="5" borderId="10" xfId="0" applyNumberFormat="1" applyFont="1" applyFill="1" applyBorder="1" applyAlignment="1">
      <alignment horizontal="center" vertical="center" wrapText="1"/>
    </xf>
    <xf numFmtId="2" fontId="5" fillId="5" borderId="29" xfId="0" applyNumberFormat="1" applyFont="1" applyFill="1" applyBorder="1" applyAlignment="1">
      <alignment horizontal="center" vertical="center" wrapText="1"/>
    </xf>
    <xf numFmtId="182" fontId="4" fillId="0" borderId="17" xfId="10" applyNumberFormat="1" applyFont="1" applyFill="1" applyBorder="1" applyAlignment="1">
      <alignment horizontal="center" vertical="center"/>
    </xf>
    <xf numFmtId="0" fontId="4" fillId="1" borderId="17" xfId="0" applyFont="1" applyFill="1" applyBorder="1" applyAlignment="1">
      <alignment horizontal="center" vertical="center"/>
    </xf>
    <xf numFmtId="0" fontId="4" fillId="1" borderId="28" xfId="0" applyFont="1" applyFill="1" applyBorder="1" applyAlignment="1">
      <alignment horizontal="center" vertical="center"/>
    </xf>
    <xf numFmtId="179" fontId="4" fillId="0" borderId="46" xfId="4" applyNumberFormat="1" applyFont="1" applyFill="1" applyBorder="1" applyAlignment="1">
      <alignment horizontal="center" vertical="center"/>
    </xf>
    <xf numFmtId="182" fontId="4" fillId="0" borderId="47" xfId="10" applyNumberFormat="1" applyFont="1" applyFill="1" applyBorder="1" applyAlignment="1">
      <alignment horizontal="center" vertical="center"/>
    </xf>
    <xf numFmtId="182" fontId="4" fillId="0" borderId="48" xfId="10" applyNumberFormat="1" applyFont="1" applyFill="1" applyBorder="1" applyAlignment="1">
      <alignment horizontal="center" vertical="center"/>
    </xf>
    <xf numFmtId="179" fontId="4" fillId="0" borderId="28" xfId="4" applyNumberFormat="1" applyFont="1" applyFill="1" applyBorder="1" applyAlignment="1">
      <alignment horizontal="center" vertical="center"/>
    </xf>
    <xf numFmtId="182" fontId="4" fillId="0" borderId="49" xfId="10" applyNumberFormat="1" applyFont="1" applyFill="1" applyBorder="1" applyAlignment="1">
      <alignment horizontal="center" vertical="center"/>
    </xf>
    <xf numFmtId="3" fontId="4" fillId="0" borderId="50" xfId="0" applyNumberFormat="1" applyFont="1" applyFill="1" applyBorder="1" applyAlignment="1">
      <alignment horizontal="center" vertical="center" wrapText="1"/>
    </xf>
    <xf numFmtId="174" fontId="4" fillId="0" borderId="15" xfId="0" applyNumberFormat="1" applyFont="1" applyFill="1" applyBorder="1" applyAlignment="1">
      <alignment horizontal="center" vertical="center"/>
    </xf>
    <xf numFmtId="179" fontId="4" fillId="0" borderId="45" xfId="4" applyNumberFormat="1" applyFont="1" applyFill="1" applyBorder="1" applyAlignment="1">
      <alignment horizontal="center" vertical="center"/>
    </xf>
    <xf numFmtId="179" fontId="4" fillId="0" borderId="50" xfId="4" applyNumberFormat="1" applyFont="1" applyFill="1" applyBorder="1" applyAlignment="1">
      <alignment horizontal="center" vertical="center"/>
    </xf>
    <xf numFmtId="182" fontId="4" fillId="0" borderId="15" xfId="10" applyNumberFormat="1" applyFont="1" applyFill="1" applyBorder="1" applyAlignment="1">
      <alignment horizontal="center" vertical="center"/>
    </xf>
    <xf numFmtId="179" fontId="4" fillId="0" borderId="44" xfId="4" applyNumberFormat="1" applyFont="1" applyFill="1" applyBorder="1" applyAlignment="1">
      <alignment horizontal="center" vertical="center"/>
    </xf>
    <xf numFmtId="179" fontId="4" fillId="0" borderId="43" xfId="4" applyNumberFormat="1" applyFont="1" applyFill="1" applyBorder="1" applyAlignment="1">
      <alignment horizontal="center" vertical="center"/>
    </xf>
    <xf numFmtId="182" fontId="4" fillId="0" borderId="21" xfId="10" applyNumberFormat="1" applyFont="1" applyFill="1" applyBorder="1" applyAlignment="1">
      <alignment horizontal="center" vertical="center"/>
    </xf>
    <xf numFmtId="182" fontId="4" fillId="0" borderId="44" xfId="10" applyNumberFormat="1" applyFont="1" applyFill="1" applyBorder="1" applyAlignment="1">
      <alignment horizontal="center" vertical="center"/>
    </xf>
    <xf numFmtId="175" fontId="5" fillId="6" borderId="31" xfId="0" applyNumberFormat="1" applyFont="1" applyFill="1" applyBorder="1" applyAlignment="1">
      <alignment horizontal="center" vertical="center"/>
    </xf>
    <xf numFmtId="0" fontId="20" fillId="6" borderId="31" xfId="0" applyFont="1" applyFill="1" applyBorder="1" applyAlignment="1">
      <alignment horizontal="center" vertical="center"/>
    </xf>
    <xf numFmtId="39" fontId="5" fillId="6" borderId="52" xfId="4" applyNumberFormat="1" applyFont="1" applyFill="1" applyBorder="1" applyAlignment="1">
      <alignment horizontal="center" vertical="center"/>
    </xf>
    <xf numFmtId="39" fontId="20" fillId="6" borderId="52" xfId="4" applyNumberFormat="1" applyFont="1" applyFill="1" applyBorder="1" applyAlignment="1">
      <alignment horizontal="center" vertical="center"/>
    </xf>
    <xf numFmtId="179" fontId="5" fillId="6" borderId="53" xfId="4" applyNumberFormat="1" applyFont="1" applyFill="1" applyBorder="1" applyAlignment="1">
      <alignment horizontal="center" vertical="center"/>
    </xf>
    <xf numFmtId="182" fontId="5" fillId="6" borderId="37" xfId="10" applyNumberFormat="1" applyFont="1" applyFill="1" applyBorder="1" applyAlignment="1">
      <alignment horizontal="center" vertical="center"/>
    </xf>
    <xf numFmtId="0" fontId="20" fillId="6" borderId="20" xfId="0" applyFont="1" applyFill="1" applyBorder="1" applyAlignment="1">
      <alignment horizontal="center" vertical="center"/>
    </xf>
    <xf numFmtId="182" fontId="5" fillId="6" borderId="52" xfId="10" applyNumberFormat="1" applyFont="1" applyFill="1" applyBorder="1" applyAlignment="1">
      <alignment horizontal="center" vertical="center"/>
    </xf>
    <xf numFmtId="182" fontId="4" fillId="0" borderId="54" xfId="10" applyNumberFormat="1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 wrapText="1"/>
    </xf>
    <xf numFmtId="0" fontId="22" fillId="0" borderId="33" xfId="0" applyFont="1" applyFill="1" applyBorder="1" applyAlignment="1">
      <alignment wrapText="1"/>
    </xf>
    <xf numFmtId="39" fontId="11" fillId="0" borderId="2" xfId="0" applyNumberFormat="1" applyFont="1" applyBorder="1" applyAlignment="1">
      <alignment horizontal="center"/>
    </xf>
    <xf numFmtId="174" fontId="11" fillId="0" borderId="2" xfId="0" applyNumberFormat="1" applyFont="1" applyBorder="1" applyAlignment="1">
      <alignment horizontal="center"/>
    </xf>
    <xf numFmtId="0" fontId="22" fillId="0" borderId="30" xfId="0" applyFont="1" applyFill="1" applyBorder="1" applyAlignment="1">
      <alignment wrapText="1"/>
    </xf>
    <xf numFmtId="167" fontId="8" fillId="0" borderId="4" xfId="0" applyNumberFormat="1" applyFont="1" applyFill="1" applyBorder="1"/>
    <xf numFmtId="169" fontId="8" fillId="0" borderId="4" xfId="0" applyNumberFormat="1" applyFont="1" applyFill="1" applyBorder="1" applyAlignment="1">
      <alignment horizontal="center"/>
    </xf>
    <xf numFmtId="174" fontId="11" fillId="0" borderId="3" xfId="0" applyNumberFormat="1" applyFont="1" applyBorder="1" applyAlignment="1">
      <alignment horizontal="center"/>
    </xf>
    <xf numFmtId="0" fontId="6" fillId="5" borderId="17" xfId="0" applyFont="1" applyFill="1" applyBorder="1" applyAlignment="1">
      <alignment horizontal="center" vertical="center" wrapText="1"/>
    </xf>
    <xf numFmtId="39" fontId="11" fillId="7" borderId="17" xfId="0" applyNumberFormat="1" applyFont="1" applyFill="1" applyBorder="1" applyAlignment="1">
      <alignment horizontal="left" vertical="center"/>
    </xf>
    <xf numFmtId="170" fontId="11" fillId="0" borderId="17" xfId="0" applyNumberFormat="1" applyFont="1" applyBorder="1" applyAlignment="1">
      <alignment horizontal="center"/>
    </xf>
    <xf numFmtId="0" fontId="18" fillId="2" borderId="17" xfId="0" applyFont="1" applyFill="1" applyBorder="1" applyAlignment="1">
      <alignment horizontal="left" vertical="center" wrapText="1"/>
    </xf>
    <xf numFmtId="0" fontId="18" fillId="7" borderId="17" xfId="0" applyFont="1" applyFill="1" applyBorder="1" applyAlignment="1">
      <alignment horizontal="left" vertical="center" wrapText="1"/>
    </xf>
    <xf numFmtId="169" fontId="30" fillId="7" borderId="17" xfId="0" applyNumberFormat="1" applyFont="1" applyFill="1" applyBorder="1" applyAlignment="1">
      <alignment horizontal="left" vertical="center"/>
    </xf>
    <xf numFmtId="169" fontId="4" fillId="0" borderId="17" xfId="0" applyNumberFormat="1" applyFont="1" applyFill="1" applyBorder="1" applyAlignment="1">
      <alignment horizontal="center" vertical="center"/>
    </xf>
    <xf numFmtId="39" fontId="4" fillId="0" borderId="17" xfId="0" applyNumberFormat="1" applyFont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169" fontId="23" fillId="0" borderId="0" xfId="0" applyNumberFormat="1" applyFont="1" applyFill="1" applyBorder="1" applyAlignment="1">
      <alignment horizontal="left" vertical="center"/>
    </xf>
    <xf numFmtId="39" fontId="11" fillId="0" borderId="0" xfId="0" applyNumberFormat="1" applyFont="1" applyFill="1" applyBorder="1" applyAlignment="1">
      <alignment horizontal="left" vertical="center"/>
    </xf>
    <xf numFmtId="168" fontId="0" fillId="8" borderId="0" xfId="0" applyNumberFormat="1" applyFill="1"/>
    <xf numFmtId="0" fontId="0" fillId="8" borderId="0" xfId="0" applyFill="1"/>
    <xf numFmtId="168" fontId="0" fillId="8" borderId="23" xfId="0" applyNumberFormat="1" applyFill="1" applyBorder="1"/>
    <xf numFmtId="168" fontId="5" fillId="0" borderId="6" xfId="3" applyNumberFormat="1" applyFont="1" applyFill="1" applyBorder="1"/>
    <xf numFmtId="38" fontId="0" fillId="0" borderId="17" xfId="0" applyNumberFormat="1" applyFill="1" applyBorder="1" applyAlignment="1">
      <alignment horizontal="center"/>
    </xf>
    <xf numFmtId="38" fontId="5" fillId="0" borderId="6" xfId="0" applyNumberFormat="1" applyFont="1" applyFill="1" applyBorder="1" applyAlignment="1">
      <alignment horizontal="center"/>
    </xf>
    <xf numFmtId="4" fontId="27" fillId="4" borderId="17" xfId="0" applyNumberFormat="1" applyFont="1" applyFill="1" applyBorder="1" applyAlignment="1">
      <alignment horizontal="center" wrapText="1"/>
    </xf>
    <xf numFmtId="3" fontId="27" fillId="4" borderId="17" xfId="0" applyNumberFormat="1" applyFont="1" applyFill="1" applyBorder="1" applyAlignment="1">
      <alignment horizontal="center" wrapText="1"/>
    </xf>
    <xf numFmtId="3" fontId="26" fillId="4" borderId="17" xfId="0" applyNumberFormat="1" applyFont="1" applyFill="1" applyBorder="1" applyAlignment="1">
      <alignment wrapText="1"/>
    </xf>
    <xf numFmtId="170" fontId="27" fillId="0" borderId="17" xfId="0" applyNumberFormat="1" applyFont="1" applyFill="1" applyBorder="1" applyAlignment="1">
      <alignment wrapText="1"/>
    </xf>
    <xf numFmtId="170" fontId="27" fillId="4" borderId="17" xfId="0" applyNumberFormat="1" applyFont="1" applyFill="1" applyBorder="1" applyAlignment="1">
      <alignment horizontal="center" wrapText="1"/>
    </xf>
    <xf numFmtId="0" fontId="26" fillId="0" borderId="17" xfId="0" applyFont="1" applyFill="1" applyBorder="1" applyAlignment="1">
      <alignment horizontal="center" wrapText="1"/>
    </xf>
    <xf numFmtId="4" fontId="26" fillId="0" borderId="26" xfId="0" applyNumberFormat="1" applyFont="1" applyFill="1" applyBorder="1" applyAlignment="1">
      <alignment horizontal="center" wrapText="1"/>
    </xf>
    <xf numFmtId="4" fontId="26" fillId="0" borderId="26" xfId="0" applyNumberFormat="1" applyFont="1" applyFill="1" applyBorder="1" applyAlignment="1">
      <alignment wrapText="1"/>
    </xf>
    <xf numFmtId="0" fontId="20" fillId="0" borderId="55" xfId="0" applyFont="1" applyFill="1" applyBorder="1" applyAlignment="1">
      <alignment horizontal="left" vertical="center" indent="5"/>
    </xf>
    <xf numFmtId="0" fontId="20" fillId="0" borderId="55" xfId="0" applyFont="1" applyFill="1" applyBorder="1" applyAlignment="1">
      <alignment horizontal="center" vertical="center"/>
    </xf>
    <xf numFmtId="0" fontId="20" fillId="0" borderId="55" xfId="0" applyFont="1" applyFill="1" applyBorder="1" applyAlignment="1">
      <alignment vertical="center"/>
    </xf>
    <xf numFmtId="39" fontId="20" fillId="0" borderId="55" xfId="4" applyNumberFormat="1" applyFont="1" applyFill="1" applyBorder="1" applyAlignment="1">
      <alignment vertical="center"/>
    </xf>
    <xf numFmtId="0" fontId="20" fillId="0" borderId="55" xfId="0" applyFont="1" applyFill="1" applyBorder="1" applyAlignment="1">
      <alignment horizontal="left" vertical="center"/>
    </xf>
    <xf numFmtId="10" fontId="24" fillId="0" borderId="55" xfId="10" applyNumberFormat="1" applyFont="1" applyFill="1" applyBorder="1" applyAlignment="1">
      <alignment horizontal="center" vertical="center"/>
    </xf>
    <xf numFmtId="10" fontId="20" fillId="0" borderId="55" xfId="10" applyNumberFormat="1" applyFont="1" applyFill="1" applyBorder="1" applyAlignment="1">
      <alignment horizontal="center" vertical="center"/>
    </xf>
    <xf numFmtId="170" fontId="27" fillId="0" borderId="17" xfId="0" applyNumberFormat="1" applyFont="1" applyFill="1" applyBorder="1" applyAlignment="1">
      <alignment horizontal="center" wrapText="1"/>
    </xf>
    <xf numFmtId="168" fontId="6" fillId="4" borderId="0" xfId="3" applyNumberFormat="1" applyFont="1" applyFill="1"/>
    <xf numFmtId="166" fontId="5" fillId="4" borderId="20" xfId="1" applyNumberFormat="1" applyFont="1" applyFill="1" applyBorder="1" applyAlignment="1">
      <alignment horizontal="center"/>
    </xf>
    <xf numFmtId="0" fontId="5" fillId="4" borderId="34" xfId="0" applyFont="1" applyFill="1" applyBorder="1"/>
    <xf numFmtId="37" fontId="26" fillId="0" borderId="17" xfId="0" applyNumberFormat="1" applyFont="1" applyFill="1" applyBorder="1" applyAlignment="1">
      <alignment wrapText="1"/>
    </xf>
    <xf numFmtId="37" fontId="6" fillId="0" borderId="56" xfId="0" applyNumberFormat="1" applyFont="1" applyFill="1" applyBorder="1" applyAlignment="1"/>
    <xf numFmtId="0" fontId="32" fillId="0" borderId="0" xfId="0" applyFont="1"/>
    <xf numFmtId="0" fontId="5" fillId="5" borderId="31" xfId="0" applyFont="1" applyFill="1" applyBorder="1" applyAlignment="1">
      <alignment horizontal="center"/>
    </xf>
    <xf numFmtId="0" fontId="5" fillId="5" borderId="17" xfId="0" applyFont="1" applyFill="1" applyBorder="1"/>
    <xf numFmtId="37" fontId="4" fillId="0" borderId="17" xfId="0" applyNumberFormat="1" applyFont="1" applyFill="1" applyBorder="1" applyAlignment="1">
      <alignment horizontal="center"/>
    </xf>
    <xf numFmtId="3" fontId="5" fillId="0" borderId="6" xfId="0" applyNumberFormat="1" applyFont="1" applyFill="1" applyBorder="1" applyAlignment="1">
      <alignment horizontal="center"/>
    </xf>
    <xf numFmtId="0" fontId="4" fillId="0" borderId="33" xfId="0" applyFont="1" applyFill="1" applyBorder="1" applyAlignment="1">
      <alignment vertical="center" wrapText="1"/>
    </xf>
    <xf numFmtId="3" fontId="4" fillId="0" borderId="51" xfId="0" applyNumberFormat="1" applyFont="1" applyFill="1" applyBorder="1" applyAlignment="1">
      <alignment horizontal="center" vertical="center"/>
    </xf>
    <xf numFmtId="39" fontId="4" fillId="0" borderId="36" xfId="4" applyNumberFormat="1" applyFont="1" applyFill="1" applyBorder="1" applyAlignment="1">
      <alignment horizontal="center" vertical="center"/>
    </xf>
    <xf numFmtId="179" fontId="4" fillId="0" borderId="36" xfId="4" applyNumberFormat="1" applyFont="1" applyFill="1" applyBorder="1" applyAlignment="1">
      <alignment horizontal="center" vertical="center"/>
    </xf>
    <xf numFmtId="182" fontId="4" fillId="0" borderId="57" xfId="10" applyNumberFormat="1" applyFont="1" applyFill="1" applyBorder="1" applyAlignment="1">
      <alignment horizontal="center" vertical="center"/>
    </xf>
    <xf numFmtId="10" fontId="4" fillId="0" borderId="8" xfId="0" applyNumberFormat="1" applyFont="1" applyFill="1" applyBorder="1" applyAlignment="1">
      <alignment horizontal="center" vertical="center"/>
    </xf>
    <xf numFmtId="10" fontId="0" fillId="0" borderId="2" xfId="0" applyNumberFormat="1" applyBorder="1"/>
    <xf numFmtId="3" fontId="8" fillId="4" borderId="17" xfId="0" applyNumberFormat="1" applyFont="1" applyFill="1" applyBorder="1" applyAlignment="1"/>
    <xf numFmtId="3" fontId="6" fillId="0" borderId="17" xfId="0" applyNumberFormat="1" applyFont="1" applyFill="1" applyBorder="1" applyAlignment="1"/>
    <xf numFmtId="37" fontId="4" fillId="0" borderId="17" xfId="0" applyNumberFormat="1" applyFont="1" applyFill="1" applyBorder="1"/>
    <xf numFmtId="37" fontId="0" fillId="0" borderId="17" xfId="0" applyNumberFormat="1" applyFill="1" applyBorder="1"/>
    <xf numFmtId="3" fontId="4" fillId="0" borderId="17" xfId="1" applyNumberFormat="1" applyFont="1" applyFill="1" applyBorder="1" applyAlignment="1">
      <alignment horizontal="right"/>
    </xf>
    <xf numFmtId="4" fontId="1" fillId="0" borderId="17" xfId="0" applyNumberFormat="1" applyFont="1" applyFill="1" applyBorder="1" applyAlignment="1">
      <alignment horizontal="center"/>
    </xf>
    <xf numFmtId="6" fontId="0" fillId="0" borderId="17" xfId="3" applyNumberFormat="1" applyFont="1" applyFill="1" applyBorder="1" applyAlignment="1">
      <alignment horizontal="center"/>
    </xf>
    <xf numFmtId="6" fontId="6" fillId="0" borderId="17" xfId="0" applyNumberFormat="1" applyFont="1" applyFill="1" applyBorder="1" applyAlignment="1"/>
    <xf numFmtId="183" fontId="0" fillId="4" borderId="20" xfId="0" applyNumberFormat="1" applyFill="1" applyBorder="1" applyAlignment="1">
      <alignment horizontal="center"/>
    </xf>
    <xf numFmtId="0" fontId="7" fillId="5" borderId="21" xfId="0" applyFont="1" applyFill="1" applyBorder="1" applyAlignment="1">
      <alignment horizontal="center"/>
    </xf>
    <xf numFmtId="8" fontId="0" fillId="0" borderId="0" xfId="3" applyNumberFormat="1" applyFont="1" applyFill="1" applyBorder="1" applyAlignment="1"/>
    <xf numFmtId="168" fontId="5" fillId="0" borderId="58" xfId="3" applyNumberFormat="1" applyFont="1" applyFill="1" applyBorder="1" applyAlignment="1"/>
    <xf numFmtId="0" fontId="0" fillId="0" borderId="0" xfId="0" applyFill="1" applyAlignment="1"/>
    <xf numFmtId="168" fontId="0" fillId="0" borderId="0" xfId="3" applyNumberFormat="1" applyFont="1" applyFill="1" applyBorder="1" applyAlignment="1"/>
    <xf numFmtId="168" fontId="5" fillId="0" borderId="23" xfId="3" applyNumberFormat="1" applyFont="1" applyFill="1" applyBorder="1" applyAlignment="1"/>
    <xf numFmtId="168" fontId="0" fillId="0" borderId="0" xfId="3" applyNumberFormat="1" applyFont="1" applyFill="1" applyAlignment="1"/>
    <xf numFmtId="168" fontId="5" fillId="0" borderId="6" xfId="3" applyNumberFormat="1" applyFont="1" applyFill="1" applyBorder="1" applyAlignment="1"/>
    <xf numFmtId="171" fontId="5" fillId="0" borderId="0" xfId="10" applyNumberFormat="1" applyFont="1" applyFill="1" applyBorder="1"/>
    <xf numFmtId="184" fontId="4" fillId="0" borderId="17" xfId="3" applyNumberFormat="1" applyFont="1" applyFill="1" applyBorder="1"/>
    <xf numFmtId="184" fontId="5" fillId="0" borderId="6" xfId="3" applyNumberFormat="1" applyFont="1" applyFill="1" applyBorder="1"/>
    <xf numFmtId="37" fontId="1" fillId="4" borderId="15" xfId="0" applyNumberFormat="1" applyFont="1" applyFill="1" applyBorder="1" applyAlignment="1">
      <alignment horizontal="center"/>
    </xf>
    <xf numFmtId="37" fontId="1" fillId="4" borderId="21" xfId="0" applyNumberFormat="1" applyFont="1" applyFill="1" applyBorder="1" applyAlignment="1">
      <alignment horizontal="center"/>
    </xf>
    <xf numFmtId="3" fontId="5" fillId="5" borderId="17" xfId="0" applyNumberFormat="1" applyFont="1" applyFill="1" applyBorder="1" applyAlignment="1">
      <alignment horizontal="center" wrapText="1"/>
    </xf>
    <xf numFmtId="3" fontId="4" fillId="4" borderId="17" xfId="3" applyNumberFormat="1" applyFont="1" applyFill="1" applyBorder="1" applyAlignment="1">
      <alignment horizontal="center"/>
    </xf>
    <xf numFmtId="3" fontId="5" fillId="0" borderId="23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4" fillId="0" borderId="17" xfId="10" applyNumberFormat="1" applyFont="1" applyFill="1" applyBorder="1" applyAlignment="1">
      <alignment horizontal="center"/>
    </xf>
    <xf numFmtId="176" fontId="4" fillId="0" borderId="17" xfId="1" applyNumberFormat="1" applyFont="1" applyFill="1" applyBorder="1" applyAlignment="1">
      <alignment horizontal="center"/>
    </xf>
    <xf numFmtId="176" fontId="4" fillId="4" borderId="17" xfId="3" applyNumberFormat="1" applyFont="1" applyFill="1" applyBorder="1" applyAlignment="1">
      <alignment horizontal="center"/>
    </xf>
    <xf numFmtId="176" fontId="5" fillId="0" borderId="23" xfId="0" applyNumberFormat="1" applyFont="1" applyFill="1" applyBorder="1" applyAlignment="1">
      <alignment horizontal="center"/>
    </xf>
    <xf numFmtId="3" fontId="0" fillId="0" borderId="0" xfId="0" applyNumberFormat="1"/>
    <xf numFmtId="3" fontId="0" fillId="9" borderId="0" xfId="0" applyNumberFormat="1" applyFill="1" applyAlignment="1">
      <alignment horizontal="center"/>
    </xf>
    <xf numFmtId="176" fontId="4" fillId="4" borderId="17" xfId="10" applyNumberFormat="1" applyFont="1" applyFill="1" applyBorder="1" applyAlignment="1">
      <alignment horizontal="center"/>
    </xf>
    <xf numFmtId="3" fontId="5" fillId="0" borderId="6" xfId="3" applyNumberFormat="1" applyFont="1" applyFill="1" applyBorder="1" applyAlignment="1">
      <alignment horizontal="center"/>
    </xf>
    <xf numFmtId="3" fontId="5" fillId="0" borderId="26" xfId="0" applyNumberFormat="1" applyFont="1" applyFill="1" applyBorder="1" applyAlignment="1">
      <alignment horizontal="left" indent="1"/>
    </xf>
    <xf numFmtId="0" fontId="5" fillId="7" borderId="0" xfId="0" applyFont="1" applyFill="1" applyAlignment="1"/>
    <xf numFmtId="0" fontId="5" fillId="5" borderId="59" xfId="0" applyFont="1" applyFill="1" applyBorder="1" applyAlignment="1">
      <alignment horizontal="center"/>
    </xf>
    <xf numFmtId="170" fontId="9" fillId="5" borderId="39" xfId="0" applyNumberFormat="1" applyFont="1" applyFill="1" applyBorder="1" applyAlignment="1">
      <alignment horizontal="center" vertical="center" wrapText="1"/>
    </xf>
    <xf numFmtId="37" fontId="1" fillId="4" borderId="19" xfId="0" applyNumberFormat="1" applyFont="1" applyFill="1" applyBorder="1" applyAlignment="1">
      <alignment horizontal="center"/>
    </xf>
    <xf numFmtId="37" fontId="1" fillId="4" borderId="60" xfId="0" applyNumberFormat="1" applyFont="1" applyFill="1" applyBorder="1" applyAlignment="1">
      <alignment horizontal="center"/>
    </xf>
    <xf numFmtId="37" fontId="1" fillId="4" borderId="61" xfId="0" applyNumberFormat="1" applyFont="1" applyFill="1" applyBorder="1" applyAlignment="1">
      <alignment horizontal="center"/>
    </xf>
    <xf numFmtId="0" fontId="5" fillId="0" borderId="62" xfId="0" applyFont="1" applyFill="1" applyBorder="1"/>
    <xf numFmtId="0" fontId="5" fillId="0" borderId="63" xfId="0" applyFont="1" applyFill="1" applyBorder="1"/>
    <xf numFmtId="0" fontId="5" fillId="0" borderId="64" xfId="0" applyFont="1" applyFill="1" applyBorder="1"/>
    <xf numFmtId="0" fontId="5" fillId="0" borderId="34" xfId="0" applyFont="1" applyFill="1" applyBorder="1"/>
    <xf numFmtId="0" fontId="5" fillId="0" borderId="33" xfId="0" applyFont="1" applyFill="1" applyBorder="1"/>
    <xf numFmtId="0" fontId="5" fillId="5" borderId="22" xfId="0" applyFont="1" applyFill="1" applyBorder="1" applyAlignment="1">
      <alignment horizontal="center" wrapText="1"/>
    </xf>
    <xf numFmtId="37" fontId="5" fillId="5" borderId="59" xfId="10" applyNumberFormat="1" applyFont="1" applyFill="1" applyBorder="1" applyAlignment="1">
      <alignment horizontal="center" wrapText="1"/>
    </xf>
    <xf numFmtId="37" fontId="5" fillId="5" borderId="17" xfId="10" applyNumberFormat="1" applyFont="1" applyFill="1" applyBorder="1" applyAlignment="1">
      <alignment horizontal="center" wrapText="1"/>
    </xf>
    <xf numFmtId="9" fontId="4" fillId="0" borderId="17" xfId="10" applyNumberFormat="1" applyFont="1" applyFill="1" applyBorder="1" applyAlignment="1">
      <alignment horizontal="center"/>
    </xf>
    <xf numFmtId="9" fontId="0" fillId="0" borderId="17" xfId="0" applyNumberFormat="1" applyBorder="1" applyAlignment="1">
      <alignment horizontal="center"/>
    </xf>
    <xf numFmtId="0" fontId="0" fillId="0" borderId="17" xfId="0" applyBorder="1"/>
    <xf numFmtId="3" fontId="27" fillId="4" borderId="15" xfId="0" applyNumberFormat="1" applyFont="1" applyFill="1" applyBorder="1" applyAlignment="1">
      <alignment horizontal="center" wrapText="1"/>
    </xf>
    <xf numFmtId="170" fontId="27" fillId="0" borderId="15" xfId="0" applyNumberFormat="1" applyFont="1" applyFill="1" applyBorder="1" applyAlignment="1">
      <alignment wrapText="1"/>
    </xf>
    <xf numFmtId="37" fontId="6" fillId="0" borderId="0" xfId="0" applyNumberFormat="1" applyFont="1" applyFill="1" applyBorder="1" applyAlignment="1"/>
    <xf numFmtId="170" fontId="0" fillId="0" borderId="0" xfId="0" applyNumberFormat="1" applyFill="1" applyBorder="1" applyAlignment="1">
      <alignment horizontal="center"/>
    </xf>
    <xf numFmtId="174" fontId="0" fillId="0" borderId="0" xfId="0" applyNumberFormat="1" applyFill="1" applyBorder="1" applyAlignment="1" applyProtection="1">
      <alignment horizontal="center"/>
    </xf>
    <xf numFmtId="170" fontId="4" fillId="0" borderId="0" xfId="0" applyNumberFormat="1" applyFont="1" applyFill="1" applyBorder="1" applyAlignment="1" applyProtection="1">
      <alignment horizontal="center"/>
      <protection locked="0"/>
    </xf>
    <xf numFmtId="170" fontId="0" fillId="0" borderId="0" xfId="0" applyNumberFormat="1" applyFill="1" applyBorder="1" applyAlignment="1" applyProtection="1">
      <alignment horizontal="center"/>
      <protection locked="0"/>
    </xf>
    <xf numFmtId="170" fontId="0" fillId="0" borderId="0" xfId="0" applyNumberFormat="1" applyFill="1" applyBorder="1" applyAlignment="1" applyProtection="1">
      <alignment horizontal="center"/>
    </xf>
    <xf numFmtId="3" fontId="19" fillId="5" borderId="0" xfId="0" applyNumberFormat="1" applyFont="1" applyFill="1" applyBorder="1" applyAlignment="1">
      <alignment horizontal="right" vertical="center"/>
    </xf>
    <xf numFmtId="3" fontId="19" fillId="5" borderId="0" xfId="0" applyNumberFormat="1" applyFont="1" applyFill="1" applyBorder="1" applyAlignment="1">
      <alignment horizontal="left" vertical="center"/>
    </xf>
    <xf numFmtId="182" fontId="5" fillId="6" borderId="57" xfId="10" applyNumberFormat="1" applyFont="1" applyFill="1" applyBorder="1" applyAlignment="1">
      <alignment horizontal="center" vertical="center"/>
    </xf>
    <xf numFmtId="3" fontId="4" fillId="0" borderId="51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79" fontId="4" fillId="0" borderId="53" xfId="4" applyNumberFormat="1" applyFont="1" applyFill="1" applyBorder="1" applyAlignment="1">
      <alignment horizontal="center" vertical="center"/>
    </xf>
    <xf numFmtId="182" fontId="5" fillId="6" borderId="48" xfId="10" applyNumberFormat="1" applyFont="1" applyFill="1" applyBorder="1" applyAlignment="1">
      <alignment horizontal="center" vertical="center"/>
    </xf>
    <xf numFmtId="0" fontId="33" fillId="0" borderId="33" xfId="0" applyFont="1" applyBorder="1"/>
    <xf numFmtId="0" fontId="33" fillId="0" borderId="0" xfId="0" applyFont="1" applyFill="1" applyBorder="1" applyAlignment="1">
      <alignment vertical="center"/>
    </xf>
    <xf numFmtId="0" fontId="33" fillId="0" borderId="2" xfId="0" applyFont="1" applyFill="1" applyBorder="1" applyAlignment="1">
      <alignment vertical="center"/>
    </xf>
    <xf numFmtId="0" fontId="34" fillId="6" borderId="31" xfId="0" applyFont="1" applyFill="1" applyBorder="1" applyAlignment="1">
      <alignment horizontal="center" vertical="center"/>
    </xf>
    <xf numFmtId="39" fontId="34" fillId="6" borderId="52" xfId="4" applyNumberFormat="1" applyFont="1" applyFill="1" applyBorder="1" applyAlignment="1">
      <alignment horizontal="center" vertical="center"/>
    </xf>
    <xf numFmtId="182" fontId="34" fillId="6" borderId="37" xfId="10" applyNumberFormat="1" applyFont="1" applyFill="1" applyBorder="1" applyAlignment="1">
      <alignment horizontal="center" vertical="center"/>
    </xf>
    <xf numFmtId="182" fontId="34" fillId="6" borderId="52" xfId="10" applyNumberFormat="1" applyFont="1" applyFill="1" applyBorder="1" applyAlignment="1">
      <alignment horizontal="center" vertical="center"/>
    </xf>
    <xf numFmtId="0" fontId="33" fillId="0" borderId="2" xfId="0" applyFont="1" applyBorder="1"/>
    <xf numFmtId="0" fontId="33" fillId="0" borderId="0" xfId="0" applyFont="1"/>
    <xf numFmtId="0" fontId="0" fillId="0" borderId="65" xfId="0" applyBorder="1"/>
    <xf numFmtId="185" fontId="5" fillId="6" borderId="52" xfId="4" applyNumberFormat="1" applyFont="1" applyFill="1" applyBorder="1" applyAlignment="1">
      <alignment horizontal="center" vertical="center"/>
    </xf>
    <xf numFmtId="8" fontId="20" fillId="6" borderId="52" xfId="4" applyNumberFormat="1" applyFont="1" applyFill="1" applyBorder="1" applyAlignment="1">
      <alignment horizontal="center" vertical="center"/>
    </xf>
    <xf numFmtId="174" fontId="4" fillId="0" borderId="21" xfId="0" applyNumberFormat="1" applyFont="1" applyFill="1" applyBorder="1" applyAlignment="1">
      <alignment horizontal="center" vertical="center"/>
    </xf>
    <xf numFmtId="174" fontId="4" fillId="0" borderId="21" xfId="4" applyNumberFormat="1" applyFont="1" applyFill="1" applyBorder="1" applyAlignment="1">
      <alignment horizontal="center" vertical="center"/>
    </xf>
    <xf numFmtId="0" fontId="5" fillId="5" borderId="53" xfId="0" applyFont="1" applyFill="1" applyBorder="1" applyAlignment="1">
      <alignment horizontal="center" vertical="center"/>
    </xf>
    <xf numFmtId="0" fontId="5" fillId="5" borderId="37" xfId="0" applyFont="1" applyFill="1" applyBorder="1" applyAlignment="1">
      <alignment horizontal="center" vertical="center" wrapText="1"/>
    </xf>
    <xf numFmtId="2" fontId="5" fillId="5" borderId="52" xfId="0" applyNumberFormat="1" applyFont="1" applyFill="1" applyBorder="1" applyAlignment="1">
      <alignment horizontal="center" vertical="center" wrapText="1"/>
    </xf>
    <xf numFmtId="0" fontId="5" fillId="5" borderId="37" xfId="0" applyFont="1" applyFill="1" applyBorder="1" applyAlignment="1">
      <alignment horizontal="center" vertical="center"/>
    </xf>
    <xf numFmtId="3" fontId="4" fillId="0" borderId="66" xfId="0" applyNumberFormat="1" applyFont="1" applyFill="1" applyBorder="1" applyAlignment="1">
      <alignment horizontal="center" vertical="center"/>
    </xf>
    <xf numFmtId="3" fontId="4" fillId="0" borderId="59" xfId="0" applyNumberFormat="1" applyFont="1" applyFill="1" applyBorder="1" applyAlignment="1">
      <alignment horizontal="center" vertical="center"/>
    </xf>
    <xf numFmtId="0" fontId="4" fillId="0" borderId="67" xfId="0" applyFont="1" applyFill="1" applyBorder="1" applyAlignment="1">
      <alignment vertical="center" wrapText="1"/>
    </xf>
    <xf numFmtId="0" fontId="4" fillId="0" borderId="38" xfId="0" applyFont="1" applyFill="1" applyBorder="1" applyAlignment="1">
      <alignment vertical="center" wrapText="1"/>
    </xf>
    <xf numFmtId="0" fontId="0" fillId="0" borderId="17" xfId="0" applyBorder="1" applyAlignment="1">
      <alignment horizontal="center"/>
    </xf>
    <xf numFmtId="170" fontId="0" fillId="5" borderId="68" xfId="0" applyNumberFormat="1" applyFill="1" applyBorder="1" applyAlignment="1">
      <alignment horizontal="center" vertical="center" wrapText="1"/>
    </xf>
    <xf numFmtId="170" fontId="0" fillId="5" borderId="68" xfId="0" applyNumberFormat="1" applyFill="1" applyBorder="1" applyAlignment="1">
      <alignment horizontal="center" vertical="center"/>
    </xf>
    <xf numFmtId="170" fontId="4" fillId="4" borderId="68" xfId="0" applyNumberFormat="1" applyFont="1" applyFill="1" applyBorder="1" applyAlignment="1" applyProtection="1">
      <alignment horizontal="center"/>
      <protection locked="0"/>
    </xf>
    <xf numFmtId="170" fontId="0" fillId="5" borderId="38" xfId="0" applyNumberFormat="1" applyFill="1" applyBorder="1" applyAlignment="1">
      <alignment horizontal="center" vertical="center" wrapText="1"/>
    </xf>
    <xf numFmtId="170" fontId="0" fillId="5" borderId="38" xfId="0" applyNumberFormat="1" applyFill="1" applyBorder="1" applyAlignment="1">
      <alignment horizontal="center" vertical="center"/>
    </xf>
    <xf numFmtId="170" fontId="4" fillId="4" borderId="38" xfId="0" applyNumberFormat="1" applyFont="1" applyFill="1" applyBorder="1" applyAlignment="1" applyProtection="1">
      <alignment horizontal="center"/>
      <protection locked="0"/>
    </xf>
    <xf numFmtId="170" fontId="0" fillId="5" borderId="69" xfId="0" applyNumberFormat="1" applyFill="1" applyBorder="1" applyAlignment="1">
      <alignment horizontal="center" vertical="center" wrapText="1"/>
    </xf>
    <xf numFmtId="0" fontId="20" fillId="6" borderId="27" xfId="0" applyFont="1" applyFill="1" applyBorder="1" applyAlignment="1">
      <alignment horizontal="center" vertical="center"/>
    </xf>
    <xf numFmtId="39" fontId="5" fillId="6" borderId="57" xfId="4" applyNumberFormat="1" applyFont="1" applyFill="1" applyBorder="1" applyAlignment="1">
      <alignment horizontal="center" vertical="center"/>
    </xf>
    <xf numFmtId="182" fontId="5" fillId="6" borderId="10" xfId="10" applyNumberFormat="1" applyFont="1" applyFill="1" applyBorder="1" applyAlignment="1">
      <alignment horizontal="center" vertical="center"/>
    </xf>
    <xf numFmtId="39" fontId="20" fillId="0" borderId="55" xfId="4" applyNumberFormat="1" applyFont="1" applyFill="1" applyBorder="1" applyAlignment="1">
      <alignment horizontal="center" vertical="center"/>
    </xf>
    <xf numFmtId="0" fontId="0" fillId="4" borderId="17" xfId="0" applyFill="1" applyBorder="1" applyAlignment="1">
      <alignment horizontal="center"/>
    </xf>
    <xf numFmtId="174" fontId="1" fillId="4" borderId="21" xfId="0" applyNumberFormat="1" applyFont="1" applyFill="1" applyBorder="1" applyAlignment="1">
      <alignment horizontal="center"/>
    </xf>
    <xf numFmtId="37" fontId="4" fillId="4" borderId="17" xfId="0" applyNumberFormat="1" applyFont="1" applyFill="1" applyBorder="1" applyAlignment="1">
      <alignment horizontal="center"/>
    </xf>
    <xf numFmtId="174" fontId="1" fillId="0" borderId="0" xfId="0" applyNumberFormat="1" applyFont="1" applyFill="1" applyBorder="1" applyAlignment="1">
      <alignment horizontal="center"/>
    </xf>
    <xf numFmtId="3" fontId="4" fillId="4" borderId="70" xfId="3" applyNumberFormat="1" applyFont="1" applyFill="1" applyBorder="1" applyAlignment="1">
      <alignment horizontal="center"/>
    </xf>
    <xf numFmtId="37" fontId="4" fillId="4" borderId="70" xfId="0" applyNumberFormat="1" applyFont="1" applyFill="1" applyBorder="1" applyAlignment="1">
      <alignment horizontal="center"/>
    </xf>
    <xf numFmtId="176" fontId="4" fillId="4" borderId="70" xfId="3" applyNumberFormat="1" applyFont="1" applyFill="1" applyBorder="1" applyAlignment="1">
      <alignment horizontal="center"/>
    </xf>
    <xf numFmtId="3" fontId="4" fillId="0" borderId="70" xfId="1" applyNumberFormat="1" applyFont="1" applyFill="1" applyBorder="1" applyAlignment="1">
      <alignment horizontal="center"/>
    </xf>
    <xf numFmtId="39" fontId="1" fillId="4" borderId="21" xfId="0" applyNumberFormat="1" applyFont="1" applyFill="1" applyBorder="1" applyAlignment="1">
      <alignment horizontal="center"/>
    </xf>
    <xf numFmtId="4" fontId="4" fillId="4" borderId="70" xfId="1" applyNumberFormat="1" applyFont="1" applyFill="1" applyBorder="1" applyAlignment="1">
      <alignment horizontal="center"/>
    </xf>
    <xf numFmtId="172" fontId="4" fillId="0" borderId="70" xfId="3" applyNumberFormat="1" applyFont="1" applyFill="1" applyBorder="1"/>
    <xf numFmtId="9" fontId="5" fillId="0" borderId="6" xfId="3" applyNumberFormat="1" applyFont="1" applyFill="1" applyBorder="1" applyAlignment="1">
      <alignment horizontal="center"/>
    </xf>
    <xf numFmtId="38" fontId="5" fillId="0" borderId="0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left"/>
    </xf>
    <xf numFmtId="3" fontId="0" fillId="0" borderId="27" xfId="0" applyNumberFormat="1" applyBorder="1" applyAlignment="1">
      <alignment horizontal="center"/>
    </xf>
    <xf numFmtId="3" fontId="0" fillId="0" borderId="65" xfId="0" applyNumberFormat="1" applyBorder="1" applyAlignment="1">
      <alignment horizontal="center"/>
    </xf>
    <xf numFmtId="3" fontId="0" fillId="0" borderId="71" xfId="0" applyNumberFormat="1" applyBorder="1" applyAlignment="1">
      <alignment horizontal="center"/>
    </xf>
    <xf numFmtId="37" fontId="1" fillId="0" borderId="27" xfId="0" applyNumberFormat="1" applyFont="1" applyFill="1" applyBorder="1" applyAlignment="1">
      <alignment horizontal="center"/>
    </xf>
    <xf numFmtId="37" fontId="1" fillId="0" borderId="65" xfId="0" applyNumberFormat="1" applyFont="1" applyFill="1" applyBorder="1" applyAlignment="1">
      <alignment horizontal="center"/>
    </xf>
    <xf numFmtId="37" fontId="1" fillId="0" borderId="71" xfId="0" applyNumberFormat="1" applyFont="1" applyFill="1" applyBorder="1" applyAlignment="1">
      <alignment horizontal="center"/>
    </xf>
    <xf numFmtId="9" fontId="5" fillId="0" borderId="6" xfId="10" applyFont="1" applyFill="1" applyBorder="1" applyAlignment="1">
      <alignment horizontal="center"/>
    </xf>
    <xf numFmtId="168" fontId="4" fillId="0" borderId="70" xfId="3" applyNumberFormat="1" applyFont="1" applyFill="1" applyBorder="1"/>
    <xf numFmtId="168" fontId="5" fillId="0" borderId="0" xfId="3" applyNumberFormat="1" applyFont="1" applyFill="1" applyBorder="1" applyAlignment="1">
      <alignment horizontal="center"/>
    </xf>
    <xf numFmtId="3" fontId="4" fillId="0" borderId="15" xfId="1" applyNumberFormat="1" applyFont="1" applyFill="1" applyBorder="1" applyAlignment="1">
      <alignment horizontal="center"/>
    </xf>
    <xf numFmtId="166" fontId="4" fillId="0" borderId="15" xfId="1" applyNumberFormat="1" applyFont="1" applyFill="1" applyBorder="1" applyAlignment="1">
      <alignment horizontal="center"/>
    </xf>
    <xf numFmtId="175" fontId="4" fillId="0" borderId="15" xfId="1" applyNumberFormat="1" applyFont="1" applyFill="1" applyBorder="1" applyAlignment="1">
      <alignment horizontal="center"/>
    </xf>
    <xf numFmtId="4" fontId="27" fillId="4" borderId="15" xfId="0" applyNumberFormat="1" applyFont="1" applyFill="1" applyBorder="1" applyAlignment="1">
      <alignment horizontal="center" wrapText="1"/>
    </xf>
    <xf numFmtId="10" fontId="4" fillId="4" borderId="17" xfId="10" applyNumberFormat="1" applyFont="1" applyFill="1" applyBorder="1" applyAlignment="1">
      <alignment horizontal="center"/>
    </xf>
    <xf numFmtId="37" fontId="6" fillId="0" borderId="39" xfId="0" applyNumberFormat="1" applyFont="1" applyFill="1" applyBorder="1" applyAlignment="1"/>
    <xf numFmtId="174" fontId="1" fillId="4" borderId="17" xfId="3" applyNumberFormat="1" applyFont="1" applyFill="1" applyBorder="1" applyAlignment="1" applyProtection="1">
      <alignment horizontal="center"/>
      <protection locked="0"/>
    </xf>
    <xf numFmtId="39" fontId="1" fillId="4" borderId="17" xfId="3" applyNumberFormat="1" applyFont="1" applyFill="1" applyBorder="1" applyAlignment="1" applyProtection="1">
      <alignment horizontal="center"/>
      <protection locked="0"/>
    </xf>
    <xf numFmtId="186" fontId="1" fillId="4" borderId="17" xfId="3" applyNumberFormat="1" applyFont="1" applyFill="1" applyBorder="1" applyAlignment="1" applyProtection="1">
      <alignment horizontal="center"/>
      <protection locked="0"/>
    </xf>
    <xf numFmtId="184" fontId="4" fillId="0" borderId="70" xfId="3" applyNumberFormat="1" applyFont="1" applyFill="1" applyBorder="1"/>
    <xf numFmtId="0" fontId="4" fillId="0" borderId="72" xfId="0" applyFont="1" applyFill="1" applyBorder="1" applyAlignment="1">
      <alignment vertical="center" wrapText="1"/>
    </xf>
    <xf numFmtId="174" fontId="4" fillId="0" borderId="15" xfId="4" applyNumberFormat="1" applyFont="1" applyFill="1" applyBorder="1" applyAlignment="1">
      <alignment horizontal="center" vertical="center"/>
    </xf>
    <xf numFmtId="175" fontId="4" fillId="0" borderId="8" xfId="0" applyNumberFormat="1" applyFont="1" applyFill="1" applyBorder="1" applyAlignment="1">
      <alignment horizontal="center" vertical="center"/>
    </xf>
    <xf numFmtId="3" fontId="19" fillId="5" borderId="34" xfId="0" applyNumberFormat="1" applyFont="1" applyFill="1" applyBorder="1" applyAlignment="1">
      <alignment horizontal="right" vertical="center"/>
    </xf>
    <xf numFmtId="0" fontId="0" fillId="0" borderId="55" xfId="0" applyBorder="1"/>
    <xf numFmtId="3" fontId="19" fillId="0" borderId="0" xfId="0" applyNumberFormat="1" applyFont="1" applyFill="1" applyBorder="1" applyAlignment="1">
      <alignment horizontal="left" vertical="center"/>
    </xf>
    <xf numFmtId="166" fontId="8" fillId="4" borderId="17" xfId="1" applyNumberFormat="1" applyFont="1" applyFill="1" applyBorder="1" applyAlignment="1"/>
    <xf numFmtId="3" fontId="0" fillId="10" borderId="17" xfId="0" applyNumberFormat="1" applyFill="1" applyBorder="1" applyAlignment="1">
      <alignment horizontal="center"/>
    </xf>
    <xf numFmtId="164" fontId="0" fillId="0" borderId="0" xfId="3" applyFont="1"/>
    <xf numFmtId="187" fontId="0" fillId="0" borderId="0" xfId="1" applyNumberFormat="1" applyFont="1"/>
    <xf numFmtId="180" fontId="4" fillId="0" borderId="15" xfId="1" applyNumberFormat="1" applyFont="1" applyFill="1" applyBorder="1" applyAlignment="1">
      <alignment horizontal="center"/>
    </xf>
    <xf numFmtId="10" fontId="4" fillId="4" borderId="15" xfId="10" applyNumberFormat="1" applyFont="1" applyFill="1" applyBorder="1" applyAlignment="1">
      <alignment horizontal="center"/>
    </xf>
    <xf numFmtId="188" fontId="1" fillId="4" borderId="17" xfId="3" applyNumberFormat="1" applyFont="1" applyFill="1" applyBorder="1" applyAlignment="1" applyProtection="1">
      <alignment horizontal="center"/>
      <protection locked="0"/>
    </xf>
    <xf numFmtId="4" fontId="4" fillId="0" borderId="59" xfId="0" applyNumberFormat="1" applyFont="1" applyFill="1" applyBorder="1" applyAlignment="1">
      <alignment horizontal="center" vertical="center"/>
    </xf>
    <xf numFmtId="4" fontId="4" fillId="0" borderId="28" xfId="0" applyNumberFormat="1" applyFont="1" applyFill="1" applyBorder="1" applyAlignment="1">
      <alignment horizontal="center" vertical="center"/>
    </xf>
    <xf numFmtId="4" fontId="4" fillId="0" borderId="5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4" fontId="4" fillId="1" borderId="28" xfId="0" applyNumberFormat="1" applyFont="1" applyFill="1" applyBorder="1" applyAlignment="1">
      <alignment horizontal="center" vertical="center"/>
    </xf>
    <xf numFmtId="4" fontId="4" fillId="0" borderId="51" xfId="0" applyNumberFormat="1" applyFont="1" applyFill="1" applyBorder="1" applyAlignment="1">
      <alignment horizontal="center" vertical="center" wrapText="1"/>
    </xf>
    <xf numFmtId="4" fontId="4" fillId="0" borderId="43" xfId="0" applyNumberFormat="1" applyFont="1" applyFill="1" applyBorder="1" applyAlignment="1">
      <alignment horizontal="center" vertical="center"/>
    </xf>
    <xf numFmtId="4" fontId="4" fillId="0" borderId="51" xfId="0" applyNumberFormat="1" applyFont="1" applyFill="1" applyBorder="1" applyAlignment="1">
      <alignment horizontal="center" vertical="center"/>
    </xf>
    <xf numFmtId="39" fontId="4" fillId="0" borderId="21" xfId="0" applyNumberFormat="1" applyFont="1" applyFill="1" applyBorder="1" applyAlignment="1">
      <alignment horizontal="center" vertical="center"/>
    </xf>
    <xf numFmtId="170" fontId="4" fillId="0" borderId="8" xfId="0" applyNumberFormat="1" applyFont="1" applyFill="1" applyBorder="1" applyAlignment="1">
      <alignment horizontal="center" vertical="center" wrapText="1"/>
    </xf>
    <xf numFmtId="3" fontId="26" fillId="0" borderId="26" xfId="0" applyNumberFormat="1" applyFont="1" applyFill="1" applyBorder="1" applyAlignment="1">
      <alignment horizontal="center" wrapText="1"/>
    </xf>
    <xf numFmtId="169" fontId="0" fillId="0" borderId="0" xfId="0" applyNumberFormat="1"/>
    <xf numFmtId="166" fontId="5" fillId="0" borderId="17" xfId="1" applyNumberFormat="1" applyFont="1" applyFill="1" applyBorder="1" applyAlignment="1">
      <alignment horizontal="center"/>
    </xf>
    <xf numFmtId="10" fontId="5" fillId="0" borderId="17" xfId="10" applyNumberFormat="1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 wrapText="1"/>
    </xf>
    <xf numFmtId="0" fontId="0" fillId="0" borderId="19" xfId="0" applyBorder="1"/>
    <xf numFmtId="3" fontId="5" fillId="0" borderId="17" xfId="0" applyNumberFormat="1" applyFont="1" applyFill="1" applyBorder="1" applyAlignment="1">
      <alignment horizontal="center"/>
    </xf>
    <xf numFmtId="166" fontId="5" fillId="0" borderId="17" xfId="0" applyNumberFormat="1" applyFont="1" applyFill="1" applyBorder="1" applyAlignment="1">
      <alignment horizontal="left" indent="1"/>
    </xf>
    <xf numFmtId="168" fontId="5" fillId="0" borderId="17" xfId="3" applyNumberFormat="1" applyFont="1" applyFill="1" applyBorder="1" applyAlignment="1">
      <alignment horizontal="left" indent="1"/>
    </xf>
    <xf numFmtId="166" fontId="5" fillId="0" borderId="5" xfId="0" applyNumberFormat="1" applyFont="1" applyFill="1" applyBorder="1" applyAlignment="1">
      <alignment horizontal="left" indent="1"/>
    </xf>
    <xf numFmtId="0" fontId="5" fillId="0" borderId="5" xfId="0" applyFont="1" applyFill="1" applyBorder="1" applyAlignment="1">
      <alignment horizontal="left" indent="1"/>
    </xf>
    <xf numFmtId="3" fontId="5" fillId="0" borderId="5" xfId="0" applyNumberFormat="1" applyFont="1" applyFill="1" applyBorder="1" applyAlignment="1">
      <alignment horizontal="center"/>
    </xf>
    <xf numFmtId="9" fontId="5" fillId="0" borderId="5" xfId="10" applyFont="1" applyFill="1" applyBorder="1" applyAlignment="1">
      <alignment horizontal="center"/>
    </xf>
    <xf numFmtId="3" fontId="5" fillId="0" borderId="59" xfId="0" applyNumberFormat="1" applyFont="1" applyFill="1" applyBorder="1" applyAlignment="1">
      <alignment horizontal="center"/>
    </xf>
    <xf numFmtId="182" fontId="4" fillId="0" borderId="8" xfId="10" applyNumberFormat="1" applyFont="1" applyFill="1" applyBorder="1" applyAlignment="1">
      <alignment horizontal="center" vertical="center"/>
    </xf>
    <xf numFmtId="182" fontId="4" fillId="0" borderId="36" xfId="10" applyNumberFormat="1" applyFont="1" applyFill="1" applyBorder="1" applyAlignment="1">
      <alignment horizontal="center" vertical="center"/>
    </xf>
    <xf numFmtId="0" fontId="20" fillId="6" borderId="4" xfId="0" applyFont="1" applyFill="1" applyBorder="1" applyAlignment="1">
      <alignment horizontal="center" vertical="center"/>
    </xf>
    <xf numFmtId="39" fontId="20" fillId="6" borderId="4" xfId="4" applyNumberFormat="1" applyFont="1" applyFill="1" applyBorder="1" applyAlignment="1">
      <alignment horizontal="center" vertical="center"/>
    </xf>
    <xf numFmtId="8" fontId="20" fillId="6" borderId="4" xfId="4" applyNumberFormat="1" applyFont="1" applyFill="1" applyBorder="1" applyAlignment="1">
      <alignment horizontal="center" vertical="center"/>
    </xf>
    <xf numFmtId="182" fontId="5" fillId="6" borderId="4" xfId="10" applyNumberFormat="1" applyFont="1" applyFill="1" applyBorder="1" applyAlignment="1">
      <alignment horizontal="center" vertical="center"/>
    </xf>
    <xf numFmtId="9" fontId="20" fillId="0" borderId="4" xfId="0" applyNumberFormat="1" applyFont="1" applyFill="1" applyBorder="1" applyAlignment="1">
      <alignment horizontal="center" vertical="center"/>
    </xf>
    <xf numFmtId="4" fontId="4" fillId="11" borderId="17" xfId="1" applyNumberFormat="1" applyFont="1" applyFill="1" applyBorder="1" applyAlignment="1">
      <alignment horizontal="center"/>
    </xf>
    <xf numFmtId="0" fontId="26" fillId="5" borderId="5" xfId="0" applyFont="1" applyFill="1" applyBorder="1" applyAlignment="1">
      <alignment wrapText="1"/>
    </xf>
    <xf numFmtId="0" fontId="26" fillId="5" borderId="59" xfId="0" applyFont="1" applyFill="1" applyBorder="1" applyAlignment="1">
      <alignment wrapText="1"/>
    </xf>
    <xf numFmtId="0" fontId="10" fillId="0" borderId="73" xfId="0" applyFont="1" applyFill="1" applyBorder="1" applyAlignment="1"/>
    <xf numFmtId="0" fontId="10" fillId="3" borderId="0" xfId="0" applyFont="1" applyFill="1" applyAlignment="1">
      <alignment horizontal="center"/>
    </xf>
    <xf numFmtId="0" fontId="5" fillId="7" borderId="0" xfId="0" applyFont="1" applyFill="1" applyAlignment="1"/>
    <xf numFmtId="0" fontId="25" fillId="0" borderId="0" xfId="0" applyFont="1" applyFill="1" applyAlignment="1"/>
    <xf numFmtId="0" fontId="5" fillId="7" borderId="0" xfId="0" applyFont="1" applyFill="1"/>
    <xf numFmtId="0" fontId="0" fillId="0" borderId="0" xfId="0" applyFill="1"/>
    <xf numFmtId="0" fontId="6" fillId="5" borderId="17" xfId="0" applyFont="1" applyFill="1" applyBorder="1" applyAlignment="1">
      <alignment horizontal="center"/>
    </xf>
    <xf numFmtId="0" fontId="6" fillId="5" borderId="15" xfId="0" applyFont="1" applyFill="1" applyBorder="1" applyAlignment="1">
      <alignment horizontal="center"/>
    </xf>
    <xf numFmtId="0" fontId="6" fillId="5" borderId="2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73" xfId="0" applyFont="1" applyBorder="1" applyAlignment="1">
      <alignment horizontal="center"/>
    </xf>
    <xf numFmtId="174" fontId="1" fillId="4" borderId="17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5" fillId="0" borderId="0" xfId="0" applyFont="1" applyFill="1"/>
    <xf numFmtId="174" fontId="5" fillId="5" borderId="31" xfId="0" applyNumberFormat="1" applyFont="1" applyFill="1" applyBorder="1" applyAlignment="1">
      <alignment horizontal="center" wrapText="1"/>
    </xf>
    <xf numFmtId="0" fontId="0" fillId="5" borderId="32" xfId="0" applyFill="1" applyBorder="1" applyAlignment="1"/>
    <xf numFmtId="174" fontId="1" fillId="0" borderId="17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wrapText="1"/>
    </xf>
    <xf numFmtId="174" fontId="5" fillId="5" borderId="32" xfId="0" applyNumberFormat="1" applyFont="1" applyFill="1" applyBorder="1" applyAlignment="1">
      <alignment horizontal="center" wrapText="1"/>
    </xf>
    <xf numFmtId="0" fontId="0" fillId="4" borderId="17" xfId="0" applyFill="1" applyBorder="1" applyAlignment="1">
      <alignment horizontal="center"/>
    </xf>
    <xf numFmtId="174" fontId="1" fillId="4" borderId="21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 wrapText="1"/>
    </xf>
    <xf numFmtId="0" fontId="5" fillId="0" borderId="2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9" xfId="0" applyFont="1" applyBorder="1" applyAlignment="1">
      <alignment horizontal="center"/>
    </xf>
    <xf numFmtId="0" fontId="10" fillId="0" borderId="73" xfId="0" applyFont="1" applyBorder="1" applyAlignment="1">
      <alignment horizontal="center"/>
    </xf>
    <xf numFmtId="0" fontId="5" fillId="7" borderId="0" xfId="0" applyFont="1" applyFill="1" applyAlignment="1">
      <alignment horizontal="left"/>
    </xf>
    <xf numFmtId="0" fontId="28" fillId="7" borderId="0" xfId="0" applyFont="1" applyFill="1"/>
    <xf numFmtId="0" fontId="9" fillId="0" borderId="73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37" fontId="5" fillId="0" borderId="17" xfId="0" applyNumberFormat="1" applyFont="1" applyFill="1" applyBorder="1" applyAlignment="1">
      <alignment horizontal="center" vertical="center" wrapText="1"/>
    </xf>
    <xf numFmtId="37" fontId="20" fillId="0" borderId="39" xfId="0" applyNumberFormat="1" applyFont="1" applyFill="1" applyBorder="1" applyAlignment="1">
      <alignment horizontal="center" vertical="center" wrapText="1"/>
    </xf>
    <xf numFmtId="37" fontId="20" fillId="0" borderId="74" xfId="0" applyNumberFormat="1" applyFont="1" applyFill="1" applyBorder="1" applyAlignment="1">
      <alignment horizontal="center" vertical="center" wrapText="1"/>
    </xf>
    <xf numFmtId="37" fontId="20" fillId="0" borderId="75" xfId="0" applyNumberFormat="1" applyFont="1" applyFill="1" applyBorder="1" applyAlignment="1">
      <alignment horizontal="center" vertical="center" wrapText="1"/>
    </xf>
    <xf numFmtId="37" fontId="5" fillId="0" borderId="17" xfId="0" applyNumberFormat="1" applyFont="1" applyFill="1" applyBorder="1" applyAlignment="1">
      <alignment horizontal="center" wrapText="1"/>
    </xf>
    <xf numFmtId="0" fontId="20" fillId="0" borderId="34" xfId="0" applyFont="1" applyFill="1" applyBorder="1" applyAlignment="1">
      <alignment horizontal="center"/>
    </xf>
    <xf numFmtId="0" fontId="20" fillId="0" borderId="76" xfId="0" applyFont="1" applyFill="1" applyBorder="1" applyAlignment="1">
      <alignment horizontal="center"/>
    </xf>
    <xf numFmtId="0" fontId="20" fillId="0" borderId="29" xfId="0" applyFont="1" applyFill="1" applyBorder="1" applyAlignment="1">
      <alignment horizontal="center"/>
    </xf>
    <xf numFmtId="0" fontId="26" fillId="5" borderId="17" xfId="0" applyFont="1" applyFill="1" applyBorder="1" applyAlignment="1">
      <alignment horizontal="center" wrapText="1"/>
    </xf>
    <xf numFmtId="0" fontId="26" fillId="5" borderId="15" xfId="0" applyFont="1" applyFill="1" applyBorder="1" applyAlignment="1">
      <alignment horizontal="center" wrapText="1"/>
    </xf>
    <xf numFmtId="0" fontId="26" fillId="5" borderId="8" xfId="0" applyFont="1" applyFill="1" applyBorder="1" applyAlignment="1">
      <alignment horizontal="center" wrapText="1"/>
    </xf>
    <xf numFmtId="0" fontId="26" fillId="5" borderId="21" xfId="0" applyFont="1" applyFill="1" applyBorder="1" applyAlignment="1">
      <alignment horizontal="center" wrapText="1"/>
    </xf>
    <xf numFmtId="0" fontId="10" fillId="0" borderId="17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6" fillId="0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10" fillId="5" borderId="27" xfId="0" applyFont="1" applyFill="1" applyBorder="1" applyAlignment="1">
      <alignment horizontal="center"/>
    </xf>
    <xf numFmtId="0" fontId="10" fillId="5" borderId="65" xfId="0" applyFont="1" applyFill="1" applyBorder="1" applyAlignment="1">
      <alignment horizontal="center"/>
    </xf>
    <xf numFmtId="0" fontId="10" fillId="5" borderId="71" xfId="0" applyFont="1" applyFill="1" applyBorder="1" applyAlignment="1">
      <alignment horizontal="center"/>
    </xf>
    <xf numFmtId="174" fontId="9" fillId="5" borderId="39" xfId="0" applyNumberFormat="1" applyFont="1" applyFill="1" applyBorder="1" applyAlignment="1">
      <alignment horizontal="center" vertical="center" wrapText="1"/>
    </xf>
    <xf numFmtId="174" fontId="9" fillId="5" borderId="74" xfId="0" applyNumberFormat="1" applyFont="1" applyFill="1" applyBorder="1" applyAlignment="1">
      <alignment horizontal="center" vertical="center" wrapText="1"/>
    </xf>
    <xf numFmtId="0" fontId="9" fillId="5" borderId="39" xfId="0" applyFont="1" applyFill="1" applyBorder="1" applyAlignment="1">
      <alignment horizontal="center" vertical="center" wrapText="1"/>
    </xf>
    <xf numFmtId="0" fontId="9" fillId="5" borderId="74" xfId="0" applyFont="1" applyFill="1" applyBorder="1" applyAlignment="1">
      <alignment horizontal="center" vertical="center" wrapText="1"/>
    </xf>
    <xf numFmtId="170" fontId="9" fillId="5" borderId="39" xfId="0" applyNumberFormat="1" applyFont="1" applyFill="1" applyBorder="1" applyAlignment="1">
      <alignment horizontal="center" vertical="center" wrapText="1"/>
    </xf>
    <xf numFmtId="170" fontId="9" fillId="5" borderId="75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34" fillId="0" borderId="53" xfId="0" applyFont="1" applyFill="1" applyBorder="1" applyAlignment="1">
      <alignment horizontal="center" vertical="center"/>
    </xf>
    <xf numFmtId="0" fontId="34" fillId="0" borderId="37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/>
    </xf>
    <xf numFmtId="0" fontId="6" fillId="5" borderId="31" xfId="0" applyFont="1" applyFill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29" fillId="8" borderId="76" xfId="0" applyFont="1" applyFill="1" applyBorder="1" applyAlignment="1">
      <alignment horizontal="center"/>
    </xf>
    <xf numFmtId="0" fontId="17" fillId="0" borderId="0" xfId="0" applyFont="1" applyFill="1" applyBorder="1" applyAlignment="1"/>
    <xf numFmtId="0" fontId="10" fillId="5" borderId="31" xfId="0" applyFont="1" applyFill="1" applyBorder="1" applyAlignment="1">
      <alignment horizontal="center" vertical="center"/>
    </xf>
    <xf numFmtId="0" fontId="10" fillId="5" borderId="55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5" fillId="0" borderId="7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16" fillId="0" borderId="76" xfId="0" applyFont="1" applyFill="1" applyBorder="1" applyAlignment="1">
      <alignment horizontal="left"/>
    </xf>
    <xf numFmtId="0" fontId="29" fillId="8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20" fillId="0" borderId="53" xfId="0" applyFont="1" applyFill="1" applyBorder="1" applyAlignment="1">
      <alignment horizontal="center" vertical="center"/>
    </xf>
    <xf numFmtId="0" fontId="20" fillId="0" borderId="37" xfId="0" applyFont="1" applyFill="1" applyBorder="1" applyAlignment="1">
      <alignment horizontal="center" vertical="center"/>
    </xf>
    <xf numFmtId="37" fontId="6" fillId="0" borderId="34" xfId="0" applyNumberFormat="1" applyFont="1" applyFill="1" applyBorder="1" applyAlignment="1">
      <alignment horizontal="left" wrapText="1"/>
    </xf>
    <xf numFmtId="0" fontId="6" fillId="0" borderId="76" xfId="0" applyFont="1" applyFill="1" applyBorder="1" applyAlignment="1">
      <alignment horizontal="left" wrapText="1"/>
    </xf>
    <xf numFmtId="0" fontId="6" fillId="0" borderId="29" xfId="0" applyFont="1" applyFill="1" applyBorder="1" applyAlignment="1">
      <alignment horizontal="left" wrapText="1"/>
    </xf>
    <xf numFmtId="0" fontId="21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22" xfId="0" applyFont="1" applyBorder="1"/>
    <xf numFmtId="0" fontId="6" fillId="0" borderId="59" xfId="0" applyFont="1" applyBorder="1"/>
    <xf numFmtId="0" fontId="12" fillId="0" borderId="0" xfId="0" applyFont="1" applyFill="1" applyAlignment="1">
      <alignment horizontal="center"/>
    </xf>
    <xf numFmtId="0" fontId="9" fillId="5" borderId="22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59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4" fillId="0" borderId="0" xfId="0" applyFont="1" applyFill="1"/>
    <xf numFmtId="168" fontId="0" fillId="8" borderId="0" xfId="0" applyNumberFormat="1" applyFill="1"/>
    <xf numFmtId="0" fontId="31" fillId="0" borderId="0" xfId="0" applyFont="1" applyFill="1"/>
    <xf numFmtId="37" fontId="0" fillId="0" borderId="0" xfId="0" applyNumberFormat="1" applyFill="1"/>
    <xf numFmtId="166" fontId="1" fillId="0" borderId="0" xfId="1" applyNumberFormat="1" applyFont="1"/>
  </cellXfs>
  <cellStyles count="12">
    <cellStyle name="Comma" xfId="1" builtinId="3"/>
    <cellStyle name="Comma0" xfId="2"/>
    <cellStyle name="Currency" xfId="3" builtinId="4"/>
    <cellStyle name="Currency_Final - 2004 RAM for rate schedule - milton" xfId="4"/>
    <cellStyle name="Currency0" xfId="5"/>
    <cellStyle name="Date" xfId="6"/>
    <cellStyle name="Fixed" xfId="7"/>
    <cellStyle name="Heading 1" xfId="8" builtinId="16" customBuiltin="1"/>
    <cellStyle name="Heading 2" xfId="9" builtinId="17" customBuiltin="1"/>
    <cellStyle name="Normal" xfId="0" builtinId="0"/>
    <cellStyle name="Percent" xfId="10" builtinId="5"/>
    <cellStyle name="Total" xfId="1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externalLink" Target="externalLinks/externalLink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externalLink" Target="externalLinks/externalLink8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LK%20Revenue%20Requirement%20Model%20-%202012%20CGAAP_Settlement_Updated%20for%20Depr%20Rat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ELK%20COP%20Forecast%20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LK%20Energy%202012%20Load%20Forecast%20-%20Board%20Staff%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ELK%202012%20CA_Model_V2_Settlement_Updated%20for%20Depr%20Rat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Tables%20for%20Exhibit%2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ELK_2012_RTSR_Adjustment_Work_Form_June%201%202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con/Documents/ELK/2012%20Rate%20Application/Exhibits/Appendix%208-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ELK%20Deferral%20and%20Variance%20Account%20Riders_Settlemen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ELK%20Smart%20Meter%20Rate%20Rider%20by%20Clas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ELK_Stranded_Meter_Rate_Rider_by_Class%20-%20Board%20Staff%2050b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FA Continuity 2006"/>
      <sheetName val="FA Continuity 2007"/>
      <sheetName val="FA Continuity 2008"/>
      <sheetName val="FA Continuity 2009"/>
      <sheetName val="FA Continuity 2010"/>
      <sheetName val="FA Continuity 2011"/>
      <sheetName val="FA Continuity 2012"/>
      <sheetName val="2006 Balance Sheet"/>
      <sheetName val="2006 Income Statement"/>
      <sheetName val="2007 Balance Sheet"/>
      <sheetName val="2007 Income Statement"/>
      <sheetName val="2008 Balance Sheet"/>
      <sheetName val="2008 Income Statement"/>
      <sheetName val="2009 Balance Sheet"/>
      <sheetName val="2009 Income Statement"/>
      <sheetName val="2010 Balance Sheet"/>
      <sheetName val="2010 Income Statement"/>
      <sheetName val="2011 Balance Sheet"/>
      <sheetName val="2011 Income Statement"/>
      <sheetName val="2012 Balance Sheet"/>
      <sheetName val="2012 Income Statement"/>
      <sheetName val="Trial Balance"/>
      <sheetName val="Return on Capital"/>
      <sheetName val="Debt &amp; Capital Structure"/>
      <sheetName val="Tax rates"/>
      <sheetName val="CCA Continuity 2011"/>
      <sheetName val="CCA Continuity 2012"/>
      <sheetName val="Reserves Continuity"/>
      <sheetName val="Corporation Loss Continuity"/>
      <sheetName val="Tax Adjustments 2011"/>
      <sheetName val="Tax Adjustments 2012"/>
      <sheetName val="2012 Rev Deficiency"/>
      <sheetName val="Capital Tax &amp; Expense Schedules"/>
      <sheetName val="Revenue Require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75">
          <cell r="P275">
            <v>287403.78500000003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53">
          <cell r="D53">
            <v>3725085.0806821873</v>
          </cell>
        </row>
        <row r="54">
          <cell r="D54">
            <v>-627805.125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2012 COP Forecast"/>
    </sheetNames>
    <sheetDataSet>
      <sheetData sheetId="0">
        <row r="25">
          <cell r="E25">
            <v>7.8770000000000007E-2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Exhibit 3 Tables"/>
      <sheetName val="Summary"/>
      <sheetName val="Purchased Power Model "/>
      <sheetName val="Rate Class Energy Model"/>
      <sheetName val="Rate Class Customer Model"/>
      <sheetName val="Rate Class Load Model"/>
      <sheetName val="Weather Analysis"/>
      <sheetName val="CDM Activity"/>
      <sheetName val="Loss Factor"/>
    </sheetNames>
    <sheetDataSet>
      <sheetData sheetId="0" refreshError="1"/>
      <sheetData sheetId="1" refreshError="1"/>
      <sheetData sheetId="2">
        <row r="12">
          <cell r="J12">
            <v>10023.425678689409</v>
          </cell>
        </row>
        <row r="13">
          <cell r="J13">
            <v>95979438.068175137</v>
          </cell>
        </row>
        <row r="16">
          <cell r="J16">
            <v>1214.4801246521154</v>
          </cell>
        </row>
        <row r="17">
          <cell r="J17">
            <v>32594961.595119234</v>
          </cell>
        </row>
        <row r="20">
          <cell r="J20">
            <v>93.462448747383306</v>
          </cell>
        </row>
        <row r="21">
          <cell r="J21">
            <v>66668106.413480408</v>
          </cell>
        </row>
        <row r="22">
          <cell r="J22">
            <v>214066.91291445112</v>
          </cell>
        </row>
        <row r="25">
          <cell r="J25">
            <v>2801.1936395745015</v>
          </cell>
        </row>
        <row r="26">
          <cell r="J26">
            <v>2225083.8466967554</v>
          </cell>
        </row>
        <row r="27">
          <cell r="J27">
            <v>6082.8591488972397</v>
          </cell>
        </row>
        <row r="30">
          <cell r="J30">
            <v>32.02858627679273</v>
          </cell>
        </row>
        <row r="31">
          <cell r="J31">
            <v>188991.4155690055</v>
          </cell>
        </row>
        <row r="34">
          <cell r="J34">
            <v>7</v>
          </cell>
        </row>
        <row r="35">
          <cell r="J35">
            <v>5564.2966477781893</v>
          </cell>
        </row>
        <row r="36">
          <cell r="J36">
            <v>15.091686685374189</v>
          </cell>
        </row>
        <row r="39">
          <cell r="J39">
            <v>4</v>
          </cell>
        </row>
        <row r="40">
          <cell r="J40">
            <v>42996782.152953438</v>
          </cell>
        </row>
        <row r="41">
          <cell r="J41">
            <v>96048.524183723959</v>
          </cell>
        </row>
        <row r="49">
          <cell r="J49">
            <v>14175.590477940201</v>
          </cell>
        </row>
        <row r="50">
          <cell r="J50">
            <v>240658927.78864178</v>
          </cell>
        </row>
        <row r="51">
          <cell r="J51">
            <v>316213.38793375768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I1 Intro"/>
      <sheetName val="I2 LDC class"/>
      <sheetName val="I3 TB Data"/>
      <sheetName val="I4 BO ASSETS"/>
      <sheetName val="I5.1 Misc Data"/>
      <sheetName val="I5.2 Weighting Factors"/>
      <sheetName val="I6.1 Revenue"/>
      <sheetName val="I6.2 Customer Data"/>
      <sheetName val="I7.1 Meter Capital"/>
      <sheetName val="I7.2 Meter Reading"/>
      <sheetName val="I8 Demand Data"/>
      <sheetName val="I9 Direct Allocation"/>
      <sheetName val="O1 Revenue to cost|RR"/>
      <sheetName val="O2 Fixed Charge|Floor|Ceiling"/>
      <sheetName val="O2.1 Line Tran PLCC Adj"/>
      <sheetName val="O2.2 Primary Cost PLCC Adj"/>
      <sheetName val="O2.3 Secondary Cost PLCC Adj"/>
      <sheetName val="O3.1 Line Tran Unit Cost"/>
      <sheetName val="O3.2 Substat Tran Unit Cost "/>
      <sheetName val="O3.3 Primary Cost Pool"/>
      <sheetName val="O3.4 Secondary Cost Pool"/>
      <sheetName val="O3.5 USL Metering Credit"/>
      <sheetName val="O3.6 MicroFIT Charge"/>
      <sheetName val="O4 Summary by Class &amp; Accounts"/>
      <sheetName val="O5 Details by Class &amp; Accounts"/>
      <sheetName val="O6 Source Data for E2"/>
      <sheetName val="O7 Amortization"/>
      <sheetName val="E1 Categorization"/>
      <sheetName val="E2 Allocators"/>
      <sheetName val="E3 PLCC"/>
      <sheetName val="E4 TB Allocation Details"/>
      <sheetName val="E5 Reconciliation"/>
      <sheetName val="Click here if complet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19">
          <cell r="F19">
            <v>74996.893121371366</v>
          </cell>
        </row>
        <row r="24">
          <cell r="D24">
            <v>433230.37743655441</v>
          </cell>
          <cell r="E24">
            <v>82016.576199767384</v>
          </cell>
          <cell r="J24">
            <v>18450.779499524469</v>
          </cell>
          <cell r="K24">
            <v>65.431459918364652</v>
          </cell>
          <cell r="L24">
            <v>574.96317779088724</v>
          </cell>
          <cell r="M24">
            <v>18470.104105073067</v>
          </cell>
        </row>
        <row r="40">
          <cell r="D40">
            <v>2496517.9829430152</v>
          </cell>
          <cell r="E40">
            <v>531270.72028161248</v>
          </cell>
          <cell r="F40">
            <v>421995.55514393054</v>
          </cell>
          <cell r="J40">
            <v>143316.97721926565</v>
          </cell>
          <cell r="K40">
            <v>470.04477245160507</v>
          </cell>
          <cell r="L40">
            <v>3839.3326841773132</v>
          </cell>
          <cell r="M40">
            <v>127674.46763773449</v>
          </cell>
        </row>
        <row r="75">
          <cell r="D75">
            <v>0.97967825075491033</v>
          </cell>
          <cell r="E75">
            <v>0.54566305171581209</v>
          </cell>
          <cell r="F75">
            <v>2.128454045896178</v>
          </cell>
          <cell r="J75">
            <v>0.13495967277797305</v>
          </cell>
          <cell r="K75">
            <v>0.23094317141501203</v>
          </cell>
          <cell r="L75">
            <v>0.76233652487946557</v>
          </cell>
          <cell r="M75">
            <v>0.53910803561338128</v>
          </cell>
        </row>
      </sheetData>
      <sheetData sheetId="14" refreshError="1">
        <row r="17">
          <cell r="D17">
            <v>14.516585930260378</v>
          </cell>
          <cell r="E17">
            <v>14.955584350171449</v>
          </cell>
          <cell r="F17">
            <v>132.66242436525329</v>
          </cell>
          <cell r="J17">
            <v>4.2371183212828036</v>
          </cell>
          <cell r="K17">
            <v>5.5613677483578847</v>
          </cell>
          <cell r="L17">
            <v>7.5046996130955392</v>
          </cell>
          <cell r="M17">
            <v>64.902036637454458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xhibit 8 Tables"/>
    </sheetNames>
    <sheetDataSet>
      <sheetData sheetId="0">
        <row r="75">
          <cell r="B75" t="str">
            <v>Residential</v>
          </cell>
        </row>
        <row r="76">
          <cell r="B76" t="str">
            <v>General Service &lt; 50 kW</v>
          </cell>
        </row>
        <row r="77">
          <cell r="B77" t="str">
            <v>General Service 50 to 4,999 kW</v>
          </cell>
        </row>
        <row r="78">
          <cell r="B78" t="str">
            <v>Street Lighting</v>
          </cell>
        </row>
        <row r="79">
          <cell r="B79" t="str">
            <v>Sentinel Lighting</v>
          </cell>
        </row>
        <row r="80">
          <cell r="B80" t="str">
            <v>Unmetered Scattered Load</v>
          </cell>
        </row>
        <row r="81">
          <cell r="B81" t="str">
            <v>Embedded Distributor - Hydro One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1. Info"/>
      <sheetName val="2. Table of Contents"/>
      <sheetName val="3. Rate Classes"/>
      <sheetName val="4. RRR Data"/>
      <sheetName val="5. UTRs and Sub-Transmission"/>
      <sheetName val="6. Historical Wholesale"/>
      <sheetName val="7. Current Wholesale"/>
      <sheetName val="8. Forecast Wholesale"/>
      <sheetName val="9. Adj Network to Current WS"/>
      <sheetName val="10. Adj Conn. to Current WS"/>
      <sheetName val="11. Adj Network to Forecast WS"/>
      <sheetName val="12. Adj Conn. to Forecast WS"/>
      <sheetName val="13. Final 2012 RTS Rates"/>
      <sheetName val="hidde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6">
          <cell r="F26">
            <v>5.7884719285249547E-3</v>
          </cell>
          <cell r="H26">
            <v>4.5937175038774482E-3</v>
          </cell>
        </row>
        <row r="27">
          <cell r="F27">
            <v>5.17915909394338E-3</v>
          </cell>
          <cell r="H27">
            <v>4.1853870590883432E-3</v>
          </cell>
        </row>
        <row r="28">
          <cell r="F28">
            <v>2.1566627780014813</v>
          </cell>
          <cell r="H28">
            <v>1.6581278536773647</v>
          </cell>
        </row>
        <row r="30">
          <cell r="F30">
            <v>5.1791590939433809E-3</v>
          </cell>
          <cell r="H30">
            <v>4.1853870590883432E-3</v>
          </cell>
        </row>
        <row r="31">
          <cell r="F31">
            <v>1.6348878873214605</v>
          </cell>
          <cell r="H31">
            <v>1.309617819049862</v>
          </cell>
        </row>
        <row r="32">
          <cell r="F32">
            <v>1.6265606119155118</v>
          </cell>
          <cell r="H32">
            <v>1.2826680096937813</v>
          </cell>
        </row>
      </sheetData>
      <sheetData sheetId="1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LRAM Analysis"/>
    </sheetNames>
    <sheetDataSet>
      <sheetData sheetId="0">
        <row r="170">
          <cell r="D170">
            <v>63866.43047430033</v>
          </cell>
        </row>
        <row r="171">
          <cell r="D171">
            <v>5210.1431992202406</v>
          </cell>
        </row>
        <row r="172">
          <cell r="D172">
            <v>11458.357988294072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Dec. 31, 2011 DAVAs"/>
      <sheetName val="Rate Riders Calculation"/>
    </sheetNames>
    <sheetDataSet>
      <sheetData sheetId="0" refreshError="1"/>
      <sheetData sheetId="1">
        <row r="44">
          <cell r="E44">
            <v>-7.5112705614378758E-3</v>
          </cell>
          <cell r="F44">
            <v>-8.3195212091899482E-3</v>
          </cell>
          <cell r="G44">
            <v>-2.9411742327753005</v>
          </cell>
          <cell r="H44">
            <v>-3.7533720185230974</v>
          </cell>
          <cell r="I44">
            <v>-5.7149353842971271E-3</v>
          </cell>
          <cell r="J44">
            <v>26.969825783448226</v>
          </cell>
          <cell r="K44">
            <v>-3.2779748917262803</v>
          </cell>
        </row>
        <row r="48">
          <cell r="E48">
            <v>-8.4843711424389999E-4</v>
          </cell>
          <cell r="F48">
            <v>-2.5805296268249095E-4</v>
          </cell>
          <cell r="G48">
            <v>-0.1555989985782972</v>
          </cell>
          <cell r="H48">
            <v>-2.1215208600945702E-2</v>
          </cell>
          <cell r="I48">
            <v>-5.0353209888338098E-4</v>
          </cell>
          <cell r="J48">
            <v>-0.11561472566499881</v>
          </cell>
          <cell r="K48">
            <v>-5.9283487724971868E-3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MDR"/>
    </sheetNames>
    <sheetDataSet>
      <sheetData sheetId="0">
        <row r="26">
          <cell r="F26">
            <v>-0.94395200676048363</v>
          </cell>
          <cell r="G26">
            <v>0.94926443265034022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tranded Meter"/>
    </sheetNames>
    <sheetDataSet>
      <sheetData sheetId="0">
        <row r="10">
          <cell r="F10">
            <v>1.4742751921547941</v>
          </cell>
          <cell r="G10">
            <v>5.9887322983164735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L25"/>
  <sheetViews>
    <sheetView view="pageBreakPreview" zoomScale="60" zoomScaleNormal="75" workbookViewId="0">
      <selection activeCell="B12" sqref="B12"/>
    </sheetView>
  </sheetViews>
  <sheetFormatPr defaultRowHeight="12.75"/>
  <cols>
    <col min="1" max="1" width="80.7109375" bestFit="1" customWidth="1"/>
    <col min="2" max="2" width="25.5703125" customWidth="1"/>
    <col min="4" max="10" width="9.42578125" customWidth="1"/>
  </cols>
  <sheetData>
    <row r="1" spans="1:12">
      <c r="A1" s="468" t="s">
        <v>266</v>
      </c>
      <c r="B1" s="468"/>
    </row>
    <row r="2" spans="1:12">
      <c r="A2" s="468" t="s">
        <v>265</v>
      </c>
      <c r="B2" s="468"/>
    </row>
    <row r="3" spans="1:12">
      <c r="A3" s="468"/>
      <c r="B3" s="468"/>
    </row>
    <row r="4" spans="1:12">
      <c r="A4" s="469"/>
      <c r="B4" s="469"/>
    </row>
    <row r="5" spans="1:12" ht="30.75" customHeight="1">
      <c r="A5" s="467" t="s">
        <v>40</v>
      </c>
      <c r="B5" s="467"/>
    </row>
    <row r="6" spans="1:12" ht="7.5" customHeight="1">
      <c r="A6" s="6"/>
    </row>
    <row r="7" spans="1:12" ht="18">
      <c r="A7" s="6"/>
      <c r="D7" s="56"/>
      <c r="E7" s="8"/>
      <c r="F7" s="8"/>
      <c r="G7" s="8"/>
      <c r="H7" s="8"/>
      <c r="I7" s="8"/>
      <c r="J7" s="8"/>
      <c r="K7" s="8"/>
      <c r="L7" s="8"/>
    </row>
    <row r="8" spans="1:12" ht="15.75">
      <c r="A8" s="5" t="s">
        <v>39</v>
      </c>
      <c r="B8" s="268">
        <f>'[1]Revenue Requirement'!$D$53</f>
        <v>3725085.0806821873</v>
      </c>
      <c r="E8" s="8"/>
      <c r="F8" s="8"/>
      <c r="G8" s="8"/>
      <c r="H8" s="8"/>
      <c r="I8" s="8"/>
      <c r="J8" s="8"/>
      <c r="K8" s="8"/>
      <c r="L8" s="8"/>
    </row>
    <row r="9" spans="1:12" ht="15.75">
      <c r="A9" s="5" t="s">
        <v>43</v>
      </c>
      <c r="B9" s="268">
        <f>-'[1]Revenue Requirement'!$D$54</f>
        <v>627805.125</v>
      </c>
      <c r="E9" s="8"/>
      <c r="F9" s="8"/>
      <c r="G9" s="8"/>
      <c r="H9" s="8"/>
      <c r="I9" s="8"/>
      <c r="J9" s="8"/>
      <c r="K9" s="8"/>
      <c r="L9" s="8"/>
    </row>
    <row r="10" spans="1:12" ht="15.75">
      <c r="A10" s="5" t="s">
        <v>182</v>
      </c>
      <c r="B10" s="47">
        <f>+B8-B9</f>
        <v>3097279.9556821873</v>
      </c>
      <c r="E10" s="8"/>
      <c r="F10" s="8"/>
      <c r="G10" s="8"/>
      <c r="H10" s="8"/>
      <c r="I10" s="8"/>
      <c r="J10" s="8"/>
      <c r="K10" s="8"/>
      <c r="L10" s="8"/>
    </row>
    <row r="11" spans="1:12">
      <c r="E11" s="8"/>
      <c r="F11" s="8"/>
      <c r="G11" s="8"/>
      <c r="H11" s="8"/>
      <c r="I11" s="8"/>
      <c r="J11" s="8"/>
      <c r="K11" s="8"/>
      <c r="L11" s="8"/>
    </row>
    <row r="12" spans="1:12" ht="15.75">
      <c r="A12" s="5" t="s">
        <v>181</v>
      </c>
      <c r="B12" s="268">
        <f>'[1]Trial Balance'!$P$275</f>
        <v>287403.78500000003</v>
      </c>
      <c r="E12" s="8"/>
      <c r="F12" s="8"/>
      <c r="G12" s="8"/>
      <c r="H12" s="8"/>
      <c r="I12" s="8"/>
      <c r="J12" s="8"/>
      <c r="K12" s="8"/>
      <c r="L12" s="8"/>
    </row>
    <row r="13" spans="1:12" ht="15.75">
      <c r="A13" s="5" t="s">
        <v>44</v>
      </c>
      <c r="B13" s="7">
        <f>-'Transformer Allowance'!C15</f>
        <v>88617.524155018124</v>
      </c>
    </row>
    <row r="14" spans="1:12" ht="16.5" thickBot="1">
      <c r="A14" s="5" t="s">
        <v>45</v>
      </c>
      <c r="B14" s="48">
        <f>+B10+B12+B13</f>
        <v>3473301.2648372054</v>
      </c>
    </row>
    <row r="15" spans="1:12" ht="13.5" thickTop="1"/>
    <row r="16" spans="1:12" s="16" customFormat="1" ht="15.75">
      <c r="A16" s="20"/>
      <c r="D16"/>
    </row>
    <row r="17" spans="1:4" s="16" customFormat="1" ht="15.75">
      <c r="A17" s="20"/>
      <c r="B17" s="21"/>
      <c r="D17"/>
    </row>
    <row r="18" spans="1:4" s="16" customFormat="1" ht="15.75">
      <c r="A18" s="20"/>
      <c r="B18" s="21"/>
    </row>
    <row r="19" spans="1:4" s="16" customFormat="1" ht="15.75">
      <c r="A19" s="20"/>
      <c r="B19" s="21"/>
    </row>
    <row r="20" spans="1:4" ht="15.75">
      <c r="A20" s="5"/>
      <c r="B20" s="7"/>
    </row>
    <row r="22" spans="1:4" ht="15.75">
      <c r="A22" s="5"/>
      <c r="B22" s="7"/>
    </row>
    <row r="23" spans="1:4" ht="15.75">
      <c r="A23" s="5"/>
      <c r="B23" s="7"/>
    </row>
    <row r="24" spans="1:4" ht="15.75">
      <c r="A24" s="5"/>
      <c r="B24" s="7"/>
    </row>
    <row r="25" spans="1:4">
      <c r="B25" s="8"/>
    </row>
  </sheetData>
  <mergeCells count="5">
    <mergeCell ref="A5:B5"/>
    <mergeCell ref="A1:B1"/>
    <mergeCell ref="A2:B2"/>
    <mergeCell ref="A3:B3"/>
    <mergeCell ref="A4:B4"/>
  </mergeCells>
  <phoneticPr fontId="0" type="noConversion"/>
  <pageMargins left="0.75" right="0.75" top="1" bottom="1" header="0.5" footer="0.5"/>
  <pageSetup scale="85" orientation="portrait" horizontalDpi="355" verticalDpi="355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O19"/>
  <sheetViews>
    <sheetView view="pageBreakPreview" zoomScale="60" zoomScaleNormal="100" workbookViewId="0">
      <selection activeCell="F11" sqref="F11"/>
    </sheetView>
  </sheetViews>
  <sheetFormatPr defaultRowHeight="12.75"/>
  <cols>
    <col min="1" max="1" width="27.7109375" customWidth="1"/>
    <col min="2" max="2" width="12.42578125" customWidth="1"/>
    <col min="3" max="3" width="11.5703125" hidden="1" customWidth="1"/>
    <col min="4" max="4" width="15.140625" customWidth="1"/>
    <col min="5" max="5" width="8.28515625" customWidth="1"/>
    <col min="6" max="6" width="11.7109375" customWidth="1"/>
    <col min="7" max="7" width="13.5703125" customWidth="1"/>
    <col min="8" max="8" width="12.42578125" customWidth="1"/>
    <col min="9" max="9" width="13.7109375" customWidth="1"/>
    <col min="10" max="10" width="13" customWidth="1"/>
    <col min="11" max="11" width="15" customWidth="1"/>
    <col min="12" max="12" width="13" customWidth="1"/>
    <col min="13" max="13" width="2.28515625" customWidth="1"/>
    <col min="14" max="14" width="22.28515625" customWidth="1"/>
  </cols>
  <sheetData>
    <row r="1" spans="1:15">
      <c r="A1" s="493" t="str">
        <f>+'Revenue Input'!A1</f>
        <v xml:space="preserve">E.L.K. Energy Inc., </v>
      </c>
      <c r="B1" s="493"/>
      <c r="C1" s="493"/>
      <c r="D1" s="493"/>
      <c r="E1" s="493"/>
      <c r="F1" s="493"/>
      <c r="G1" s="493"/>
      <c r="H1" s="493"/>
      <c r="I1" s="493"/>
      <c r="J1" s="493"/>
      <c r="K1" s="493"/>
      <c r="L1" s="493"/>
    </row>
    <row r="2" spans="1:15">
      <c r="A2" s="493" t="str">
        <f>+'Revenue Input'!A2</f>
        <v>ED-2003-0015 , EB-2011-099</v>
      </c>
      <c r="B2" s="493"/>
      <c r="C2" s="493"/>
      <c r="D2" s="493"/>
      <c r="E2" s="493"/>
      <c r="F2" s="493"/>
      <c r="G2" s="493"/>
      <c r="H2" s="493"/>
      <c r="I2" s="493"/>
      <c r="J2" s="493"/>
      <c r="K2" s="493"/>
      <c r="L2" s="493"/>
    </row>
    <row r="3" spans="1:15">
      <c r="A3" s="493">
        <f>+'Revenue Input'!A3</f>
        <v>0</v>
      </c>
      <c r="B3" s="493"/>
      <c r="C3" s="493"/>
      <c r="D3" s="493"/>
      <c r="E3" s="493"/>
      <c r="F3" s="493"/>
      <c r="G3" s="493"/>
      <c r="H3" s="493"/>
      <c r="I3" s="493"/>
      <c r="J3" s="493"/>
      <c r="K3" s="493"/>
      <c r="L3" s="493"/>
    </row>
    <row r="4" spans="1:15" ht="13.5" thickBot="1">
      <c r="A4" s="471"/>
      <c r="B4" s="471"/>
      <c r="C4" s="471"/>
      <c r="D4" s="471"/>
      <c r="E4" s="471"/>
      <c r="F4" s="471"/>
      <c r="G4" s="471"/>
      <c r="H4" s="471"/>
      <c r="I4" s="471"/>
      <c r="J4" s="471"/>
      <c r="K4" s="471"/>
      <c r="L4" s="471"/>
    </row>
    <row r="5" spans="1:15" ht="21" thickBot="1">
      <c r="A5" s="509" t="s">
        <v>274</v>
      </c>
      <c r="B5" s="509"/>
      <c r="C5" s="509"/>
      <c r="D5" s="509"/>
      <c r="E5" s="509"/>
      <c r="F5" s="509"/>
      <c r="G5" s="466"/>
      <c r="H5" s="466"/>
      <c r="I5" s="466"/>
      <c r="J5" s="466"/>
      <c r="K5" s="466"/>
      <c r="L5" s="466"/>
      <c r="N5" s="56" t="s">
        <v>165</v>
      </c>
      <c r="O5" s="119" t="str">
        <f>'Distribution Rate Schedule'!H5</f>
        <v>y</v>
      </c>
    </row>
    <row r="6" spans="1:15" ht="25.5">
      <c r="A6" s="506" t="s">
        <v>152</v>
      </c>
      <c r="B6" s="505" t="s">
        <v>252</v>
      </c>
      <c r="C6" s="505"/>
      <c r="D6" s="120" t="s">
        <v>251</v>
      </c>
      <c r="E6" s="120"/>
      <c r="F6" s="120" t="s">
        <v>153</v>
      </c>
      <c r="G6" s="464"/>
      <c r="H6" s="465"/>
      <c r="I6" s="120" t="s">
        <v>154</v>
      </c>
      <c r="J6" s="120" t="s">
        <v>155</v>
      </c>
      <c r="K6" s="120" t="s">
        <v>162</v>
      </c>
      <c r="L6" s="120" t="s">
        <v>163</v>
      </c>
    </row>
    <row r="7" spans="1:15">
      <c r="A7" s="507"/>
      <c r="B7" s="120" t="s">
        <v>156</v>
      </c>
      <c r="C7" s="120" t="s">
        <v>157</v>
      </c>
      <c r="D7" s="120"/>
      <c r="E7" s="120"/>
      <c r="F7" s="120" t="s">
        <v>156</v>
      </c>
      <c r="G7" s="120" t="s">
        <v>157</v>
      </c>
      <c r="H7" s="120" t="s">
        <v>41</v>
      </c>
      <c r="I7" s="120" t="s">
        <v>41</v>
      </c>
      <c r="J7" s="120" t="s">
        <v>41</v>
      </c>
      <c r="K7" s="120" t="s">
        <v>164</v>
      </c>
      <c r="L7" s="120" t="s">
        <v>41</v>
      </c>
    </row>
    <row r="8" spans="1:15" ht="24.75" customHeight="1">
      <c r="A8" s="508"/>
      <c r="B8" s="121" t="s">
        <v>158</v>
      </c>
      <c r="C8" s="121" t="s">
        <v>158</v>
      </c>
      <c r="D8" s="121"/>
      <c r="E8" s="121" t="s">
        <v>178</v>
      </c>
      <c r="F8" s="120" t="s">
        <v>159</v>
      </c>
      <c r="G8" s="120" t="s">
        <v>159</v>
      </c>
      <c r="H8" s="122" t="s">
        <v>159</v>
      </c>
      <c r="I8" s="122" t="s">
        <v>159</v>
      </c>
      <c r="J8" s="122" t="s">
        <v>159</v>
      </c>
      <c r="K8" s="123"/>
      <c r="L8" s="122" t="s">
        <v>159</v>
      </c>
    </row>
    <row r="9" spans="1:15" ht="20.100000000000001" customHeight="1">
      <c r="A9" s="271" t="str">
        <f>'Low Voltage Rates'!A7</f>
        <v>Residential</v>
      </c>
      <c r="B9" s="253">
        <f>'[6]LRAM Analysis'!$D$170</f>
        <v>63866.43047430033</v>
      </c>
      <c r="C9" s="252"/>
      <c r="D9" s="253">
        <f>'Low Voltage Rates'!C7</f>
        <v>95979438.068175137</v>
      </c>
      <c r="E9" s="254" t="str">
        <f>'Low Voltage Rates'!E7</f>
        <v>kWh</v>
      </c>
      <c r="F9" s="256">
        <f>B9/D9</f>
        <v>6.6541784115192856E-4</v>
      </c>
      <c r="G9" s="256">
        <f>C9/D9</f>
        <v>0</v>
      </c>
      <c r="H9" s="256">
        <f>F9+G9</f>
        <v>6.6541784115192856E-4</v>
      </c>
      <c r="I9" s="256">
        <f>H9/2</f>
        <v>3.3270892057596428E-4</v>
      </c>
      <c r="J9" s="256">
        <f>H9/3</f>
        <v>2.2180594705064284E-4</v>
      </c>
      <c r="K9" s="255"/>
      <c r="L9" s="267">
        <f>IF($O$5="Y", ROUND(IF($K$8=2, I9, IF($K$8=3, J9, H9)),4), IF($K$8=2, I9, IF($K$8=3, J9, 0)))</f>
        <v>6.9999999999999999E-4</v>
      </c>
    </row>
    <row r="10" spans="1:15" ht="20.100000000000001" customHeight="1">
      <c r="A10" s="271" t="str">
        <f>'Low Voltage Rates'!A8</f>
        <v>General Service &lt; 50 kW</v>
      </c>
      <c r="B10" s="253">
        <f>'[6]LRAM Analysis'!$D$171</f>
        <v>5210.1431992202406</v>
      </c>
      <c r="C10" s="252"/>
      <c r="D10" s="253">
        <f>'Low Voltage Rates'!C8</f>
        <v>32594961.595119234</v>
      </c>
      <c r="E10" s="254" t="str">
        <f>'Low Voltage Rates'!E8</f>
        <v>kWh</v>
      </c>
      <c r="F10" s="256">
        <f t="shared" ref="F10:F17" si="0">B10/D10</f>
        <v>1.5984504795368148E-4</v>
      </c>
      <c r="G10" s="256">
        <f t="shared" ref="G10:G17" si="1">C10/D10</f>
        <v>0</v>
      </c>
      <c r="H10" s="256">
        <f t="shared" ref="H10:H17" si="2">F10+G10</f>
        <v>1.5984504795368148E-4</v>
      </c>
      <c r="I10" s="256">
        <f t="shared" ref="I10:I17" si="3">H10/2</f>
        <v>7.9922523976840742E-5</v>
      </c>
      <c r="J10" s="256">
        <f t="shared" ref="J10:J17" si="4">H10/3</f>
        <v>5.3281682651227159E-5</v>
      </c>
      <c r="K10" s="255"/>
      <c r="L10" s="267">
        <f t="shared" ref="L10:L17" si="5">IF($O$5="Y", ROUND(IF($K$8=2, I10, IF($K$8=3, J10, H10)),4), IF($K$8=2, I10, IF($K$8=3, J10, 0)))</f>
        <v>2.0000000000000001E-4</v>
      </c>
      <c r="M10" s="56"/>
      <c r="N10" s="8"/>
      <c r="O10" s="8"/>
    </row>
    <row r="11" spans="1:15" ht="25.5">
      <c r="A11" s="271" t="str">
        <f>'Low Voltage Rates'!A9</f>
        <v>General Service 50 to 4,999 kW</v>
      </c>
      <c r="B11" s="253">
        <f>'[6]LRAM Analysis'!$D$172</f>
        <v>11458.357988294072</v>
      </c>
      <c r="C11" s="252"/>
      <c r="D11" s="253">
        <f>'Low Voltage Rates'!D9</f>
        <v>214066.91291445112</v>
      </c>
      <c r="E11" s="254" t="str">
        <f>'Low Voltage Rates'!E9</f>
        <v>kW</v>
      </c>
      <c r="F11" s="256">
        <f t="shared" si="0"/>
        <v>5.3526992248789262E-2</v>
      </c>
      <c r="G11" s="256">
        <f t="shared" si="1"/>
        <v>0</v>
      </c>
      <c r="H11" s="256">
        <f t="shared" si="2"/>
        <v>5.3526992248789262E-2</v>
      </c>
      <c r="I11" s="256">
        <f t="shared" si="3"/>
        <v>2.6763496124394631E-2</v>
      </c>
      <c r="J11" s="256">
        <f t="shared" si="4"/>
        <v>1.784233074959642E-2</v>
      </c>
      <c r="K11" s="255"/>
      <c r="L11" s="267">
        <f t="shared" si="5"/>
        <v>5.3499999999999999E-2</v>
      </c>
    </row>
    <row r="12" spans="1:15" ht="20.100000000000001" hidden="1" customHeight="1">
      <c r="A12" s="271"/>
      <c r="B12" s="253"/>
      <c r="C12" s="252"/>
      <c r="D12" s="253"/>
      <c r="E12" s="254"/>
      <c r="F12" s="256"/>
      <c r="G12" s="256"/>
      <c r="H12" s="256"/>
      <c r="I12" s="256"/>
      <c r="J12" s="256"/>
      <c r="K12" s="255"/>
      <c r="L12" s="267">
        <f t="shared" si="5"/>
        <v>0</v>
      </c>
    </row>
    <row r="13" spans="1:15" ht="20.100000000000001" hidden="1" customHeight="1">
      <c r="A13" s="271" t="str">
        <f>'Low Voltage Rates'!A11</f>
        <v>Sentinel Lighting</v>
      </c>
      <c r="B13" s="253"/>
      <c r="C13" s="252"/>
      <c r="D13" s="337">
        <f>'Low Voltage Rates'!D11</f>
        <v>15.091686685374189</v>
      </c>
      <c r="E13" s="254" t="str">
        <f>'Low Voltage Rates'!E11</f>
        <v>kW</v>
      </c>
      <c r="F13" s="256">
        <f t="shared" si="0"/>
        <v>0</v>
      </c>
      <c r="G13" s="256">
        <f t="shared" si="1"/>
        <v>0</v>
      </c>
      <c r="H13" s="256">
        <f t="shared" si="2"/>
        <v>0</v>
      </c>
      <c r="I13" s="256">
        <f t="shared" si="3"/>
        <v>0</v>
      </c>
      <c r="J13" s="256">
        <f t="shared" si="4"/>
        <v>0</v>
      </c>
      <c r="K13" s="338"/>
      <c r="L13" s="267">
        <f t="shared" si="5"/>
        <v>0</v>
      </c>
    </row>
    <row r="14" spans="1:15" ht="20.100000000000001" hidden="1" customHeight="1">
      <c r="A14" s="271" t="str">
        <f>'Low Voltage Rates'!A10</f>
        <v>Street Lighting</v>
      </c>
      <c r="B14" s="253"/>
      <c r="C14" s="252"/>
      <c r="D14" s="337">
        <f>'Low Voltage Rates'!D10</f>
        <v>6082.8591488972397</v>
      </c>
      <c r="E14" s="254" t="str">
        <f>'Low Voltage Rates'!E10</f>
        <v>kW</v>
      </c>
      <c r="F14" s="256">
        <f t="shared" si="0"/>
        <v>0</v>
      </c>
      <c r="G14" s="256">
        <f t="shared" si="1"/>
        <v>0</v>
      </c>
      <c r="H14" s="256">
        <f t="shared" si="2"/>
        <v>0</v>
      </c>
      <c r="I14" s="256">
        <f t="shared" si="3"/>
        <v>0</v>
      </c>
      <c r="J14" s="256">
        <f t="shared" si="4"/>
        <v>0</v>
      </c>
      <c r="K14" s="338"/>
      <c r="L14" s="267">
        <f t="shared" si="5"/>
        <v>0</v>
      </c>
    </row>
    <row r="15" spans="1:15" ht="25.5" hidden="1">
      <c r="A15" s="271" t="str">
        <f>'Allocation Low Voltage Costs'!A13</f>
        <v>Unmetered Scattered Load</v>
      </c>
      <c r="B15" s="253"/>
      <c r="C15" s="252"/>
      <c r="D15" s="337">
        <f>'Low Voltage Rates'!C12</f>
        <v>188991.4155690055</v>
      </c>
      <c r="E15" s="254" t="str">
        <f>'Low Voltage Rates'!E12</f>
        <v>kWh</v>
      </c>
      <c r="F15" s="256">
        <f t="shared" si="0"/>
        <v>0</v>
      </c>
      <c r="G15" s="256">
        <f t="shared" si="1"/>
        <v>0</v>
      </c>
      <c r="H15" s="256">
        <f t="shared" si="2"/>
        <v>0</v>
      </c>
      <c r="I15" s="256">
        <f t="shared" si="3"/>
        <v>0</v>
      </c>
      <c r="J15" s="256">
        <f t="shared" si="4"/>
        <v>0</v>
      </c>
      <c r="K15" s="338"/>
      <c r="L15" s="267">
        <f t="shared" si="5"/>
        <v>0</v>
      </c>
    </row>
    <row r="16" spans="1:15" ht="20.100000000000001" hidden="1" customHeight="1">
      <c r="A16" s="271"/>
      <c r="B16" s="337"/>
      <c r="C16" s="412"/>
      <c r="D16" s="337"/>
      <c r="E16" s="254"/>
      <c r="F16" s="256"/>
      <c r="G16" s="256"/>
      <c r="H16" s="256"/>
      <c r="I16" s="256"/>
      <c r="J16" s="256"/>
      <c r="K16" s="338"/>
      <c r="L16" s="267"/>
    </row>
    <row r="17" spans="1:12" ht="20.100000000000001" hidden="1" customHeight="1">
      <c r="A17" s="271" t="str">
        <f>'Low Voltage Rates'!A15</f>
        <v xml:space="preserve">Hydro One </v>
      </c>
      <c r="B17" s="337"/>
      <c r="C17" s="412"/>
      <c r="D17" s="337">
        <f>'Forecast Data For 2012'!C28</f>
        <v>96048.524183723959</v>
      </c>
      <c r="E17" s="254" t="str">
        <f>'Low Voltage Rates'!E13</f>
        <v>kW</v>
      </c>
      <c r="F17" s="256">
        <f t="shared" si="0"/>
        <v>0</v>
      </c>
      <c r="G17" s="256">
        <f t="shared" si="1"/>
        <v>0</v>
      </c>
      <c r="H17" s="256">
        <f t="shared" si="2"/>
        <v>0</v>
      </c>
      <c r="I17" s="256">
        <f t="shared" si="3"/>
        <v>0</v>
      </c>
      <c r="J17" s="256">
        <f t="shared" si="4"/>
        <v>0</v>
      </c>
      <c r="K17" s="338"/>
      <c r="L17" s="267">
        <f t="shared" si="5"/>
        <v>0</v>
      </c>
    </row>
    <row r="18" spans="1:12" ht="20.100000000000001" customHeight="1" thickBot="1">
      <c r="A18" s="257" t="s">
        <v>41</v>
      </c>
      <c r="B18" s="442">
        <f>SUM(B9:B12)</f>
        <v>80534.93166181464</v>
      </c>
      <c r="C18" s="258">
        <f>SUM(C9:C12)</f>
        <v>0</v>
      </c>
      <c r="D18" s="258"/>
      <c r="E18" s="259"/>
      <c r="F18" s="258"/>
      <c r="G18" s="258"/>
      <c r="H18" s="258"/>
      <c r="I18" s="258"/>
      <c r="J18" s="258"/>
      <c r="K18" s="258"/>
      <c r="L18" s="258"/>
    </row>
    <row r="19" spans="1:12" ht="13.5" thickTop="1"/>
  </sheetData>
  <mergeCells count="7">
    <mergeCell ref="B6:C6"/>
    <mergeCell ref="A1:L1"/>
    <mergeCell ref="A2:L2"/>
    <mergeCell ref="A3:L3"/>
    <mergeCell ref="A4:L4"/>
    <mergeCell ref="A6:A8"/>
    <mergeCell ref="A5:F5"/>
  </mergeCells>
  <phoneticPr fontId="0" type="noConversion"/>
  <pageMargins left="0.74803149606299213" right="0.74803149606299213" top="0.98425196850393704" bottom="0.98425196850393704" header="0.51181102362204722" footer="0.51181102362204722"/>
  <pageSetup scale="79" orientation="landscape" horizontalDpi="355" verticalDpi="355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A1:I15"/>
  <sheetViews>
    <sheetView view="pageBreakPreview" zoomScale="60" zoomScaleNormal="100" workbookViewId="0">
      <selection activeCell="C9" sqref="C9"/>
    </sheetView>
  </sheetViews>
  <sheetFormatPr defaultRowHeight="12.75"/>
  <cols>
    <col min="1" max="1" width="39.5703125" bestFit="1" customWidth="1"/>
    <col min="2" max="2" width="38.42578125" customWidth="1"/>
    <col min="3" max="3" width="35.5703125" customWidth="1"/>
    <col min="4" max="4" width="30.140625" customWidth="1"/>
    <col min="5" max="5" width="22" customWidth="1"/>
    <col min="6" max="6" width="22.28515625" customWidth="1"/>
    <col min="7" max="7" width="20.42578125" customWidth="1"/>
    <col min="8" max="9" width="10" customWidth="1"/>
  </cols>
  <sheetData>
    <row r="1" spans="1:9">
      <c r="A1" s="493" t="str">
        <f>+'Revenue Input'!A1</f>
        <v xml:space="preserve">E.L.K. Energy Inc., </v>
      </c>
      <c r="B1" s="493"/>
      <c r="C1" s="493"/>
      <c r="D1" s="493"/>
    </row>
    <row r="2" spans="1:9">
      <c r="A2" s="493" t="str">
        <f>+'Revenue Input'!A2</f>
        <v>ED-2003-0015 , EB-2011-099</v>
      </c>
      <c r="B2" s="493"/>
      <c r="C2" s="493"/>
      <c r="D2" s="493"/>
    </row>
    <row r="3" spans="1:9">
      <c r="A3" s="493">
        <f>+'Revenue Input'!A3</f>
        <v>0</v>
      </c>
      <c r="B3" s="493"/>
      <c r="C3" s="493"/>
      <c r="D3" s="493"/>
    </row>
    <row r="4" spans="1:9" ht="13.5" thickBot="1">
      <c r="A4" s="471"/>
      <c r="B4" s="471"/>
      <c r="C4" s="471"/>
      <c r="D4" s="471"/>
    </row>
    <row r="5" spans="1:9" ht="21" thickBot="1">
      <c r="A5" s="510" t="s">
        <v>253</v>
      </c>
      <c r="B5" s="510"/>
      <c r="C5" s="510"/>
      <c r="D5" s="510"/>
      <c r="E5" s="56" t="s">
        <v>165</v>
      </c>
      <c r="F5" s="119" t="str">
        <f>'Distribution Rate Schedule'!H5</f>
        <v>y</v>
      </c>
    </row>
    <row r="6" spans="1:9" ht="45.75" thickBot="1">
      <c r="A6" s="124" t="s">
        <v>0</v>
      </c>
      <c r="B6" s="124" t="s">
        <v>194</v>
      </c>
      <c r="C6" s="124" t="s">
        <v>195</v>
      </c>
      <c r="D6" s="124" t="s">
        <v>267</v>
      </c>
      <c r="E6" s="124" t="s">
        <v>268</v>
      </c>
      <c r="F6" s="124" t="s">
        <v>232</v>
      </c>
      <c r="G6" s="124" t="s">
        <v>234</v>
      </c>
    </row>
    <row r="7" spans="1:9" ht="16.5" thickBot="1">
      <c r="A7" s="414" t="str">
        <f>'Rates By Rate Class'!A8</f>
        <v>Residential</v>
      </c>
      <c r="B7" s="415">
        <f>'[7]Rate Riders Calculation'!$E$44+'[7]Rate Riders Calculation'!$E$48</f>
        <v>-8.3597076756817754E-3</v>
      </c>
      <c r="C7" s="415"/>
      <c r="D7" s="431">
        <f>[8]SMDR!$F$26</f>
        <v>-0.94395200676048363</v>
      </c>
      <c r="E7" s="431">
        <f>'[9]Stranded Meter'!$F$10</f>
        <v>1.4742751921547941</v>
      </c>
      <c r="F7" s="417"/>
      <c r="G7" s="417"/>
      <c r="H7" s="56"/>
      <c r="I7" s="56"/>
    </row>
    <row r="8" spans="1:9" ht="16.5" thickBot="1">
      <c r="A8" s="414" t="str">
        <f>'Rates By Rate Class'!A9</f>
        <v>GS &lt; 50 kW</v>
      </c>
      <c r="B8" s="415">
        <f>'[7]Rate Riders Calculation'!$F$44+'[7]Rate Riders Calculation'!$F$48</f>
        <v>-8.5775741718724392E-3</v>
      </c>
      <c r="C8" s="415"/>
      <c r="D8" s="431">
        <f>[8]SMDR!$G$26</f>
        <v>0.94926443265034022</v>
      </c>
      <c r="E8" s="431">
        <f>'[9]Stranded Meter'!$G$10</f>
        <v>5.9887322983164735</v>
      </c>
      <c r="F8" s="417"/>
      <c r="G8" s="417"/>
    </row>
    <row r="9" spans="1:9" ht="16.5" thickBot="1">
      <c r="A9" s="414" t="str">
        <f>'Rates By Rate Class'!A10</f>
        <v>GS &gt;50</v>
      </c>
      <c r="B9" s="415"/>
      <c r="C9" s="415">
        <f>'[7]Rate Riders Calculation'!$G$44+'[7]Rate Riders Calculation'!$G$48</f>
        <v>-3.0967732313535978</v>
      </c>
      <c r="D9" s="416"/>
      <c r="E9" s="416"/>
      <c r="F9" s="417"/>
      <c r="G9" s="417"/>
    </row>
    <row r="10" spans="1:9" ht="16.5" hidden="1" thickBot="1">
      <c r="A10" s="414" t="str">
        <f>'Rates By Rate Class'!A11</f>
        <v xml:space="preserve">   </v>
      </c>
      <c r="B10" s="415"/>
      <c r="C10" s="415"/>
      <c r="D10" s="416"/>
      <c r="E10" s="416"/>
      <c r="F10" s="417"/>
      <c r="G10" s="417"/>
    </row>
    <row r="11" spans="1:9" ht="16.5" thickBot="1">
      <c r="A11" s="414" t="str">
        <f>'Rates By Rate Class'!A12</f>
        <v>Sentinel Lights</v>
      </c>
      <c r="B11" s="415"/>
      <c r="C11" s="415">
        <f>+'[7]Rate Riders Calculation'!$J$44+'[7]Rate Riders Calculation'!$J$48</f>
        <v>26.854211057783228</v>
      </c>
      <c r="D11" s="416"/>
      <c r="E11" s="416"/>
      <c r="F11" s="417"/>
      <c r="G11" s="417"/>
    </row>
    <row r="12" spans="1:9" ht="16.5" thickBot="1">
      <c r="A12" s="414" t="str">
        <f>'Rates By Rate Class'!A13</f>
        <v>Street Lighting</v>
      </c>
      <c r="B12" s="415"/>
      <c r="C12" s="415">
        <f>'[7]Rate Riders Calculation'!$K$44+'[7]Rate Riders Calculation'!$K$48</f>
        <v>-3.2839032404987774</v>
      </c>
      <c r="D12" s="416"/>
      <c r="E12" s="416"/>
      <c r="F12" s="417"/>
      <c r="G12" s="417"/>
    </row>
    <row r="13" spans="1:9" ht="16.5" thickBot="1">
      <c r="A13" s="414" t="str">
        <f>'Rates By Rate Class'!A14</f>
        <v>USL</v>
      </c>
      <c r="B13" s="415">
        <f>+'[7]Rate Riders Calculation'!$I$44+'[7]Rate Riders Calculation'!$I$48</f>
        <v>-6.2184674831805078E-3</v>
      </c>
      <c r="C13" s="415"/>
      <c r="D13" s="416"/>
      <c r="E13" s="416"/>
      <c r="F13" s="417"/>
      <c r="G13" s="417"/>
    </row>
    <row r="14" spans="1:9" ht="16.5" hidden="1" thickBot="1">
      <c r="A14" s="414" t="str">
        <f>'Rates By Rate Class'!A15</f>
        <v xml:space="preserve">   </v>
      </c>
      <c r="B14" s="415"/>
      <c r="C14" s="415"/>
      <c r="D14" s="416"/>
      <c r="E14" s="416"/>
      <c r="F14" s="417"/>
      <c r="G14" s="417"/>
    </row>
    <row r="15" spans="1:9" ht="15.75">
      <c r="A15" s="414" t="str">
        <f>'Rates By Rate Class'!A16</f>
        <v xml:space="preserve">Hydro One </v>
      </c>
      <c r="B15" s="415"/>
      <c r="C15" s="415">
        <f>'[7]Rate Riders Calculation'!$H$44+'[7]Rate Riders Calculation'!$H$48</f>
        <v>-3.774587227124043</v>
      </c>
      <c r="D15" s="416"/>
      <c r="E15" s="416"/>
      <c r="F15" s="417"/>
      <c r="G15" s="417"/>
    </row>
  </sheetData>
  <mergeCells count="5">
    <mergeCell ref="A5:D5"/>
    <mergeCell ref="A1:D1"/>
    <mergeCell ref="A2:D2"/>
    <mergeCell ref="A3:D3"/>
    <mergeCell ref="A4:D4"/>
  </mergeCells>
  <phoneticPr fontId="0" type="noConversion"/>
  <pageMargins left="0.75" right="0.75" top="1" bottom="1" header="0.5" footer="0.5"/>
  <pageSetup scale="59" orientation="landscape" horizontalDpi="355" verticalDpi="355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>
    <pageSetUpPr fitToPage="1"/>
  </sheetPr>
  <dimension ref="A1:M45"/>
  <sheetViews>
    <sheetView view="pageBreakPreview" zoomScale="60" zoomScaleNormal="100" workbookViewId="0">
      <selection activeCell="H6" sqref="H6"/>
    </sheetView>
  </sheetViews>
  <sheetFormatPr defaultRowHeight="12.75"/>
  <cols>
    <col min="1" max="1" width="32.7109375" bestFit="1" customWidth="1"/>
    <col min="2" max="2" width="13.42578125" customWidth="1"/>
    <col min="3" max="3" width="13.5703125" customWidth="1"/>
    <col min="4" max="4" width="12.42578125" customWidth="1"/>
    <col min="5" max="5" width="14" customWidth="1"/>
    <col min="6" max="6" width="2.7109375" customWidth="1"/>
    <col min="7" max="7" width="19" style="1" bestFit="1" customWidth="1"/>
    <col min="8" max="8" width="13.85546875" style="1" bestFit="1" customWidth="1"/>
    <col min="9" max="9" width="10.28515625" style="1" bestFit="1" customWidth="1"/>
    <col min="10" max="11" width="14" style="1" bestFit="1" customWidth="1"/>
    <col min="12" max="12" width="13.7109375" style="1" customWidth="1"/>
  </cols>
  <sheetData>
    <row r="1" spans="1:12">
      <c r="A1" s="493" t="str">
        <f>+'Revenue Input'!A1</f>
        <v xml:space="preserve">E.L.K. Energy Inc., </v>
      </c>
      <c r="B1" s="493"/>
      <c r="C1" s="493"/>
      <c r="D1" s="493"/>
      <c r="E1" s="493"/>
    </row>
    <row r="2" spans="1:12">
      <c r="A2" s="493" t="str">
        <f>+'Revenue Input'!A2</f>
        <v>ED-2003-0015 , EB-2011-099</v>
      </c>
      <c r="B2" s="493"/>
      <c r="C2" s="493"/>
      <c r="D2" s="493"/>
      <c r="E2" s="493"/>
    </row>
    <row r="3" spans="1:12">
      <c r="A3" s="493">
        <f>+'Revenue Input'!A3</f>
        <v>0</v>
      </c>
      <c r="B3" s="493"/>
      <c r="C3" s="493"/>
      <c r="D3" s="493"/>
      <c r="E3" s="493"/>
    </row>
    <row r="4" spans="1:12" ht="13.5" thickBot="1">
      <c r="A4" s="471"/>
      <c r="B4" s="471"/>
      <c r="C4" s="471"/>
      <c r="D4" s="471"/>
      <c r="E4" s="471"/>
    </row>
    <row r="5" spans="1:12" ht="21" thickBot="1">
      <c r="A5" s="512" t="s">
        <v>256</v>
      </c>
      <c r="B5" s="512"/>
      <c r="C5" s="512"/>
      <c r="D5" s="512"/>
      <c r="E5" s="512"/>
      <c r="G5" s="61" t="s">
        <v>145</v>
      </c>
      <c r="H5" s="269" t="s">
        <v>218</v>
      </c>
    </row>
    <row r="6" spans="1:12" ht="15.75">
      <c r="A6" s="511"/>
      <c r="B6" s="511"/>
      <c r="C6" s="511"/>
      <c r="D6" s="511"/>
      <c r="E6" s="511"/>
      <c r="H6" s="560" t="s">
        <v>277</v>
      </c>
    </row>
    <row r="7" spans="1:12">
      <c r="A7" s="513"/>
      <c r="B7" s="513"/>
      <c r="C7" s="513"/>
      <c r="D7" s="513"/>
      <c r="E7" s="513"/>
      <c r="F7" s="57"/>
      <c r="G7" s="57"/>
      <c r="H7" s="57"/>
      <c r="I7" s="57"/>
      <c r="J7" s="57"/>
      <c r="K7" s="57"/>
    </row>
    <row r="8" spans="1:12" ht="15.75">
      <c r="A8" s="511"/>
      <c r="B8" s="511"/>
      <c r="C8" s="511"/>
      <c r="D8" s="511"/>
      <c r="E8" s="511"/>
    </row>
    <row r="9" spans="1:12" s="8" customFormat="1" ht="18">
      <c r="A9" s="478" t="s">
        <v>257</v>
      </c>
      <c r="B9" s="478"/>
      <c r="C9" s="478"/>
      <c r="D9" s="478"/>
      <c r="E9" s="478"/>
      <c r="G9" s="18"/>
      <c r="H9" s="18"/>
      <c r="I9" s="18"/>
      <c r="J9" s="18"/>
      <c r="K9" s="18"/>
      <c r="L9" s="18"/>
    </row>
    <row r="10" spans="1:12" s="8" customFormat="1">
      <c r="A10" s="86" t="s">
        <v>0</v>
      </c>
      <c r="B10" s="85" t="s">
        <v>25</v>
      </c>
      <c r="C10" s="85" t="s">
        <v>26</v>
      </c>
      <c r="D10" s="85" t="s">
        <v>17</v>
      </c>
      <c r="E10" s="85" t="s">
        <v>16</v>
      </c>
      <c r="G10" s="19"/>
      <c r="H10" s="19"/>
      <c r="I10" s="19"/>
      <c r="J10" s="19"/>
      <c r="K10" s="19"/>
      <c r="L10" s="19"/>
    </row>
    <row r="11" spans="1:12" s="8" customFormat="1" ht="18" customHeight="1">
      <c r="A11" s="104" t="str">
        <f>'Rates By Rate Class'!A8</f>
        <v>Residential</v>
      </c>
      <c r="B11" s="290">
        <v>0</v>
      </c>
      <c r="C11" s="290">
        <f>IF(+$H$5="Y",+ROUND(+'Rates By Rate Class'!D8,2),+'Rates By Rate Class'!D8)</f>
        <v>11.07</v>
      </c>
      <c r="D11" s="117">
        <v>0</v>
      </c>
      <c r="E11" s="117">
        <f>IF(+$H$5="Y",ROUND(+'Rates By Rate Class'!E8,4),+'Rates By Rate Class'!E8)</f>
        <v>7.9000000000000008E-3</v>
      </c>
      <c r="G11" s="59"/>
      <c r="H11" s="59"/>
      <c r="I11" s="18"/>
      <c r="J11" s="18"/>
      <c r="K11" s="18"/>
      <c r="L11" s="18"/>
    </row>
    <row r="12" spans="1:12" s="8" customFormat="1" ht="18" customHeight="1">
      <c r="A12" s="104" t="str">
        <f>'Rates By Rate Class'!A9</f>
        <v>GS &lt; 50 kW</v>
      </c>
      <c r="B12" s="290">
        <v>0</v>
      </c>
      <c r="C12" s="290">
        <f>IF(+$H$5="Y",+ROUND(+'Rates By Rate Class'!D9,2),+'Rates By Rate Class'!D9)</f>
        <v>14.96</v>
      </c>
      <c r="D12" s="117">
        <v>0</v>
      </c>
      <c r="E12" s="117">
        <f>IF(+$H$5="Y",ROUND(+'Rates By Rate Class'!E9,4),+'Rates By Rate Class'!E9)</f>
        <v>4.7000000000000002E-3</v>
      </c>
      <c r="G12" s="59"/>
      <c r="H12" s="59"/>
      <c r="I12" s="18"/>
      <c r="J12" s="18"/>
      <c r="K12" s="18"/>
      <c r="L12" s="18"/>
    </row>
    <row r="13" spans="1:12" s="8" customFormat="1" ht="18" customHeight="1">
      <c r="A13" s="104" t="str">
        <f>'Rates By Rate Class'!A10</f>
        <v>GS &gt;50</v>
      </c>
      <c r="B13" s="290">
        <v>0</v>
      </c>
      <c r="C13" s="290">
        <f>IF(+$H$5="Y",+ROUND(+'Rates By Rate Class'!D10,2),+'Rates By Rate Class'!D10)</f>
        <v>177.32</v>
      </c>
      <c r="D13" s="117">
        <f>IF(+$H$5="Y",ROUND(+'Rates By Rate Class'!E10,4),+'Rates By Rate Class'!E10)</f>
        <v>1.5002</v>
      </c>
      <c r="E13" s="117">
        <v>0</v>
      </c>
      <c r="G13" s="59"/>
      <c r="H13" s="59"/>
      <c r="I13" s="18"/>
      <c r="J13" s="18"/>
      <c r="K13" s="18"/>
      <c r="L13" s="18"/>
    </row>
    <row r="14" spans="1:12" s="8" customFormat="1" ht="18" customHeight="1">
      <c r="A14" s="104" t="str">
        <f>'Rates By Rate Class'!A11</f>
        <v xml:space="preserve">   </v>
      </c>
      <c r="B14" s="290">
        <v>0</v>
      </c>
      <c r="C14" s="290">
        <f>IF(+$H$5="Y",+ROUND(+'Rates By Rate Class'!D11,2),+'Rates By Rate Class'!D11)</f>
        <v>0</v>
      </c>
      <c r="D14" s="117" t="e">
        <f>IF(+$H$5="Y",ROUND(+'Rates By Rate Class'!E11,4),+'Rates By Rate Class'!E11)</f>
        <v>#DIV/0!</v>
      </c>
      <c r="E14" s="117">
        <v>0</v>
      </c>
      <c r="G14" s="59"/>
      <c r="H14" s="59"/>
      <c r="I14" s="18"/>
      <c r="J14" s="18"/>
      <c r="K14" s="18"/>
      <c r="L14" s="18"/>
    </row>
    <row r="15" spans="1:12" s="8" customFormat="1" ht="18" customHeight="1">
      <c r="A15" s="104" t="str">
        <f>'Rates By Rate Class'!A12</f>
        <v>Sentinel Lights</v>
      </c>
      <c r="B15" s="290">
        <f>IF(+$H$5="Y",+ROUND(+'Rates By Rate Class'!D12,4),+'Rates By Rate Class'!D12)</f>
        <v>2.9744000000000002</v>
      </c>
      <c r="C15" s="290">
        <v>0</v>
      </c>
      <c r="D15" s="117">
        <f>IF(+$H$5="Y",ROUND(+'Rates By Rate Class'!E12,4),+'Rates By Rate Class'!E12)</f>
        <v>5.5830000000000002</v>
      </c>
      <c r="E15" s="117">
        <v>0</v>
      </c>
      <c r="G15" s="59"/>
      <c r="H15" s="59"/>
      <c r="I15" s="18"/>
      <c r="J15" s="18"/>
      <c r="K15" s="18"/>
      <c r="L15" s="18"/>
    </row>
    <row r="16" spans="1:12" s="8" customFormat="1" ht="18" customHeight="1">
      <c r="A16" s="104" t="str">
        <f>'Rates By Rate Class'!A13</f>
        <v>Street Lighting</v>
      </c>
      <c r="B16" s="290">
        <f>IF(+$H$5="Y",+ROUND(+'Rates By Rate Class'!D13,4),+'Rates By Rate Class'!D13)</f>
        <v>1.1132</v>
      </c>
      <c r="C16" s="290">
        <v>0</v>
      </c>
      <c r="D16" s="117">
        <f>IF(+$H$5="Y",ROUND(+'Rates By Rate Class'!E13,4),+'Rates By Rate Class'!E13)</f>
        <v>10.8421</v>
      </c>
      <c r="E16" s="117">
        <v>0</v>
      </c>
      <c r="G16" s="59"/>
      <c r="H16" s="59"/>
      <c r="I16" s="18"/>
      <c r="J16" s="18"/>
      <c r="K16" s="18"/>
      <c r="L16" s="18"/>
    </row>
    <row r="17" spans="1:12" s="8" customFormat="1" ht="18" customHeight="1">
      <c r="A17" s="104" t="str">
        <f>'Rates By Rate Class'!A14</f>
        <v>USL</v>
      </c>
      <c r="B17" s="290">
        <f>IF(+$H$5="Y",+ROUND(+'Rates By Rate Class'!D14,4),+'Rates By Rate Class'!D14)</f>
        <v>6.0778999999999996</v>
      </c>
      <c r="C17" s="290">
        <v>0</v>
      </c>
      <c r="D17" s="117">
        <v>0</v>
      </c>
      <c r="E17" s="117">
        <f>IF(+$H$5="Y",ROUND(+'Rates By Rate Class'!E14,4),+'Rates By Rate Class'!E14)</f>
        <v>1.9E-3</v>
      </c>
      <c r="G17" s="59"/>
      <c r="H17" s="59"/>
      <c r="I17" s="18"/>
      <c r="J17" s="18"/>
      <c r="K17" s="18"/>
      <c r="L17" s="18"/>
    </row>
    <row r="18" spans="1:12" s="8" customFormat="1" ht="18" customHeight="1">
      <c r="A18" s="104" t="str">
        <f>'Rates By Rate Class'!A15</f>
        <v xml:space="preserve">   </v>
      </c>
      <c r="B18" s="290">
        <f>IF(+$H$5="Y",+ROUND(+'Rates By Rate Class'!D15,4),+'Rates By Rate Class'!D15)</f>
        <v>0</v>
      </c>
      <c r="C18" s="290">
        <v>0</v>
      </c>
      <c r="D18" s="117" t="e">
        <f>IF(+$H$5="Y",ROUND(+'Rates By Rate Class'!E15,4),+'Rates By Rate Class'!E15)</f>
        <v>#DIV/0!</v>
      </c>
      <c r="E18" s="117">
        <v>0</v>
      </c>
      <c r="G18" s="59"/>
      <c r="H18" s="59"/>
      <c r="I18" s="18"/>
      <c r="J18" s="18"/>
      <c r="K18" s="18"/>
      <c r="L18" s="18"/>
    </row>
    <row r="19" spans="1:12" s="8" customFormat="1" ht="18" customHeight="1">
      <c r="A19" s="104" t="str">
        <f>'Rates By Rate Class'!A16</f>
        <v xml:space="preserve">Hydro One </v>
      </c>
      <c r="B19" s="290">
        <v>0</v>
      </c>
      <c r="C19" s="290">
        <f>IF(+$H$5="Y",+ROUND(+'Rates By Rate Class'!D16,2),+'Rates By Rate Class'!D16)</f>
        <v>1753.29</v>
      </c>
      <c r="D19" s="117">
        <f>IF(+$H$5="Y",ROUND(+'Rates By Rate Class'!E16,4),+'Rates By Rate Class'!E16)</f>
        <v>0.26079999999999998</v>
      </c>
      <c r="E19" s="117">
        <v>0</v>
      </c>
      <c r="G19" s="59"/>
      <c r="H19" s="59"/>
      <c r="I19" s="18"/>
      <c r="J19" s="18"/>
      <c r="K19" s="18"/>
      <c r="L19" s="18"/>
    </row>
    <row r="20" spans="1:12" ht="18.75" customHeight="1">
      <c r="A20" s="511"/>
      <c r="B20" s="511"/>
      <c r="C20" s="511"/>
      <c r="D20" s="511"/>
      <c r="E20" s="511"/>
      <c r="G20" s="18"/>
      <c r="H20" s="18"/>
      <c r="I20" s="18"/>
      <c r="J20" s="18"/>
      <c r="K20" s="18"/>
      <c r="L20" s="18"/>
    </row>
    <row r="21" spans="1:12" s="8" customFormat="1" ht="18">
      <c r="A21" s="478" t="s">
        <v>254</v>
      </c>
      <c r="B21" s="478"/>
      <c r="C21" s="478"/>
      <c r="D21" s="478"/>
      <c r="E21" s="478"/>
      <c r="G21" s="18"/>
      <c r="H21" s="18"/>
      <c r="I21" s="18"/>
      <c r="J21" s="18"/>
      <c r="K21" s="18"/>
      <c r="L21" s="18"/>
    </row>
    <row r="22" spans="1:12" s="8" customFormat="1">
      <c r="A22" s="86" t="s">
        <v>0</v>
      </c>
      <c r="B22" s="85" t="s">
        <v>25</v>
      </c>
      <c r="C22" s="85" t="s">
        <v>26</v>
      </c>
      <c r="D22" s="85" t="s">
        <v>17</v>
      </c>
      <c r="E22" s="85" t="s">
        <v>16</v>
      </c>
      <c r="G22" s="18"/>
      <c r="H22" s="18"/>
      <c r="I22" s="18"/>
      <c r="J22" s="18"/>
      <c r="K22" s="18"/>
      <c r="L22" s="18"/>
    </row>
    <row r="23" spans="1:12" s="8" customFormat="1" ht="18" customHeight="1">
      <c r="A23" s="104" t="str">
        <f t="shared" ref="A23:A31" si="0">A11</f>
        <v>Residential</v>
      </c>
      <c r="B23" s="117"/>
      <c r="C23" s="117"/>
      <c r="D23" s="117"/>
      <c r="E23" s="117">
        <f>IF(+$H$5="Y",+ROUND(+'Low Voltage Rates'!F7,4),+'Low Voltage Rates'!F7)</f>
        <v>1.1999999999999999E-3</v>
      </c>
      <c r="G23" s="59"/>
      <c r="H23" s="59"/>
      <c r="I23" s="18"/>
      <c r="J23" s="18"/>
      <c r="K23" s="18"/>
      <c r="L23" s="18"/>
    </row>
    <row r="24" spans="1:12" s="8" customFormat="1" ht="18" customHeight="1">
      <c r="A24" s="104" t="str">
        <f t="shared" si="0"/>
        <v>GS &lt; 50 kW</v>
      </c>
      <c r="B24" s="117"/>
      <c r="C24" s="117"/>
      <c r="D24" s="117"/>
      <c r="E24" s="117">
        <f>IF(+$H$5="Y",+ROUND(+'Low Voltage Rates'!F8,4),+'Low Voltage Rates'!F8)</f>
        <v>1.1000000000000001E-3</v>
      </c>
      <c r="G24" s="59"/>
      <c r="H24" s="59"/>
      <c r="I24" s="18"/>
      <c r="J24" s="18"/>
      <c r="K24" s="18"/>
      <c r="L24" s="18"/>
    </row>
    <row r="25" spans="1:12" s="8" customFormat="1" ht="18" customHeight="1">
      <c r="A25" s="104" t="str">
        <f t="shared" si="0"/>
        <v>GS &gt;50</v>
      </c>
      <c r="B25" s="117"/>
      <c r="C25" s="117"/>
      <c r="D25" s="117">
        <f>IF(+$H$5="Y",+ROUND(+'Low Voltage Rates'!G9,4),+'Low Voltage Rates'!G9)</f>
        <v>0.43319999999999997</v>
      </c>
      <c r="E25" s="117"/>
      <c r="G25" s="59"/>
      <c r="H25" s="59"/>
      <c r="I25" s="18"/>
      <c r="J25" s="18"/>
      <c r="K25" s="18"/>
      <c r="L25" s="18"/>
    </row>
    <row r="26" spans="1:12" s="8" customFormat="1" ht="18" customHeight="1">
      <c r="A26" s="104" t="str">
        <f t="shared" si="0"/>
        <v xml:space="preserve">   </v>
      </c>
      <c r="B26" s="117"/>
      <c r="C26" s="117"/>
      <c r="D26" s="117" t="e">
        <f>IF(+$H$5="Y",+ROUND(+'Low Voltage Rates'!#REF!,4),+'Low Voltage Rates'!#REF!)</f>
        <v>#REF!</v>
      </c>
      <c r="E26" s="117"/>
      <c r="G26" s="59"/>
      <c r="H26" s="59"/>
      <c r="I26" s="18"/>
      <c r="J26" s="18"/>
      <c r="K26" s="18"/>
      <c r="L26" s="18"/>
    </row>
    <row r="27" spans="1:12" s="8" customFormat="1" ht="18" customHeight="1">
      <c r="A27" s="104" t="str">
        <f t="shared" si="0"/>
        <v>Sentinel Lights</v>
      </c>
      <c r="B27" s="117"/>
      <c r="C27" s="117"/>
      <c r="D27" s="117">
        <f>IF(+$H$5="Y",+ROUND(+'Low Voltage Rates'!G11,4),+'Low Voltage Rates'!G11)</f>
        <v>0.34210000000000002</v>
      </c>
      <c r="E27" s="117"/>
      <c r="G27" s="59"/>
      <c r="H27" s="59"/>
      <c r="I27" s="18"/>
      <c r="J27" s="18"/>
      <c r="K27" s="18"/>
      <c r="L27" s="18"/>
    </row>
    <row r="28" spans="1:12" s="8" customFormat="1" ht="18" customHeight="1">
      <c r="A28" s="104" t="str">
        <f t="shared" si="0"/>
        <v>Street Lighting</v>
      </c>
      <c r="B28" s="117"/>
      <c r="C28" s="117"/>
      <c r="D28" s="117">
        <f>IF(+$H$5="Y",+ROUND(+'Low Voltage Rates'!G10,4),+'Low Voltage Rates'!G10)</f>
        <v>0.33510000000000001</v>
      </c>
      <c r="E28" s="117"/>
      <c r="G28" s="59"/>
      <c r="H28" s="59"/>
      <c r="I28" s="18"/>
      <c r="J28" s="18"/>
      <c r="K28" s="18"/>
      <c r="L28" s="18"/>
    </row>
    <row r="29" spans="1:12" s="8" customFormat="1" ht="18" customHeight="1">
      <c r="A29" s="104" t="str">
        <f t="shared" si="0"/>
        <v>USL</v>
      </c>
      <c r="B29" s="117"/>
      <c r="C29" s="117"/>
      <c r="D29" s="117"/>
      <c r="E29" s="117">
        <f>IF(+$H$5="Y",+ROUND(+'Low Voltage Rates'!F12,4),+'Low Voltage Rates'!F12)</f>
        <v>1.1000000000000001E-3</v>
      </c>
      <c r="G29" s="59"/>
      <c r="H29" s="59"/>
      <c r="I29" s="18"/>
      <c r="J29" s="18"/>
      <c r="K29" s="18"/>
      <c r="L29" s="18"/>
    </row>
    <row r="30" spans="1:12" s="8" customFormat="1" ht="18" customHeight="1">
      <c r="A30" s="104" t="str">
        <f t="shared" si="0"/>
        <v xml:space="preserve">   </v>
      </c>
      <c r="B30" s="117"/>
      <c r="C30" s="117"/>
      <c r="D30" s="117"/>
      <c r="E30" s="117">
        <f>IF(+$H$5="Y",+ROUND(+'Low Voltage Rates'!F16,4),+'Low Voltage Rates'!F16)</f>
        <v>0</v>
      </c>
      <c r="G30" s="59"/>
      <c r="H30" s="59"/>
      <c r="I30" s="18"/>
      <c r="J30" s="18"/>
      <c r="K30" s="18"/>
      <c r="L30" s="18"/>
    </row>
    <row r="31" spans="1:12" s="8" customFormat="1" ht="18" customHeight="1">
      <c r="A31" s="104" t="str">
        <f t="shared" si="0"/>
        <v xml:space="preserve">Hydro One </v>
      </c>
      <c r="B31" s="117"/>
      <c r="C31" s="117"/>
      <c r="D31" s="117">
        <f>IF(+$H$5="Y",+ROUND(+'Low Voltage Rates'!G13,4),+'Low Voltage Rates'!G13)</f>
        <v>0.43319999999999997</v>
      </c>
      <c r="E31" s="117"/>
      <c r="G31" s="59"/>
      <c r="H31" s="59"/>
      <c r="I31" s="18"/>
      <c r="J31" s="18"/>
      <c r="K31" s="18"/>
      <c r="L31" s="18"/>
    </row>
    <row r="32" spans="1:12" s="8" customFormat="1" ht="15.75">
      <c r="A32" s="511"/>
      <c r="B32" s="511"/>
      <c r="C32" s="511"/>
      <c r="D32" s="511"/>
      <c r="E32" s="511"/>
      <c r="G32" s="18"/>
      <c r="H32" s="18"/>
      <c r="I32" s="18"/>
      <c r="J32" s="18"/>
      <c r="K32" s="18"/>
      <c r="L32" s="18"/>
    </row>
    <row r="33" spans="1:13" s="8" customFormat="1" ht="18">
      <c r="A33" s="478" t="s">
        <v>255</v>
      </c>
      <c r="B33" s="478"/>
      <c r="C33" s="478"/>
      <c r="D33" s="478"/>
      <c r="E33" s="478"/>
      <c r="G33" s="18"/>
      <c r="H33" s="18"/>
      <c r="I33" s="18"/>
      <c r="J33" s="18"/>
      <c r="K33" s="18"/>
      <c r="L33" s="18"/>
    </row>
    <row r="34" spans="1:13" s="8" customFormat="1">
      <c r="A34" s="86" t="s">
        <v>0</v>
      </c>
      <c r="B34" s="85" t="s">
        <v>25</v>
      </c>
      <c r="C34" s="85" t="s">
        <v>26</v>
      </c>
      <c r="D34" s="85" t="s">
        <v>17</v>
      </c>
      <c r="E34" s="85" t="s">
        <v>16</v>
      </c>
      <c r="G34" s="19"/>
      <c r="H34" s="19"/>
      <c r="I34" s="19"/>
      <c r="J34" s="19"/>
      <c r="K34" s="19"/>
      <c r="L34" s="19"/>
    </row>
    <row r="35" spans="1:13" s="8" customFormat="1" ht="18" customHeight="1">
      <c r="A35" s="104" t="str">
        <f t="shared" ref="A35:A43" si="1">A23</f>
        <v>Residential</v>
      </c>
      <c r="B35" s="290">
        <f>B11</f>
        <v>0</v>
      </c>
      <c r="C35" s="290">
        <f>C11</f>
        <v>11.07</v>
      </c>
      <c r="D35" s="117">
        <f>D11</f>
        <v>0</v>
      </c>
      <c r="E35" s="117">
        <f>E11</f>
        <v>7.9000000000000008E-3</v>
      </c>
      <c r="G35" s="59"/>
      <c r="H35" s="59"/>
      <c r="I35" s="18"/>
      <c r="J35" s="18"/>
      <c r="K35" s="18"/>
      <c r="L35" s="18"/>
      <c r="M35" s="116"/>
    </row>
    <row r="36" spans="1:13" s="8" customFormat="1" ht="18" customHeight="1">
      <c r="A36" s="104" t="str">
        <f t="shared" si="1"/>
        <v>GS &lt; 50 kW</v>
      </c>
      <c r="B36" s="290">
        <f t="shared" ref="B36:E43" si="2">B12</f>
        <v>0</v>
      </c>
      <c r="C36" s="290">
        <f t="shared" si="2"/>
        <v>14.96</v>
      </c>
      <c r="D36" s="117">
        <f t="shared" si="2"/>
        <v>0</v>
      </c>
      <c r="E36" s="117">
        <f t="shared" si="2"/>
        <v>4.7000000000000002E-3</v>
      </c>
      <c r="G36" s="59"/>
      <c r="H36" s="59"/>
      <c r="I36" s="18"/>
      <c r="J36" s="18"/>
      <c r="K36" s="18"/>
      <c r="L36" s="18"/>
      <c r="M36" s="116"/>
    </row>
    <row r="37" spans="1:13" s="8" customFormat="1" ht="18" customHeight="1">
      <c r="A37" s="104" t="str">
        <f t="shared" si="1"/>
        <v>GS &gt;50</v>
      </c>
      <c r="B37" s="290">
        <f t="shared" si="2"/>
        <v>0</v>
      </c>
      <c r="C37" s="290">
        <f t="shared" si="2"/>
        <v>177.32</v>
      </c>
      <c r="D37" s="117">
        <f t="shared" si="2"/>
        <v>1.5002</v>
      </c>
      <c r="E37" s="117">
        <f t="shared" si="2"/>
        <v>0</v>
      </c>
      <c r="G37" s="59"/>
      <c r="H37" s="59"/>
      <c r="I37" s="18"/>
      <c r="J37" s="18"/>
      <c r="K37" s="18"/>
      <c r="L37" s="18"/>
      <c r="M37" s="116"/>
    </row>
    <row r="38" spans="1:13" s="8" customFormat="1" ht="18" customHeight="1">
      <c r="A38" s="104" t="str">
        <f t="shared" si="1"/>
        <v xml:space="preserve">   </v>
      </c>
      <c r="B38" s="290">
        <f t="shared" si="2"/>
        <v>0</v>
      </c>
      <c r="C38" s="290">
        <f t="shared" si="2"/>
        <v>0</v>
      </c>
      <c r="D38" s="117" t="e">
        <f t="shared" si="2"/>
        <v>#DIV/0!</v>
      </c>
      <c r="E38" s="117">
        <f t="shared" si="2"/>
        <v>0</v>
      </c>
      <c r="G38" s="59"/>
      <c r="H38" s="59"/>
      <c r="I38" s="18"/>
      <c r="J38" s="18"/>
      <c r="K38" s="18"/>
      <c r="L38" s="18"/>
      <c r="M38" s="116"/>
    </row>
    <row r="39" spans="1:13" s="8" customFormat="1" ht="18" customHeight="1">
      <c r="A39" s="104" t="str">
        <f t="shared" si="1"/>
        <v>Sentinel Lights</v>
      </c>
      <c r="B39" s="290">
        <f t="shared" si="2"/>
        <v>2.9744000000000002</v>
      </c>
      <c r="C39" s="290">
        <f t="shared" si="2"/>
        <v>0</v>
      </c>
      <c r="D39" s="117">
        <f t="shared" si="2"/>
        <v>5.5830000000000002</v>
      </c>
      <c r="E39" s="117">
        <f t="shared" si="2"/>
        <v>0</v>
      </c>
      <c r="G39" s="59"/>
      <c r="H39" s="59"/>
      <c r="I39" s="18"/>
      <c r="J39" s="18"/>
      <c r="K39" s="18"/>
      <c r="L39" s="18"/>
      <c r="M39" s="116"/>
    </row>
    <row r="40" spans="1:13" s="8" customFormat="1" ht="18" customHeight="1">
      <c r="A40" s="104" t="str">
        <f t="shared" si="1"/>
        <v>Street Lighting</v>
      </c>
      <c r="B40" s="290">
        <f t="shared" si="2"/>
        <v>1.1132</v>
      </c>
      <c r="C40" s="290">
        <f t="shared" si="2"/>
        <v>0</v>
      </c>
      <c r="D40" s="117">
        <f t="shared" si="2"/>
        <v>10.8421</v>
      </c>
      <c r="E40" s="117">
        <f t="shared" si="2"/>
        <v>0</v>
      </c>
      <c r="G40" s="59"/>
      <c r="H40" s="59"/>
      <c r="I40" s="18"/>
      <c r="J40" s="18"/>
      <c r="K40" s="18"/>
      <c r="L40" s="18"/>
      <c r="M40" s="116"/>
    </row>
    <row r="41" spans="1:13" s="8" customFormat="1" ht="18" customHeight="1">
      <c r="A41" s="104" t="str">
        <f t="shared" si="1"/>
        <v>USL</v>
      </c>
      <c r="B41" s="290">
        <f t="shared" si="2"/>
        <v>6.0778999999999996</v>
      </c>
      <c r="C41" s="290">
        <f t="shared" si="2"/>
        <v>0</v>
      </c>
      <c r="D41" s="117">
        <f t="shared" si="2"/>
        <v>0</v>
      </c>
      <c r="E41" s="117">
        <f t="shared" si="2"/>
        <v>1.9E-3</v>
      </c>
      <c r="G41" s="59"/>
      <c r="H41" s="59"/>
      <c r="I41" s="18"/>
      <c r="J41" s="18"/>
      <c r="K41" s="18"/>
      <c r="L41" s="18"/>
      <c r="M41" s="116"/>
    </row>
    <row r="42" spans="1:13" s="8" customFormat="1" ht="18" customHeight="1">
      <c r="A42" s="104" t="str">
        <f t="shared" si="1"/>
        <v xml:space="preserve">   </v>
      </c>
      <c r="B42" s="290">
        <f t="shared" si="2"/>
        <v>0</v>
      </c>
      <c r="C42" s="290">
        <f t="shared" si="2"/>
        <v>0</v>
      </c>
      <c r="D42" s="117" t="e">
        <f t="shared" si="2"/>
        <v>#DIV/0!</v>
      </c>
      <c r="E42" s="117">
        <f t="shared" si="2"/>
        <v>0</v>
      </c>
      <c r="G42" s="59"/>
      <c r="H42" s="59"/>
      <c r="I42" s="18"/>
      <c r="J42" s="18"/>
      <c r="K42" s="18"/>
      <c r="L42" s="18"/>
      <c r="M42" s="116"/>
    </row>
    <row r="43" spans="1:13" s="8" customFormat="1" ht="18" customHeight="1">
      <c r="A43" s="104" t="str">
        <f t="shared" si="1"/>
        <v xml:space="preserve">Hydro One </v>
      </c>
      <c r="B43" s="290">
        <f t="shared" si="2"/>
        <v>0</v>
      </c>
      <c r="C43" s="290">
        <f t="shared" si="2"/>
        <v>1753.29</v>
      </c>
      <c r="D43" s="117">
        <f t="shared" si="2"/>
        <v>0.26079999999999998</v>
      </c>
      <c r="E43" s="117">
        <f t="shared" si="2"/>
        <v>0</v>
      </c>
      <c r="G43" s="59"/>
      <c r="H43" s="59"/>
      <c r="I43" s="18"/>
      <c r="J43" s="18"/>
      <c r="K43" s="18"/>
      <c r="L43" s="18"/>
      <c r="M43" s="116"/>
    </row>
    <row r="44" spans="1:13" s="8" customFormat="1" ht="16.5" thickBot="1">
      <c r="A44" s="511"/>
      <c r="B44" s="511"/>
      <c r="C44" s="511"/>
      <c r="D44" s="511"/>
      <c r="E44" s="511"/>
      <c r="G44" s="18"/>
      <c r="H44" s="18"/>
      <c r="I44" s="18"/>
      <c r="J44" s="18"/>
      <c r="K44" s="18"/>
      <c r="L44" s="18"/>
    </row>
    <row r="45" spans="1:13" s="8" customFormat="1" ht="18" customHeight="1" thickBot="1">
      <c r="A45" s="56" t="s">
        <v>151</v>
      </c>
      <c r="B45" s="66"/>
      <c r="C45" s="66"/>
      <c r="D45" s="118">
        <f>'Transformer Allowance'!B17</f>
        <v>-0.6</v>
      </c>
      <c r="E45" s="66"/>
      <c r="G45" s="18"/>
      <c r="H45" s="18"/>
      <c r="I45" s="18"/>
      <c r="J45" s="18"/>
      <c r="K45" s="18"/>
      <c r="L45" s="18"/>
    </row>
  </sheetData>
  <mergeCells count="14">
    <mergeCell ref="A1:E1"/>
    <mergeCell ref="A2:E2"/>
    <mergeCell ref="A3:E3"/>
    <mergeCell ref="A4:E4"/>
    <mergeCell ref="A9:E9"/>
    <mergeCell ref="A5:E5"/>
    <mergeCell ref="A7:E7"/>
    <mergeCell ref="A6:E6"/>
    <mergeCell ref="A8:E8"/>
    <mergeCell ref="A20:E20"/>
    <mergeCell ref="A32:E32"/>
    <mergeCell ref="A44:E44"/>
    <mergeCell ref="A21:E21"/>
    <mergeCell ref="A33:E33"/>
  </mergeCells>
  <phoneticPr fontId="0" type="noConversion"/>
  <pageMargins left="0.75" right="0.75" top="1" bottom="1" header="0.5" footer="0.5"/>
  <pageSetup scale="87" orientation="portrait" horizontalDpi="355" verticalDpi="355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>
    <pageSetUpPr fitToPage="1"/>
  </sheetPr>
  <dimension ref="A1:O33"/>
  <sheetViews>
    <sheetView view="pageBreakPreview" zoomScale="60" zoomScaleNormal="85" workbookViewId="0">
      <selection activeCell="B25" sqref="B25"/>
    </sheetView>
  </sheetViews>
  <sheetFormatPr defaultRowHeight="12.75"/>
  <cols>
    <col min="1" max="1" width="42.85546875" bestFit="1" customWidth="1"/>
    <col min="2" max="5" width="11.7109375" customWidth="1"/>
    <col min="6" max="6" width="13.7109375" customWidth="1"/>
    <col min="7" max="7" width="13.42578125" bestFit="1" customWidth="1"/>
    <col min="8" max="8" width="10.85546875" customWidth="1"/>
    <col min="9" max="9" width="8" bestFit="1" customWidth="1"/>
    <col min="10" max="11" width="13" customWidth="1"/>
    <col min="12" max="12" width="15.7109375" customWidth="1"/>
    <col min="13" max="13" width="1.5703125" customWidth="1"/>
  </cols>
  <sheetData>
    <row r="1" spans="1:12">
      <c r="A1" s="470" t="str">
        <f>+'Revenue Input'!A1</f>
        <v xml:space="preserve">E.L.K. Energy Inc., 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</row>
    <row r="2" spans="1:12">
      <c r="A2" s="470" t="str">
        <f>+'Revenue Input'!A2</f>
        <v>ED-2003-0015 , EB-2011-099</v>
      </c>
      <c r="B2" s="470"/>
      <c r="C2" s="470"/>
      <c r="D2" s="470"/>
      <c r="E2" s="470"/>
      <c r="F2" s="470"/>
      <c r="G2" s="470"/>
      <c r="H2" s="470"/>
      <c r="I2" s="470"/>
      <c r="J2" s="470"/>
      <c r="K2" s="470"/>
      <c r="L2" s="470"/>
    </row>
    <row r="3" spans="1:12">
      <c r="A3" s="470">
        <f>+'Revenue Input'!A3</f>
        <v>0</v>
      </c>
      <c r="B3" s="470"/>
      <c r="C3" s="470"/>
      <c r="D3" s="470"/>
      <c r="E3" s="470"/>
      <c r="F3" s="470"/>
      <c r="G3" s="470"/>
      <c r="H3" s="470"/>
      <c r="I3" s="470"/>
      <c r="J3" s="470"/>
      <c r="K3" s="470"/>
      <c r="L3" s="470"/>
    </row>
    <row r="4" spans="1:12">
      <c r="A4" s="471"/>
      <c r="B4" s="471"/>
      <c r="C4" s="471"/>
      <c r="D4" s="471"/>
      <c r="E4" s="471"/>
      <c r="F4" s="471"/>
      <c r="G4" s="471"/>
      <c r="H4" s="471"/>
      <c r="I4" s="471"/>
      <c r="J4" s="471"/>
      <c r="K4" s="471"/>
      <c r="L4" s="471"/>
    </row>
    <row r="5" spans="1:12" ht="20.25">
      <c r="A5" s="523" t="s">
        <v>66</v>
      </c>
      <c r="B5" s="523"/>
      <c r="C5" s="523"/>
      <c r="D5" s="523"/>
      <c r="E5" s="523"/>
      <c r="F5" s="523"/>
      <c r="G5" s="523"/>
      <c r="H5" s="523"/>
      <c r="I5" s="523"/>
      <c r="J5" s="523"/>
      <c r="K5" s="523"/>
      <c r="L5" s="523"/>
    </row>
    <row r="6" spans="1:12" ht="21" thickBot="1">
      <c r="A6" s="524" t="s">
        <v>219</v>
      </c>
      <c r="B6" s="524"/>
      <c r="C6" s="524"/>
      <c r="D6" s="524"/>
      <c r="E6" s="524"/>
      <c r="F6" s="524"/>
      <c r="G6" s="524"/>
      <c r="H6" s="524"/>
      <c r="I6" s="524"/>
      <c r="J6" s="524"/>
      <c r="K6" s="524"/>
      <c r="L6" s="524"/>
    </row>
    <row r="7" spans="1:12" ht="54">
      <c r="A7" s="514" t="s">
        <v>0</v>
      </c>
      <c r="B7" s="517" t="s">
        <v>49</v>
      </c>
      <c r="C7" s="518"/>
      <c r="D7" s="518"/>
      <c r="E7" s="518"/>
      <c r="F7" s="519" t="s">
        <v>50</v>
      </c>
      <c r="G7" s="520"/>
      <c r="H7" s="520"/>
      <c r="I7" s="520"/>
      <c r="J7" s="521" t="s">
        <v>51</v>
      </c>
      <c r="K7" s="522"/>
      <c r="L7" s="322" t="s">
        <v>52</v>
      </c>
    </row>
    <row r="8" spans="1:12" ht="51.75" customHeight="1">
      <c r="A8" s="515"/>
      <c r="B8" s="125" t="s">
        <v>134</v>
      </c>
      <c r="C8" s="126" t="s">
        <v>54</v>
      </c>
      <c r="D8" s="126" t="s">
        <v>168</v>
      </c>
      <c r="E8" s="127" t="s">
        <v>41</v>
      </c>
      <c r="F8" s="128" t="s">
        <v>53</v>
      </c>
      <c r="G8" s="126" t="s">
        <v>54</v>
      </c>
      <c r="H8" s="126" t="s">
        <v>168</v>
      </c>
      <c r="I8" s="127" t="s">
        <v>41</v>
      </c>
      <c r="J8" s="378" t="s">
        <v>146</v>
      </c>
      <c r="K8" s="375" t="s">
        <v>147</v>
      </c>
      <c r="L8" s="130">
        <v>2011</v>
      </c>
    </row>
    <row r="9" spans="1:12" ht="13.5" thickBot="1">
      <c r="A9" s="516"/>
      <c r="B9" s="131" t="s">
        <v>22</v>
      </c>
      <c r="C9" s="132" t="s">
        <v>22</v>
      </c>
      <c r="D9" s="132" t="s">
        <v>22</v>
      </c>
      <c r="E9" s="133" t="s">
        <v>22</v>
      </c>
      <c r="F9" s="134" t="s">
        <v>55</v>
      </c>
      <c r="G9" s="132" t="s">
        <v>55</v>
      </c>
      <c r="H9" s="132" t="s">
        <v>55</v>
      </c>
      <c r="I9" s="133" t="s">
        <v>55</v>
      </c>
      <c r="J9" s="379" t="s">
        <v>56</v>
      </c>
      <c r="K9" s="376" t="s">
        <v>56</v>
      </c>
      <c r="L9" s="136"/>
    </row>
    <row r="10" spans="1:12" ht="18" customHeight="1">
      <c r="A10" s="272" t="str">
        <f>'2012 Rate Rider'!A7</f>
        <v>Residential</v>
      </c>
      <c r="B10" s="137">
        <f>0.0057+0.0045</f>
        <v>1.0200000000000001E-2</v>
      </c>
      <c r="C10" s="138">
        <f>0.0052+0.0013</f>
        <v>6.4999999999999997E-3</v>
      </c>
      <c r="D10" s="138">
        <f>0.007/L10</f>
        <v>6.4868872208321757E-3</v>
      </c>
      <c r="E10" s="139">
        <f>SUM(B10:D10)</f>
        <v>2.3186887220832175E-2</v>
      </c>
      <c r="F10" s="140">
        <v>0</v>
      </c>
      <c r="G10" s="141"/>
      <c r="H10" s="141"/>
      <c r="I10" s="142"/>
      <c r="J10" s="380">
        <v>7.4999999999999997E-2</v>
      </c>
      <c r="K10" s="380">
        <v>8.7999999999999995E-2</v>
      </c>
      <c r="L10" s="145">
        <v>1.0790999999999999</v>
      </c>
    </row>
    <row r="11" spans="1:12" ht="18" customHeight="1">
      <c r="A11" s="272" t="str">
        <f>'2012 Rate Rider'!A8</f>
        <v>GS &lt; 50 kW</v>
      </c>
      <c r="B11" s="137">
        <f>0.0051+0.0041</f>
        <v>9.1999999999999998E-3</v>
      </c>
      <c r="C11" s="138">
        <f>0.0052+0.0013</f>
        <v>6.4999999999999997E-3</v>
      </c>
      <c r="D11" s="138">
        <f>0.007/L11</f>
        <v>6.4868872208321757E-3</v>
      </c>
      <c r="E11" s="139">
        <f t="shared" ref="E11:E16" si="0">SUM(B11:D11)</f>
        <v>2.2186887220832174E-2</v>
      </c>
      <c r="F11" s="143">
        <v>0</v>
      </c>
      <c r="G11" s="142"/>
      <c r="H11" s="142"/>
      <c r="I11" s="142"/>
      <c r="J11" s="380">
        <v>7.4999999999999997E-2</v>
      </c>
      <c r="K11" s="380">
        <v>8.7999999999999995E-2</v>
      </c>
      <c r="L11" s="145">
        <v>1.0790999999999999</v>
      </c>
    </row>
    <row r="12" spans="1:12" ht="18" customHeight="1">
      <c r="A12" s="272" t="str">
        <f>'2012 Rate Rider'!A9</f>
        <v>GS &gt;50</v>
      </c>
      <c r="B12" s="142"/>
      <c r="C12" s="138">
        <f>0.0052+0.0013</f>
        <v>6.4999999999999997E-3</v>
      </c>
      <c r="D12" s="138">
        <f>0.007/L12</f>
        <v>6.4868872208321757E-3</v>
      </c>
      <c r="E12" s="139">
        <f t="shared" si="0"/>
        <v>1.2986887220832175E-2</v>
      </c>
      <c r="F12" s="144">
        <f>2.1237+1.6243</f>
        <v>3.7480000000000002</v>
      </c>
      <c r="G12" s="142"/>
      <c r="H12" s="142"/>
      <c r="I12" s="139">
        <f>SUM(F12:H12)</f>
        <v>3.7480000000000002</v>
      </c>
      <c r="J12" s="380">
        <f>'[10]2012 COP Forecast'!$E$25</f>
        <v>7.8770000000000007E-2</v>
      </c>
      <c r="K12" s="377">
        <f>J12</f>
        <v>7.8770000000000007E-2</v>
      </c>
      <c r="L12" s="145">
        <v>1.0790999999999999</v>
      </c>
    </row>
    <row r="13" spans="1:12" ht="18" customHeight="1">
      <c r="A13" s="272" t="str">
        <f>'2012 Rate Rider'!A10</f>
        <v xml:space="preserve">   </v>
      </c>
      <c r="B13" s="142"/>
      <c r="C13" s="138"/>
      <c r="D13" s="138"/>
      <c r="E13" s="139">
        <f>SUM(B13:D13)</f>
        <v>0</v>
      </c>
      <c r="F13" s="144"/>
      <c r="G13" s="142"/>
      <c r="H13" s="142"/>
      <c r="I13" s="139">
        <f>SUM(F13:H13)</f>
        <v>0</v>
      </c>
      <c r="J13" s="380"/>
      <c r="K13" s="377"/>
      <c r="L13" s="145">
        <v>1.0790999999999999</v>
      </c>
    </row>
    <row r="14" spans="1:12" ht="18" customHeight="1">
      <c r="A14" s="272" t="str">
        <f>'2012 Rate Rider'!A11</f>
        <v>Sentinel Lights</v>
      </c>
      <c r="B14" s="142"/>
      <c r="C14" s="138">
        <f>0.0052+0.0013</f>
        <v>6.4999999999999997E-3</v>
      </c>
      <c r="D14" s="138">
        <f>0.007/L14</f>
        <v>6.4868872208321757E-3</v>
      </c>
      <c r="E14" s="139">
        <f t="shared" si="0"/>
        <v>1.2986887220832175E-2</v>
      </c>
      <c r="F14" s="144">
        <f>1.6099+1.2829</f>
        <v>2.8928000000000003</v>
      </c>
      <c r="G14" s="142"/>
      <c r="H14" s="142"/>
      <c r="I14" s="139">
        <f>SUM(F14:H14)</f>
        <v>2.8928000000000003</v>
      </c>
      <c r="J14" s="380">
        <f>J12</f>
        <v>7.8770000000000007E-2</v>
      </c>
      <c r="K14" s="380">
        <f>K12</f>
        <v>7.8770000000000007E-2</v>
      </c>
      <c r="L14" s="145">
        <v>1.0790999999999999</v>
      </c>
    </row>
    <row r="15" spans="1:12" ht="18" customHeight="1">
      <c r="A15" s="272" t="str">
        <f>'2012 Rate Rider'!A12</f>
        <v>Street Lighting</v>
      </c>
      <c r="B15" s="142"/>
      <c r="C15" s="138">
        <f>0.0052+0.0013</f>
        <v>6.4999999999999997E-3</v>
      </c>
      <c r="D15" s="138">
        <f>0.007/L15</f>
        <v>6.4868872208321757E-3</v>
      </c>
      <c r="E15" s="139">
        <f t="shared" si="0"/>
        <v>1.2986887220832175E-2</v>
      </c>
      <c r="F15" s="144">
        <f>1.6017+1.2565</f>
        <v>2.8582000000000001</v>
      </c>
      <c r="G15" s="142"/>
      <c r="H15" s="142"/>
      <c r="I15" s="139">
        <f>SUM(F15:H15)</f>
        <v>2.8582000000000001</v>
      </c>
      <c r="J15" s="380">
        <f>J12</f>
        <v>7.8770000000000007E-2</v>
      </c>
      <c r="K15" s="380">
        <f>K12</f>
        <v>7.8770000000000007E-2</v>
      </c>
      <c r="L15" s="145">
        <v>1.0790999999999999</v>
      </c>
    </row>
    <row r="16" spans="1:12" ht="18" customHeight="1">
      <c r="A16" s="272" t="str">
        <f>'2012 Rate Rider'!A13</f>
        <v>USL</v>
      </c>
      <c r="B16" s="137">
        <f>0.0051+0.0041</f>
        <v>9.1999999999999998E-3</v>
      </c>
      <c r="C16" s="138">
        <f>0.0052+0.0013</f>
        <v>6.4999999999999997E-3</v>
      </c>
      <c r="D16" s="138">
        <f>0.007/L16</f>
        <v>6.4868872208321757E-3</v>
      </c>
      <c r="E16" s="139">
        <f t="shared" si="0"/>
        <v>2.2186887220832174E-2</v>
      </c>
      <c r="F16" s="143">
        <v>0</v>
      </c>
      <c r="G16" s="142"/>
      <c r="H16" s="142"/>
      <c r="I16" s="142"/>
      <c r="J16" s="380">
        <f>J15</f>
        <v>7.8770000000000007E-2</v>
      </c>
      <c r="K16" s="380">
        <f>K15</f>
        <v>7.8770000000000007E-2</v>
      </c>
      <c r="L16" s="145">
        <v>1.0790999999999999</v>
      </c>
    </row>
    <row r="17" spans="1:15" ht="18" customHeight="1">
      <c r="A17" s="272" t="str">
        <f>'2012 Rate Rider'!A14</f>
        <v xml:space="preserve">   </v>
      </c>
      <c r="B17" s="142"/>
      <c r="C17" s="138"/>
      <c r="D17" s="138"/>
      <c r="E17" s="139">
        <f>SUM(B17:D17)</f>
        <v>0</v>
      </c>
      <c r="F17" s="142"/>
      <c r="G17" s="142"/>
      <c r="H17" s="142"/>
      <c r="I17" s="139">
        <f>SUM(F17:H17)</f>
        <v>0</v>
      </c>
      <c r="J17" s="380"/>
      <c r="K17" s="377"/>
      <c r="L17" s="145">
        <v>1.0790999999999999</v>
      </c>
    </row>
    <row r="18" spans="1:15" ht="18" customHeight="1">
      <c r="A18" s="272" t="str">
        <f>'2012 Rate Rider'!A15</f>
        <v xml:space="preserve">Hydro One </v>
      </c>
      <c r="B18" s="142"/>
      <c r="C18" s="138">
        <f>0.0052+0.0013</f>
        <v>6.4999999999999997E-3</v>
      </c>
      <c r="D18" s="138">
        <f>0.007/L18</f>
        <v>6.4868872208321757E-3</v>
      </c>
      <c r="E18" s="139">
        <f>SUM(B18:D18)</f>
        <v>1.2986887220832175E-2</v>
      </c>
      <c r="F18" s="144">
        <f>F13</f>
        <v>0</v>
      </c>
      <c r="G18" s="142"/>
      <c r="H18" s="142"/>
      <c r="I18" s="139">
        <f>SUM(F18:H18)</f>
        <v>0</v>
      </c>
      <c r="J18" s="380">
        <f>J16</f>
        <v>7.8770000000000007E-2</v>
      </c>
      <c r="K18" s="377">
        <f>K16</f>
        <v>7.8770000000000007E-2</v>
      </c>
      <c r="L18" s="145">
        <v>1.0790999999999999</v>
      </c>
    </row>
    <row r="19" spans="1:15" ht="18" customHeight="1">
      <c r="A19" s="339"/>
      <c r="B19" s="341"/>
      <c r="C19" s="342"/>
      <c r="D19" s="343"/>
      <c r="E19" s="340"/>
      <c r="F19" s="344"/>
      <c r="G19" s="344"/>
      <c r="H19" s="344"/>
      <c r="I19" s="344"/>
      <c r="J19" s="342"/>
      <c r="K19" s="342"/>
      <c r="L19" s="342"/>
    </row>
    <row r="20" spans="1:15" ht="15">
      <c r="A20" s="26"/>
      <c r="B20" s="27"/>
      <c r="E20" s="28"/>
      <c r="I20" s="28"/>
      <c r="J20" s="28"/>
      <c r="K20" s="28"/>
      <c r="L20" s="25"/>
    </row>
    <row r="21" spans="1:15" ht="21" thickBot="1">
      <c r="A21" s="524" t="s">
        <v>258</v>
      </c>
      <c r="B21" s="524"/>
      <c r="C21" s="524"/>
      <c r="D21" s="524"/>
      <c r="E21" s="524"/>
      <c r="F21" s="524"/>
      <c r="G21" s="524"/>
      <c r="H21" s="524"/>
      <c r="I21" s="524"/>
      <c r="J21" s="524"/>
      <c r="K21" s="524"/>
      <c r="L21" s="524"/>
    </row>
    <row r="22" spans="1:15" ht="54">
      <c r="A22" s="514" t="s">
        <v>0</v>
      </c>
      <c r="B22" s="517" t="s">
        <v>49</v>
      </c>
      <c r="C22" s="518"/>
      <c r="D22" s="518"/>
      <c r="E22" s="518"/>
      <c r="F22" s="519" t="s">
        <v>50</v>
      </c>
      <c r="G22" s="520"/>
      <c r="H22" s="520"/>
      <c r="I22" s="520"/>
      <c r="J22" s="521" t="s">
        <v>51</v>
      </c>
      <c r="K22" s="522"/>
      <c r="L22" s="322" t="s">
        <v>52</v>
      </c>
    </row>
    <row r="23" spans="1:15" ht="51">
      <c r="A23" s="515"/>
      <c r="B23" s="125" t="s">
        <v>134</v>
      </c>
      <c r="C23" s="126" t="s">
        <v>54</v>
      </c>
      <c r="D23" s="126" t="s">
        <v>168</v>
      </c>
      <c r="E23" s="127" t="s">
        <v>41</v>
      </c>
      <c r="F23" s="128" t="s">
        <v>53</v>
      </c>
      <c r="G23" s="126" t="s">
        <v>54</v>
      </c>
      <c r="H23" s="126" t="s">
        <v>168</v>
      </c>
      <c r="I23" s="127" t="s">
        <v>41</v>
      </c>
      <c r="J23" s="129" t="s">
        <v>146</v>
      </c>
      <c r="K23" s="381" t="s">
        <v>147</v>
      </c>
      <c r="L23" s="130">
        <v>2012</v>
      </c>
    </row>
    <row r="24" spans="1:15" ht="13.5" thickBot="1">
      <c r="A24" s="516"/>
      <c r="B24" s="131" t="s">
        <v>22</v>
      </c>
      <c r="C24" s="132" t="s">
        <v>22</v>
      </c>
      <c r="D24" s="132" t="s">
        <v>22</v>
      </c>
      <c r="E24" s="133" t="s">
        <v>22</v>
      </c>
      <c r="F24" s="134" t="s">
        <v>55</v>
      </c>
      <c r="G24" s="132" t="s">
        <v>55</v>
      </c>
      <c r="H24" s="132" t="s">
        <v>55</v>
      </c>
      <c r="I24" s="133" t="s">
        <v>55</v>
      </c>
      <c r="J24" s="135" t="s">
        <v>56</v>
      </c>
      <c r="K24" s="376" t="s">
        <v>56</v>
      </c>
      <c r="L24" s="136"/>
    </row>
    <row r="25" spans="1:15" ht="15.75">
      <c r="A25" s="272" t="str">
        <f>A10</f>
        <v>Residential</v>
      </c>
      <c r="B25" s="137">
        <f>'[5]13. Final 2012 RTS Rates'!$F$26+'[5]13. Final 2012 RTS Rates'!$H$26</f>
        <v>1.0382189432402402E-2</v>
      </c>
      <c r="C25" s="138">
        <f>0.0052+0.0011</f>
        <v>6.3E-3</v>
      </c>
      <c r="D25" s="138">
        <f>0.007/L25</f>
        <v>6.4814814814814813E-3</v>
      </c>
      <c r="E25" s="139">
        <f t="shared" ref="E25:E32" si="1">SUM(B25:D25)</f>
        <v>2.3163670913883883E-2</v>
      </c>
      <c r="F25" s="140">
        <v>0</v>
      </c>
      <c r="G25" s="141"/>
      <c r="H25" s="141"/>
      <c r="I25" s="142"/>
      <c r="J25" s="380">
        <v>7.4999999999999997E-2</v>
      </c>
      <c r="K25" s="380">
        <v>8.7999999999999995E-2</v>
      </c>
      <c r="L25" s="145">
        <v>1.08</v>
      </c>
    </row>
    <row r="26" spans="1:15" ht="15.75">
      <c r="A26" s="272" t="str">
        <f t="shared" ref="A26:A33" si="2">A11</f>
        <v>GS &lt; 50 kW</v>
      </c>
      <c r="B26" s="137">
        <f>'[5]13. Final 2012 RTS Rates'!$F$27+'[5]13. Final 2012 RTS Rates'!$H$27</f>
        <v>9.3645461530317241E-3</v>
      </c>
      <c r="C26" s="138">
        <f>0.0052+0.0011</f>
        <v>6.3E-3</v>
      </c>
      <c r="D26" s="138">
        <f>0.007/L26</f>
        <v>6.4814814814814813E-3</v>
      </c>
      <c r="E26" s="139">
        <f t="shared" si="1"/>
        <v>2.2146027634513205E-2</v>
      </c>
      <c r="F26" s="143">
        <v>0</v>
      </c>
      <c r="G26" s="142"/>
      <c r="H26" s="142"/>
      <c r="I26" s="142"/>
      <c r="J26" s="380">
        <v>7.4999999999999997E-2</v>
      </c>
      <c r="K26" s="380">
        <v>8.7999999999999995E-2</v>
      </c>
      <c r="L26" s="145">
        <v>1.08</v>
      </c>
    </row>
    <row r="27" spans="1:15" ht="15.75">
      <c r="A27" s="272" t="str">
        <f t="shared" si="2"/>
        <v>GS &gt;50</v>
      </c>
      <c r="B27" s="142"/>
      <c r="C27" s="138">
        <f t="shared" ref="C27:C33" si="3">0.0052+0.0011</f>
        <v>6.3E-3</v>
      </c>
      <c r="D27" s="138">
        <f t="shared" ref="D27:D33" si="4">0.007/L27</f>
        <v>6.4814814814814813E-3</v>
      </c>
      <c r="E27" s="139">
        <f t="shared" si="1"/>
        <v>1.278148148148148E-2</v>
      </c>
      <c r="F27" s="137">
        <f>'[5]13. Final 2012 RTS Rates'!$F$28+'[5]13. Final 2012 RTS Rates'!$H$28</f>
        <v>3.814790631678846</v>
      </c>
      <c r="G27" s="142"/>
      <c r="H27" s="142"/>
      <c r="I27" s="139">
        <f>SUM(F27:H27)</f>
        <v>3.814790631678846</v>
      </c>
      <c r="J27" s="380">
        <f>J12</f>
        <v>7.8770000000000007E-2</v>
      </c>
      <c r="K27" s="377">
        <f>K12</f>
        <v>7.8770000000000007E-2</v>
      </c>
      <c r="L27" s="145">
        <v>1.08</v>
      </c>
    </row>
    <row r="28" spans="1:15" ht="15.75">
      <c r="A28" s="272" t="str">
        <f t="shared" si="2"/>
        <v xml:space="preserve">   </v>
      </c>
      <c r="B28" s="142"/>
      <c r="C28" s="138"/>
      <c r="D28" s="138"/>
      <c r="E28" s="139">
        <f t="shared" si="1"/>
        <v>0</v>
      </c>
      <c r="F28" s="137"/>
      <c r="G28" s="142"/>
      <c r="H28" s="142"/>
      <c r="I28" s="139">
        <f>SUM(F28:H28)</f>
        <v>0</v>
      </c>
      <c r="J28" s="137"/>
      <c r="K28" s="377"/>
      <c r="L28" s="145">
        <v>1.08</v>
      </c>
      <c r="O28" s="25"/>
    </row>
    <row r="29" spans="1:15" ht="15.75">
      <c r="A29" s="272" t="str">
        <f t="shared" si="2"/>
        <v>Sentinel Lights</v>
      </c>
      <c r="B29" s="142"/>
      <c r="C29" s="138">
        <f t="shared" si="3"/>
        <v>6.3E-3</v>
      </c>
      <c r="D29" s="138">
        <f t="shared" si="4"/>
        <v>6.4814814814814813E-3</v>
      </c>
      <c r="E29" s="139">
        <f t="shared" si="1"/>
        <v>1.278148148148148E-2</v>
      </c>
      <c r="F29" s="137">
        <f>'[5]13. Final 2012 RTS Rates'!$F$31+'[5]13. Final 2012 RTS Rates'!$H$31</f>
        <v>2.9445057063713227</v>
      </c>
      <c r="G29" s="142"/>
      <c r="H29" s="142"/>
      <c r="I29" s="139">
        <f>SUM(F29:H29)</f>
        <v>2.9445057063713227</v>
      </c>
      <c r="J29" s="380">
        <f>J27</f>
        <v>7.8770000000000007E-2</v>
      </c>
      <c r="K29" s="380">
        <f>K27</f>
        <v>7.8770000000000007E-2</v>
      </c>
      <c r="L29" s="145">
        <v>1.08</v>
      </c>
    </row>
    <row r="30" spans="1:15" ht="15.75">
      <c r="A30" s="272" t="str">
        <f t="shared" si="2"/>
        <v>Street Lighting</v>
      </c>
      <c r="B30" s="142"/>
      <c r="C30" s="138">
        <f t="shared" si="3"/>
        <v>6.3E-3</v>
      </c>
      <c r="D30" s="138">
        <f t="shared" si="4"/>
        <v>6.4814814814814813E-3</v>
      </c>
      <c r="E30" s="139">
        <f t="shared" si="1"/>
        <v>1.278148148148148E-2</v>
      </c>
      <c r="F30" s="137">
        <f>'[5]13. Final 2012 RTS Rates'!$F$32+'[5]13. Final 2012 RTS Rates'!$H$32</f>
        <v>2.9092286216092931</v>
      </c>
      <c r="G30" s="142"/>
      <c r="H30" s="142"/>
      <c r="I30" s="139">
        <f>SUM(F30:H30)</f>
        <v>2.9092286216092931</v>
      </c>
      <c r="J30" s="380">
        <f>J27</f>
        <v>7.8770000000000007E-2</v>
      </c>
      <c r="K30" s="380">
        <f>K27</f>
        <v>7.8770000000000007E-2</v>
      </c>
      <c r="L30" s="145">
        <v>1.08</v>
      </c>
    </row>
    <row r="31" spans="1:15" ht="15.75">
      <c r="A31" s="272" t="str">
        <f t="shared" si="2"/>
        <v>USL</v>
      </c>
      <c r="B31" s="137">
        <f>'[5]13. Final 2012 RTS Rates'!$F$30+'[5]13. Final 2012 RTS Rates'!$H$30</f>
        <v>9.3645461530317241E-3</v>
      </c>
      <c r="C31" s="138">
        <f t="shared" si="3"/>
        <v>6.3E-3</v>
      </c>
      <c r="D31" s="138">
        <f>0.007/L31</f>
        <v>6.4814814814814813E-3</v>
      </c>
      <c r="E31" s="139">
        <f t="shared" si="1"/>
        <v>2.2146027634513205E-2</v>
      </c>
      <c r="F31" s="143">
        <v>0</v>
      </c>
      <c r="G31" s="142"/>
      <c r="H31" s="142"/>
      <c r="I31" s="142"/>
      <c r="J31" s="380">
        <f>J30</f>
        <v>7.8770000000000007E-2</v>
      </c>
      <c r="K31" s="380">
        <f>K30</f>
        <v>7.8770000000000007E-2</v>
      </c>
      <c r="L31" s="145">
        <v>1.08</v>
      </c>
    </row>
    <row r="32" spans="1:15" ht="15.75">
      <c r="A32" s="272" t="str">
        <f>A17</f>
        <v xml:space="preserve">   </v>
      </c>
      <c r="B32" s="142"/>
      <c r="C32" s="138"/>
      <c r="D32" s="138"/>
      <c r="E32" s="139">
        <f t="shared" si="1"/>
        <v>0</v>
      </c>
      <c r="F32" s="137"/>
      <c r="G32" s="142"/>
      <c r="H32" s="142"/>
      <c r="I32" s="139">
        <f>SUM(F32:H32)</f>
        <v>0</v>
      </c>
      <c r="J32" s="137"/>
      <c r="K32" s="377"/>
      <c r="L32" s="145">
        <v>1.08</v>
      </c>
    </row>
    <row r="33" spans="1:12" ht="15.75">
      <c r="A33" s="272" t="str">
        <f t="shared" si="2"/>
        <v xml:space="preserve">Hydro One </v>
      </c>
      <c r="B33" s="142"/>
      <c r="C33" s="138">
        <f t="shared" si="3"/>
        <v>6.3E-3</v>
      </c>
      <c r="D33" s="138">
        <f t="shared" si="4"/>
        <v>6.4814814814814813E-3</v>
      </c>
      <c r="E33" s="139">
        <f>SUM(B33:D33)</f>
        <v>1.278148148148148E-2</v>
      </c>
      <c r="F33" s="137">
        <f>'[5]13. Final 2012 RTS Rates'!$F$28+'[5]13. Final 2012 RTS Rates'!$H$28</f>
        <v>3.814790631678846</v>
      </c>
      <c r="G33" s="142"/>
      <c r="H33" s="142"/>
      <c r="I33" s="139">
        <f>SUM(F33:H33)</f>
        <v>3.814790631678846</v>
      </c>
      <c r="J33" s="380">
        <f>J31</f>
        <v>7.8770000000000007E-2</v>
      </c>
      <c r="K33" s="377">
        <f>K31</f>
        <v>7.8770000000000007E-2</v>
      </c>
      <c r="L33" s="145">
        <v>1.08</v>
      </c>
    </row>
  </sheetData>
  <mergeCells count="15">
    <mergeCell ref="A22:A24"/>
    <mergeCell ref="B22:E22"/>
    <mergeCell ref="F22:I22"/>
    <mergeCell ref="J22:K22"/>
    <mergeCell ref="A1:L1"/>
    <mergeCell ref="A2:L2"/>
    <mergeCell ref="A3:L3"/>
    <mergeCell ref="A4:L4"/>
    <mergeCell ref="A5:L5"/>
    <mergeCell ref="A7:A9"/>
    <mergeCell ref="B7:E7"/>
    <mergeCell ref="F7:I7"/>
    <mergeCell ref="J7:K7"/>
    <mergeCell ref="A6:L6"/>
    <mergeCell ref="A21:L21"/>
  </mergeCells>
  <phoneticPr fontId="0" type="noConversion"/>
  <pageMargins left="0.75" right="0.75" top="1" bottom="1" header="0.5" footer="0.5"/>
  <pageSetup scale="69" orientation="landscape" horizontalDpi="355" verticalDpi="355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23"/>
  <sheetViews>
    <sheetView view="pageBreakPreview" topLeftCell="A186" zoomScale="60" zoomScaleNormal="80" workbookViewId="0">
      <selection activeCell="T201" sqref="T201"/>
    </sheetView>
  </sheetViews>
  <sheetFormatPr defaultRowHeight="12.75"/>
  <cols>
    <col min="2" max="2" width="1.5703125" customWidth="1"/>
    <col min="3" max="3" width="18.5703125" customWidth="1"/>
    <col min="4" max="4" width="15.85546875" customWidth="1"/>
    <col min="5" max="5" width="1.28515625" customWidth="1"/>
    <col min="6" max="6" width="34" customWidth="1"/>
    <col min="7" max="7" width="12.28515625" customWidth="1"/>
    <col min="8" max="8" width="9.5703125" bestFit="1" customWidth="1"/>
    <col min="9" max="9" width="13.7109375" bestFit="1" customWidth="1"/>
    <col min="10" max="10" width="12.28515625" customWidth="1"/>
    <col min="11" max="11" width="9.5703125" bestFit="1" customWidth="1"/>
    <col min="12" max="12" width="14.7109375" bestFit="1" customWidth="1"/>
    <col min="13" max="13" width="13.42578125" bestFit="1" customWidth="1"/>
    <col min="14" max="14" width="14.5703125" customWidth="1"/>
    <col min="15" max="15" width="13.85546875" bestFit="1" customWidth="1"/>
    <col min="16" max="16" width="1.5703125" customWidth="1"/>
  </cols>
  <sheetData>
    <row r="1" spans="1:16">
      <c r="A1" s="60"/>
      <c r="B1" s="470" t="str">
        <f>+'Revenue Input'!A1</f>
        <v xml:space="preserve">E.L.K. Energy Inc., 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</row>
    <row r="2" spans="1:16">
      <c r="A2" s="60"/>
      <c r="B2" s="470" t="str">
        <f>+'Revenue Input'!A2</f>
        <v>ED-2003-0015 , EB-2011-099</v>
      </c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70"/>
      <c r="O2" s="470"/>
    </row>
    <row r="3" spans="1:16">
      <c r="A3" s="60"/>
      <c r="B3" s="470">
        <f>+'Revenue Input'!A3</f>
        <v>0</v>
      </c>
      <c r="C3" s="470"/>
      <c r="D3" s="470"/>
      <c r="E3" s="470"/>
      <c r="F3" s="470"/>
      <c r="G3" s="470"/>
      <c r="H3" s="470"/>
      <c r="I3" s="470"/>
      <c r="J3" s="470"/>
      <c r="K3" s="470"/>
      <c r="L3" s="470"/>
      <c r="M3" s="470"/>
      <c r="N3" s="470"/>
      <c r="O3" s="470"/>
    </row>
    <row r="4" spans="1:16">
      <c r="A4" s="60"/>
      <c r="B4" s="8"/>
      <c r="C4" s="471"/>
      <c r="D4" s="471"/>
      <c r="E4" s="471"/>
      <c r="F4" s="471"/>
      <c r="G4" s="471"/>
      <c r="H4" s="471"/>
      <c r="I4" s="471"/>
      <c r="J4" s="471"/>
      <c r="K4" s="471"/>
      <c r="L4" s="471"/>
      <c r="M4" s="471"/>
      <c r="N4" s="471"/>
      <c r="O4" s="471"/>
    </row>
    <row r="5" spans="1:16" ht="20.25">
      <c r="A5" s="60"/>
      <c r="B5" s="8"/>
      <c r="C5" s="523" t="s">
        <v>179</v>
      </c>
      <c r="D5" s="523"/>
      <c r="E5" s="523"/>
      <c r="F5" s="523"/>
      <c r="G5" s="523"/>
      <c r="H5" s="523"/>
      <c r="I5" s="523"/>
      <c r="J5" s="523"/>
      <c r="K5" s="523"/>
      <c r="L5" s="523"/>
      <c r="M5" s="523"/>
      <c r="N5" s="523"/>
      <c r="O5" s="523"/>
    </row>
    <row r="6" spans="1:16" ht="18">
      <c r="A6" s="60"/>
      <c r="B6" s="8"/>
      <c r="C6" s="478"/>
      <c r="D6" s="478"/>
      <c r="E6" s="478"/>
      <c r="F6" s="478"/>
      <c r="G6" s="478"/>
      <c r="H6" s="478"/>
      <c r="I6" s="478"/>
      <c r="J6" s="478"/>
      <c r="K6" s="478"/>
      <c r="L6" s="478"/>
      <c r="M6" s="478"/>
      <c r="N6" s="478"/>
      <c r="O6" s="478"/>
    </row>
    <row r="7" spans="1:16" ht="18" customHeight="1" thickBot="1">
      <c r="A7" s="60"/>
      <c r="B7" s="471"/>
      <c r="C7" s="471"/>
      <c r="D7" s="471"/>
      <c r="E7" s="471"/>
      <c r="F7" s="471"/>
      <c r="G7" s="471"/>
      <c r="H7" s="471"/>
      <c r="I7" s="471"/>
      <c r="J7" s="471"/>
      <c r="K7" s="471"/>
      <c r="L7" s="471"/>
      <c r="M7" s="471"/>
      <c r="N7" s="471"/>
      <c r="O7" s="471"/>
    </row>
    <row r="8" spans="1:16" ht="21.75" customHeight="1">
      <c r="B8" s="156"/>
      <c r="C8" s="532" t="s">
        <v>48</v>
      </c>
      <c r="D8" s="532"/>
      <c r="E8" s="532"/>
      <c r="F8" s="532"/>
      <c r="G8" s="532"/>
      <c r="H8" s="532"/>
      <c r="I8" s="532"/>
      <c r="J8" s="532"/>
      <c r="K8" s="532"/>
      <c r="L8" s="532"/>
      <c r="M8" s="532"/>
      <c r="N8" s="532"/>
      <c r="O8" s="532"/>
      <c r="P8" s="146"/>
    </row>
    <row r="9" spans="1:16" ht="21.75" customHeight="1" thickBot="1">
      <c r="B9" s="154"/>
      <c r="C9" s="533"/>
      <c r="D9" s="533"/>
      <c r="E9" s="533"/>
      <c r="F9" s="533"/>
      <c r="G9" s="533"/>
      <c r="H9" s="533"/>
      <c r="I9" s="533"/>
      <c r="J9" s="533"/>
      <c r="K9" s="533"/>
      <c r="L9" s="533"/>
      <c r="M9" s="533"/>
      <c r="N9" s="533"/>
      <c r="O9" s="533"/>
      <c r="P9" s="147"/>
    </row>
    <row r="10" spans="1:16" ht="21.75" customHeight="1" thickBot="1">
      <c r="B10" s="154"/>
      <c r="C10" s="155"/>
      <c r="D10" s="155"/>
      <c r="E10" s="31"/>
      <c r="F10" s="37"/>
      <c r="G10" s="534" t="s">
        <v>220</v>
      </c>
      <c r="H10" s="535"/>
      <c r="I10" s="536"/>
      <c r="J10" s="534" t="s">
        <v>259</v>
      </c>
      <c r="K10" s="535"/>
      <c r="L10" s="536"/>
      <c r="M10" s="534" t="s">
        <v>73</v>
      </c>
      <c r="N10" s="535"/>
      <c r="O10" s="536"/>
      <c r="P10" s="147"/>
    </row>
    <row r="11" spans="1:16" ht="26.25" thickBot="1">
      <c r="B11" s="154"/>
      <c r="C11" s="31"/>
      <c r="D11" s="31"/>
      <c r="E11" s="33"/>
      <c r="F11" s="38"/>
      <c r="G11" s="196" t="s">
        <v>67</v>
      </c>
      <c r="H11" s="171" t="s">
        <v>68</v>
      </c>
      <c r="I11" s="172" t="s">
        <v>69</v>
      </c>
      <c r="J11" s="196" t="s">
        <v>67</v>
      </c>
      <c r="K11" s="171" t="s">
        <v>68</v>
      </c>
      <c r="L11" s="172" t="s">
        <v>69</v>
      </c>
      <c r="M11" s="198" t="s">
        <v>74</v>
      </c>
      <c r="N11" s="199" t="s">
        <v>75</v>
      </c>
      <c r="O11" s="200" t="s">
        <v>76</v>
      </c>
      <c r="P11" s="147"/>
    </row>
    <row r="12" spans="1:16" ht="21.75" customHeight="1" thickBot="1">
      <c r="B12" s="154"/>
      <c r="C12" s="528" t="s">
        <v>70</v>
      </c>
      <c r="D12" s="529"/>
      <c r="E12" s="31"/>
      <c r="F12" s="180" t="s">
        <v>71</v>
      </c>
      <c r="G12" s="190"/>
      <c r="H12" s="191"/>
      <c r="I12" s="192">
        <f>+'2011 Existing Rates'!$C$8</f>
        <v>11.13</v>
      </c>
      <c r="J12" s="190"/>
      <c r="K12" s="191"/>
      <c r="L12" s="195">
        <f>'Rate Schedule (Part 1)'!$E$12</f>
        <v>11.07</v>
      </c>
      <c r="M12" s="204">
        <f t="shared" ref="M12:M19" si="0">+L12-I12</f>
        <v>-6.0000000000000497E-2</v>
      </c>
      <c r="N12" s="205">
        <f t="shared" ref="N12:N28" si="1">+M12/I12</f>
        <v>-5.3908355795148693E-3</v>
      </c>
      <c r="O12" s="206">
        <f>L12/L28</f>
        <v>0.43839825998266257</v>
      </c>
      <c r="P12" s="147"/>
    </row>
    <row r="13" spans="1:16" ht="21.75" customHeight="1" thickBot="1">
      <c r="B13" s="154"/>
      <c r="C13" s="150">
        <v>100</v>
      </c>
      <c r="D13" s="151" t="s">
        <v>16</v>
      </c>
      <c r="E13" s="31"/>
      <c r="F13" s="181" t="s">
        <v>72</v>
      </c>
      <c r="G13" s="184">
        <f>+C13</f>
        <v>100</v>
      </c>
      <c r="H13" s="178">
        <f>'2011 Existing Rates'!$B$60</f>
        <v>7.9000000000000008E-3</v>
      </c>
      <c r="I13" s="193">
        <f>+G13*H13</f>
        <v>0.79</v>
      </c>
      <c r="J13" s="184">
        <f>+C13</f>
        <v>100</v>
      </c>
      <c r="K13" s="177">
        <f>'Distribution Rate Schedule'!E35</f>
        <v>7.9000000000000008E-3</v>
      </c>
      <c r="L13" s="197">
        <f>+J13*K13</f>
        <v>0.79</v>
      </c>
      <c r="M13" s="207">
        <f t="shared" si="0"/>
        <v>0</v>
      </c>
      <c r="N13" s="201">
        <f t="shared" si="1"/>
        <v>0</v>
      </c>
      <c r="O13" s="208">
        <f>L13/L28</f>
        <v>3.1285874018636264E-2</v>
      </c>
      <c r="P13" s="147"/>
    </row>
    <row r="14" spans="1:16" ht="21.75" customHeight="1">
      <c r="B14" s="154"/>
      <c r="C14" s="345"/>
      <c r="D14" s="346"/>
      <c r="E14" s="31"/>
      <c r="F14" s="181" t="s">
        <v>222</v>
      </c>
      <c r="G14" s="184">
        <f>G13</f>
        <v>100</v>
      </c>
      <c r="H14" s="178">
        <f>'2011 Existing Rates'!B34</f>
        <v>1.6000000000000001E-3</v>
      </c>
      <c r="I14" s="193">
        <f>+G14*H14</f>
        <v>0.16</v>
      </c>
      <c r="J14" s="184">
        <f>J13</f>
        <v>100</v>
      </c>
      <c r="K14" s="177">
        <f>'Distribution Rate Schedule'!E23</f>
        <v>1.1999999999999999E-3</v>
      </c>
      <c r="L14" s="197">
        <f>+J14*K14</f>
        <v>0.12</v>
      </c>
      <c r="M14" s="207">
        <f t="shared" si="0"/>
        <v>-4.0000000000000008E-2</v>
      </c>
      <c r="N14" s="201">
        <f t="shared" si="1"/>
        <v>-0.25000000000000006</v>
      </c>
      <c r="O14" s="208">
        <f>L14/L28</f>
        <v>4.7522846610586729E-3</v>
      </c>
      <c r="P14" s="147"/>
    </row>
    <row r="15" spans="1:16" ht="21.75" customHeight="1">
      <c r="B15" s="154"/>
      <c r="C15" s="63"/>
      <c r="D15" s="64"/>
      <c r="E15" s="31"/>
      <c r="F15" s="181" t="s">
        <v>271</v>
      </c>
      <c r="G15" s="203"/>
      <c r="H15" s="202"/>
      <c r="I15" s="193">
        <f>'2011 Existing Rates'!$B$47</f>
        <v>1.45</v>
      </c>
      <c r="J15" s="203"/>
      <c r="K15" s="202"/>
      <c r="L15" s="197">
        <f>'Rate Schedule (Part 1)'!$E$16</f>
        <v>-0.94395200676048363</v>
      </c>
      <c r="M15" s="207">
        <f t="shared" si="0"/>
        <v>-2.3939520067604834</v>
      </c>
      <c r="N15" s="201">
        <f t="shared" si="1"/>
        <v>-1.6510013839727471</v>
      </c>
      <c r="O15" s="208">
        <f>L15/L28</f>
        <v>-3.7382738687528325E-2</v>
      </c>
      <c r="P15" s="147"/>
    </row>
    <row r="16" spans="1:16" ht="21.75" customHeight="1">
      <c r="B16" s="154"/>
      <c r="C16" s="63"/>
      <c r="D16" s="64"/>
      <c r="E16" s="31"/>
      <c r="F16" s="181" t="s">
        <v>160</v>
      </c>
      <c r="G16" s="184">
        <f>C13</f>
        <v>100</v>
      </c>
      <c r="H16" s="178"/>
      <c r="I16" s="189">
        <f>+G16*H16</f>
        <v>0</v>
      </c>
      <c r="J16" s="184">
        <f>C13</f>
        <v>100</v>
      </c>
      <c r="K16" s="177">
        <f>'LRAM and SSM Rate Rider'!L9</f>
        <v>6.9999999999999999E-4</v>
      </c>
      <c r="L16" s="197">
        <f>J16*K16</f>
        <v>6.9999999999999993E-2</v>
      </c>
      <c r="M16" s="207">
        <f t="shared" si="0"/>
        <v>6.9999999999999993E-2</v>
      </c>
      <c r="N16" s="201" t="e">
        <f t="shared" si="1"/>
        <v>#DIV/0!</v>
      </c>
      <c r="O16" s="208">
        <f>L16/L28</f>
        <v>2.7721660522842255E-3</v>
      </c>
      <c r="P16" s="147"/>
    </row>
    <row r="17" spans="2:18" ht="21.75" customHeight="1">
      <c r="B17" s="154"/>
      <c r="C17" s="63"/>
      <c r="D17" s="64"/>
      <c r="E17" s="31"/>
      <c r="F17" s="419" t="s">
        <v>270</v>
      </c>
      <c r="G17" s="203"/>
      <c r="H17" s="202"/>
      <c r="I17" s="189"/>
      <c r="J17" s="203"/>
      <c r="K17" s="202"/>
      <c r="L17" s="211">
        <f>'2012 Rate Rider'!E7</f>
        <v>1.4742751921547941</v>
      </c>
      <c r="M17" s="207">
        <f t="shared" si="0"/>
        <v>1.4742751921547941</v>
      </c>
      <c r="N17" s="201" t="e">
        <f t="shared" si="1"/>
        <v>#DIV/0!</v>
      </c>
      <c r="O17" s="208">
        <f>L17/L28</f>
        <v>5.8384794848804628E-2</v>
      </c>
      <c r="P17" s="147"/>
    </row>
    <row r="18" spans="2:18" ht="21.75" customHeight="1">
      <c r="B18" s="154"/>
      <c r="C18" s="63"/>
      <c r="D18" s="64"/>
      <c r="E18" s="31"/>
      <c r="F18" s="419" t="s">
        <v>272</v>
      </c>
      <c r="G18" s="203"/>
      <c r="H18" s="202"/>
      <c r="I18" s="193">
        <f>'2011 Existing Rates'!B74</f>
        <v>0.13</v>
      </c>
      <c r="J18" s="194">
        <f>G18</f>
        <v>0</v>
      </c>
      <c r="K18" s="420">
        <f>'2012 Rate Rider'!F7</f>
        <v>0</v>
      </c>
      <c r="L18" s="193">
        <f>+J18*K18</f>
        <v>0</v>
      </c>
      <c r="M18" s="207">
        <f t="shared" si="0"/>
        <v>-0.13</v>
      </c>
      <c r="N18" s="201">
        <f t="shared" si="1"/>
        <v>-1</v>
      </c>
      <c r="O18" s="208">
        <f>L18/L28</f>
        <v>0</v>
      </c>
      <c r="P18" s="147"/>
    </row>
    <row r="19" spans="2:18" ht="21.75" customHeight="1" thickBot="1">
      <c r="B19" s="154"/>
      <c r="C19" s="31"/>
      <c r="D19" s="31"/>
      <c r="E19" s="31"/>
      <c r="F19" s="182" t="s">
        <v>221</v>
      </c>
      <c r="G19" s="209">
        <f>+C13</f>
        <v>100</v>
      </c>
      <c r="H19" s="210">
        <f>+'2011 Existing Rates'!$B$21</f>
        <v>8.6E-3</v>
      </c>
      <c r="I19" s="211">
        <f>+G19*H19</f>
        <v>0.86</v>
      </c>
      <c r="J19" s="209">
        <f>+C13</f>
        <v>100</v>
      </c>
      <c r="K19" s="210">
        <f>'2012 Rate Rider'!B7</f>
        <v>-8.3597076756817754E-3</v>
      </c>
      <c r="L19" s="211">
        <f>+J19*K19</f>
        <v>-0.83597076756817756</v>
      </c>
      <c r="M19" s="207">
        <f t="shared" si="0"/>
        <v>-1.6959707675681774</v>
      </c>
      <c r="N19" s="201">
        <f t="shared" si="1"/>
        <v>-1.9720590320560203</v>
      </c>
      <c r="O19" s="208">
        <f>L19/L28</f>
        <v>-3.3106425465064128E-2</v>
      </c>
      <c r="P19" s="147"/>
      <c r="R19" t="s">
        <v>233</v>
      </c>
    </row>
    <row r="20" spans="2:18" ht="21.75" customHeight="1" thickBot="1">
      <c r="B20" s="154"/>
      <c r="C20" s="31"/>
      <c r="D20" s="31"/>
      <c r="E20" s="31"/>
      <c r="F20" s="218" t="s">
        <v>223</v>
      </c>
      <c r="G20" s="530"/>
      <c r="H20" s="531"/>
      <c r="I20" s="220">
        <f>SUM(I12:I19)</f>
        <v>14.520000000000001</v>
      </c>
      <c r="J20" s="530"/>
      <c r="K20" s="531"/>
      <c r="L20" s="220">
        <f>SUM(L12:L19)</f>
        <v>11.744352417826132</v>
      </c>
      <c r="M20" s="222">
        <f>SUM(M12:M19)</f>
        <v>-2.7756475821738675</v>
      </c>
      <c r="N20" s="223">
        <f t="shared" si="1"/>
        <v>-0.19116030180260793</v>
      </c>
      <c r="O20" s="225">
        <f>L20/L28</f>
        <v>0.46510421541085389</v>
      </c>
      <c r="P20" s="147"/>
    </row>
    <row r="21" spans="2:18" ht="21.75" customHeight="1" thickBot="1">
      <c r="B21" s="154"/>
      <c r="C21" s="31"/>
      <c r="D21" s="31"/>
      <c r="E21" s="31"/>
      <c r="F21" s="181" t="s">
        <v>224</v>
      </c>
      <c r="G21" s="348">
        <f>C13*'Other Electriciy Rates'!$L$10</f>
        <v>107.91</v>
      </c>
      <c r="H21" s="349">
        <f>'Other Electriciy Rates'!$B$10</f>
        <v>1.0200000000000001E-2</v>
      </c>
      <c r="I21" s="193">
        <f>+G21*H21</f>
        <v>1.1006819999999999</v>
      </c>
      <c r="J21" s="348">
        <f>'BILL IMPACTS '!C13*'Other Electriciy Rates'!$L$25</f>
        <v>108</v>
      </c>
      <c r="K21" s="177">
        <f>'Other Electriciy Rates'!$B$25</f>
        <v>1.0382189432402402E-2</v>
      </c>
      <c r="L21" s="193">
        <f>+J21*K21</f>
        <v>1.1212764586994595</v>
      </c>
      <c r="M21" s="350">
        <f>+L21-I21</f>
        <v>2.0594458699459528E-2</v>
      </c>
      <c r="N21" s="205">
        <f t="shared" si="1"/>
        <v>1.8710634587882358E-2</v>
      </c>
      <c r="O21" s="206">
        <f>L21/L28</f>
        <v>4.4405207629030247E-2</v>
      </c>
      <c r="P21" s="147"/>
    </row>
    <row r="22" spans="2:18" ht="21.75" customHeight="1" thickBot="1">
      <c r="B22" s="154"/>
      <c r="C22" s="31"/>
      <c r="D22" s="31"/>
      <c r="E22" s="31"/>
      <c r="F22" s="218" t="s">
        <v>225</v>
      </c>
      <c r="G22" s="530"/>
      <c r="H22" s="531"/>
      <c r="I22" s="220">
        <f>I20+I21</f>
        <v>15.620682000000002</v>
      </c>
      <c r="J22" s="530"/>
      <c r="K22" s="531"/>
      <c r="L22" s="220">
        <f>L20+L21</f>
        <v>12.865628876525591</v>
      </c>
      <c r="M22" s="220">
        <f>M20+M21</f>
        <v>-2.7550531234744078</v>
      </c>
      <c r="N22" s="223">
        <f t="shared" si="1"/>
        <v>-0.17637214069618776</v>
      </c>
      <c r="O22" s="351">
        <f>L22/L28</f>
        <v>0.50950942303988411</v>
      </c>
      <c r="P22" s="147"/>
    </row>
    <row r="23" spans="2:18" ht="21.75" customHeight="1">
      <c r="B23" s="154"/>
      <c r="C23" s="31"/>
      <c r="D23" s="31"/>
      <c r="E23" s="31"/>
      <c r="F23" s="183" t="s">
        <v>77</v>
      </c>
      <c r="G23" s="185">
        <f>+'Other Electriciy Rates'!$L$10*C13</f>
        <v>107.91</v>
      </c>
      <c r="H23" s="186">
        <f>'Other Electriciy Rates'!$C$10+'Other Electriciy Rates'!$D$10</f>
        <v>1.2986887220832175E-2</v>
      </c>
      <c r="I23" s="187">
        <f>+G23*H23</f>
        <v>1.4014149999999999</v>
      </c>
      <c r="J23" s="185">
        <f>J21</f>
        <v>108</v>
      </c>
      <c r="K23" s="186">
        <f>'Other Electriciy Rates'!$C$25+'Other Electriciy Rates'!$D$25</f>
        <v>1.278148148148148E-2</v>
      </c>
      <c r="L23" s="214">
        <f>+J23*K23</f>
        <v>1.3803999999999998</v>
      </c>
      <c r="M23" s="215">
        <f>+L23-I23</f>
        <v>-2.1015000000000006E-2</v>
      </c>
      <c r="N23" s="216">
        <f t="shared" si="1"/>
        <v>-1.4995558060959821E-2</v>
      </c>
      <c r="O23" s="282">
        <f>L23/L28</f>
        <v>5.4667114551044928E-2</v>
      </c>
      <c r="P23" s="147"/>
    </row>
    <row r="24" spans="2:18" ht="21.75" customHeight="1" thickBot="1">
      <c r="B24" s="154"/>
      <c r="C24" s="31"/>
      <c r="D24" s="31"/>
      <c r="E24" s="31"/>
      <c r="F24" s="181" t="s">
        <v>78</v>
      </c>
      <c r="G24" s="194">
        <f>+'Other Electriciy Rates'!$L$10*C13</f>
        <v>107.91</v>
      </c>
      <c r="H24" s="188">
        <f>'Other Electriciy Rates'!$J$10</f>
        <v>7.4999999999999997E-2</v>
      </c>
      <c r="I24" s="189">
        <f>+G24*H24</f>
        <v>8.0932499999999994</v>
      </c>
      <c r="J24" s="194">
        <f>J23</f>
        <v>108</v>
      </c>
      <c r="K24" s="188">
        <f>'Other Electriciy Rates'!$J$25</f>
        <v>7.4999999999999997E-2</v>
      </c>
      <c r="L24" s="211">
        <f>+J24*K24</f>
        <v>8.1</v>
      </c>
      <c r="M24" s="212">
        <f>+L24-I24</f>
        <v>6.7500000000002558E-3</v>
      </c>
      <c r="N24" s="213">
        <f t="shared" si="1"/>
        <v>8.3402835696416841E-4</v>
      </c>
      <c r="O24" s="226">
        <f>L24/L28</f>
        <v>0.32077921462146042</v>
      </c>
      <c r="P24" s="147"/>
    </row>
    <row r="25" spans="2:18" ht="21.75" customHeight="1" thickBot="1">
      <c r="B25" s="154"/>
      <c r="C25" s="31"/>
      <c r="D25" s="31"/>
      <c r="E25" s="31"/>
      <c r="F25" s="181" t="s">
        <v>235</v>
      </c>
      <c r="G25" s="279">
        <f>G24</f>
        <v>107.91</v>
      </c>
      <c r="H25" s="421">
        <f>'2012 Rate Rider'!G7</f>
        <v>0</v>
      </c>
      <c r="I25" s="189">
        <f>+G25*H25</f>
        <v>0</v>
      </c>
      <c r="J25" s="279">
        <f>G25</f>
        <v>107.91</v>
      </c>
      <c r="K25" s="421">
        <f>'2012 Rate Rider'!G7</f>
        <v>0</v>
      </c>
      <c r="L25" s="211">
        <f>+J25*K25</f>
        <v>0</v>
      </c>
      <c r="M25" s="212">
        <f>+L25-I25</f>
        <v>0</v>
      </c>
      <c r="N25" s="213" t="e">
        <f>+M25/I25</f>
        <v>#DIV/0!</v>
      </c>
      <c r="O25" s="226">
        <f>L25/L28</f>
        <v>0</v>
      </c>
      <c r="P25" s="147"/>
    </row>
    <row r="26" spans="2:18" ht="21.75" customHeight="1" thickBot="1">
      <c r="B26" s="154"/>
      <c r="C26" s="31"/>
      <c r="D26" s="31"/>
      <c r="E26" s="31"/>
      <c r="F26" s="218" t="s">
        <v>192</v>
      </c>
      <c r="G26" s="530"/>
      <c r="H26" s="531"/>
      <c r="I26" s="220">
        <f>SUM(I22:I25)</f>
        <v>25.115347</v>
      </c>
      <c r="J26" s="530"/>
      <c r="K26" s="531"/>
      <c r="L26" s="220">
        <f>SUM(L22:L25)</f>
        <v>22.34602887652559</v>
      </c>
      <c r="M26" s="220">
        <f>M20+M23+M24</f>
        <v>-2.7899125821738675</v>
      </c>
      <c r="N26" s="223">
        <f t="shared" si="1"/>
        <v>-0.11108397515566348</v>
      </c>
      <c r="O26" s="351">
        <f>L26/L28</f>
        <v>0.88495575221238942</v>
      </c>
      <c r="P26" s="284"/>
    </row>
    <row r="27" spans="2:18" ht="21.75" customHeight="1" thickBot="1">
      <c r="B27" s="154"/>
      <c r="C27" s="31"/>
      <c r="D27" s="31"/>
      <c r="E27" s="31"/>
      <c r="F27" s="278" t="s">
        <v>193</v>
      </c>
      <c r="G27" s="279"/>
      <c r="H27" s="283">
        <v>0.13</v>
      </c>
      <c r="I27" s="280">
        <f>I26*H27</f>
        <v>3.2649951100000001</v>
      </c>
      <c r="J27" s="279"/>
      <c r="K27" s="283">
        <v>0.13</v>
      </c>
      <c r="L27" s="281">
        <f>L26*K27</f>
        <v>2.904983753948327</v>
      </c>
      <c r="M27" s="212">
        <f>+L27-I27</f>
        <v>-0.36001135605167311</v>
      </c>
      <c r="N27" s="216">
        <f t="shared" si="1"/>
        <v>-0.11026398016616726</v>
      </c>
      <c r="O27" s="226">
        <f>L27/L28</f>
        <v>0.11504424778761063</v>
      </c>
      <c r="P27" s="147"/>
    </row>
    <row r="28" spans="2:18" s="360" customFormat="1" ht="21.75" customHeight="1" thickBot="1">
      <c r="B28" s="352"/>
      <c r="C28" s="353"/>
      <c r="D28" s="353"/>
      <c r="E28" s="354"/>
      <c r="F28" s="355" t="s">
        <v>79</v>
      </c>
      <c r="G28" s="525"/>
      <c r="H28" s="526"/>
      <c r="I28" s="356">
        <f>I26+I27</f>
        <v>28.380342110000001</v>
      </c>
      <c r="J28" s="525"/>
      <c r="K28" s="526"/>
      <c r="L28" s="356">
        <f>L26+L27</f>
        <v>25.251012630473916</v>
      </c>
      <c r="M28" s="356">
        <f>M26+M27</f>
        <v>-3.1499239382255406</v>
      </c>
      <c r="N28" s="357">
        <f t="shared" si="1"/>
        <v>-0.11098963944890729</v>
      </c>
      <c r="O28" s="358">
        <f>O26+O27</f>
        <v>1</v>
      </c>
      <c r="P28" s="359"/>
    </row>
    <row r="29" spans="2:18" ht="9.75" customHeight="1" thickBot="1">
      <c r="B29" s="148"/>
      <c r="C29" s="527"/>
      <c r="D29" s="527"/>
      <c r="E29" s="527"/>
      <c r="F29" s="527"/>
      <c r="G29" s="527"/>
      <c r="H29" s="527"/>
      <c r="I29" s="527"/>
      <c r="J29" s="527"/>
      <c r="K29" s="527"/>
      <c r="L29" s="527"/>
      <c r="M29" s="527"/>
      <c r="N29" s="527"/>
      <c r="O29" s="527"/>
      <c r="P29" s="149"/>
    </row>
    <row r="30" spans="2:18" ht="18" customHeight="1" thickBot="1"/>
    <row r="31" spans="2:18" ht="21.75" customHeight="1">
      <c r="B31" s="156"/>
      <c r="C31" s="532" t="s">
        <v>48</v>
      </c>
      <c r="D31" s="532"/>
      <c r="E31" s="532"/>
      <c r="F31" s="532"/>
      <c r="G31" s="532"/>
      <c r="H31" s="532"/>
      <c r="I31" s="532"/>
      <c r="J31" s="532"/>
      <c r="K31" s="532"/>
      <c r="L31" s="532"/>
      <c r="M31" s="532"/>
      <c r="N31" s="532"/>
      <c r="O31" s="532"/>
      <c r="P31" s="146"/>
    </row>
    <row r="32" spans="2:18" ht="21.75" customHeight="1" thickBot="1">
      <c r="B32" s="154"/>
      <c r="C32" s="533"/>
      <c r="D32" s="533"/>
      <c r="E32" s="533"/>
      <c r="F32" s="533"/>
      <c r="G32" s="533"/>
      <c r="H32" s="533"/>
      <c r="I32" s="533"/>
      <c r="J32" s="533"/>
      <c r="K32" s="533"/>
      <c r="L32" s="533"/>
      <c r="M32" s="533"/>
      <c r="N32" s="533"/>
      <c r="O32" s="533"/>
      <c r="P32" s="147"/>
    </row>
    <row r="33" spans="2:16" ht="21.75" customHeight="1" thickBot="1">
      <c r="B33" s="154"/>
      <c r="C33" s="155"/>
      <c r="D33" s="155"/>
      <c r="E33" s="31"/>
      <c r="F33" s="37"/>
      <c r="G33" s="534" t="str">
        <f>$G$10</f>
        <v>2011 BILL</v>
      </c>
      <c r="H33" s="535"/>
      <c r="I33" s="536"/>
      <c r="J33" s="534" t="str">
        <f>$J$10</f>
        <v>2012 BILL</v>
      </c>
      <c r="K33" s="535"/>
      <c r="L33" s="536"/>
      <c r="M33" s="534" t="s">
        <v>73</v>
      </c>
      <c r="N33" s="535"/>
      <c r="O33" s="536"/>
      <c r="P33" s="147"/>
    </row>
    <row r="34" spans="2:16" ht="26.25" thickBot="1">
      <c r="B34" s="154"/>
      <c r="C34" s="31"/>
      <c r="D34" s="31"/>
      <c r="E34" s="33"/>
      <c r="F34" s="38"/>
      <c r="G34" s="196" t="s">
        <v>67</v>
      </c>
      <c r="H34" s="171" t="s">
        <v>68</v>
      </c>
      <c r="I34" s="172" t="s">
        <v>69</v>
      </c>
      <c r="J34" s="196" t="s">
        <v>67</v>
      </c>
      <c r="K34" s="171" t="s">
        <v>68</v>
      </c>
      <c r="L34" s="172" t="s">
        <v>69</v>
      </c>
      <c r="M34" s="198" t="s">
        <v>74</v>
      </c>
      <c r="N34" s="199" t="s">
        <v>75</v>
      </c>
      <c r="O34" s="200" t="s">
        <v>76</v>
      </c>
      <c r="P34" s="147"/>
    </row>
    <row r="35" spans="2:16" ht="21.75" customHeight="1" thickBot="1">
      <c r="B35" s="154"/>
      <c r="C35" s="528" t="s">
        <v>70</v>
      </c>
      <c r="D35" s="529"/>
      <c r="E35" s="31"/>
      <c r="F35" s="180" t="s">
        <v>71</v>
      </c>
      <c r="G35" s="190"/>
      <c r="H35" s="191"/>
      <c r="I35" s="192">
        <f>+'2011 Existing Rates'!$C$8</f>
        <v>11.13</v>
      </c>
      <c r="J35" s="190"/>
      <c r="K35" s="191"/>
      <c r="L35" s="195">
        <f>'Rate Schedule (Part 1)'!$E$12</f>
        <v>11.07</v>
      </c>
      <c r="M35" s="204">
        <f t="shared" ref="M35:M42" si="2">+L35-I35</f>
        <v>-6.0000000000000497E-2</v>
      </c>
      <c r="N35" s="205">
        <f t="shared" ref="N35:N51" si="3">+M35/I35</f>
        <v>-5.3908355795148693E-3</v>
      </c>
      <c r="O35" s="206">
        <f>L35/L51</f>
        <v>0.25468777480305266</v>
      </c>
      <c r="P35" s="147"/>
    </row>
    <row r="36" spans="2:16" ht="21.75" customHeight="1" thickBot="1">
      <c r="B36" s="154"/>
      <c r="C36" s="150">
        <v>250</v>
      </c>
      <c r="D36" s="151" t="s">
        <v>16</v>
      </c>
      <c r="E36" s="31"/>
      <c r="F36" s="181" t="s">
        <v>72</v>
      </c>
      <c r="G36" s="184">
        <f>+C36</f>
        <v>250</v>
      </c>
      <c r="H36" s="178">
        <f>H13</f>
        <v>7.9000000000000008E-3</v>
      </c>
      <c r="I36" s="193">
        <f>+G36*H36</f>
        <v>1.9750000000000001</v>
      </c>
      <c r="J36" s="184">
        <f>+C36</f>
        <v>250</v>
      </c>
      <c r="K36" s="177">
        <f>K13</f>
        <v>7.9000000000000008E-3</v>
      </c>
      <c r="L36" s="197">
        <f>+J36*K36</f>
        <v>1.9750000000000001</v>
      </c>
      <c r="M36" s="207">
        <f t="shared" si="2"/>
        <v>0</v>
      </c>
      <c r="N36" s="201">
        <f t="shared" si="3"/>
        <v>0</v>
      </c>
      <c r="O36" s="208">
        <f>L36/L51</f>
        <v>4.543887581174607E-2</v>
      </c>
      <c r="P36" s="147"/>
    </row>
    <row r="37" spans="2:16" ht="21.75" customHeight="1">
      <c r="B37" s="154"/>
      <c r="C37" s="345"/>
      <c r="D37" s="346"/>
      <c r="E37" s="31"/>
      <c r="F37" s="181" t="s">
        <v>222</v>
      </c>
      <c r="G37" s="184">
        <f>G36</f>
        <v>250</v>
      </c>
      <c r="H37" s="178">
        <f>H14</f>
        <v>1.6000000000000001E-3</v>
      </c>
      <c r="I37" s="193">
        <f>+G37*H37</f>
        <v>0.4</v>
      </c>
      <c r="J37" s="184">
        <f>J36</f>
        <v>250</v>
      </c>
      <c r="K37" s="177">
        <f>K14</f>
        <v>1.1999999999999999E-3</v>
      </c>
      <c r="L37" s="197">
        <f>+J37*K37</f>
        <v>0.3</v>
      </c>
      <c r="M37" s="207">
        <f t="shared" si="2"/>
        <v>-0.10000000000000003</v>
      </c>
      <c r="N37" s="201">
        <f t="shared" si="3"/>
        <v>-0.25000000000000006</v>
      </c>
      <c r="O37" s="208">
        <f>L37/L51</f>
        <v>6.9021077182399096E-3</v>
      </c>
      <c r="P37" s="147"/>
    </row>
    <row r="38" spans="2:16" ht="21.75" customHeight="1">
      <c r="B38" s="154"/>
      <c r="C38" s="63"/>
      <c r="D38" s="64"/>
      <c r="E38" s="31"/>
      <c r="F38" s="181" t="s">
        <v>271</v>
      </c>
      <c r="G38" s="203"/>
      <c r="H38" s="202"/>
      <c r="I38" s="193">
        <f>'2011 Existing Rates'!$B$47</f>
        <v>1.45</v>
      </c>
      <c r="J38" s="203"/>
      <c r="K38" s="202"/>
      <c r="L38" s="197">
        <f>'Rate Schedule (Part 1)'!$E$16</f>
        <v>-0.94395200676048363</v>
      </c>
      <c r="M38" s="207">
        <f t="shared" si="2"/>
        <v>-2.3939520067604834</v>
      </c>
      <c r="N38" s="201">
        <f t="shared" si="3"/>
        <v>-1.6510013839727471</v>
      </c>
      <c r="O38" s="208">
        <f>L38/L51</f>
        <v>-2.1717528105031952E-2</v>
      </c>
      <c r="P38" s="147"/>
    </row>
    <row r="39" spans="2:16" ht="21.75" customHeight="1">
      <c r="B39" s="154"/>
      <c r="C39" s="63"/>
      <c r="D39" s="64"/>
      <c r="E39" s="31"/>
      <c r="F39" s="181" t="s">
        <v>160</v>
      </c>
      <c r="G39" s="184">
        <f>C36</f>
        <v>250</v>
      </c>
      <c r="H39" s="178">
        <f>H16</f>
        <v>0</v>
      </c>
      <c r="I39" s="189">
        <f>+G39*H39</f>
        <v>0</v>
      </c>
      <c r="J39" s="184">
        <f>C36</f>
        <v>250</v>
      </c>
      <c r="K39" s="177">
        <f>K16</f>
        <v>6.9999999999999999E-4</v>
      </c>
      <c r="L39" s="197">
        <f>J39*K39</f>
        <v>0.17499999999999999</v>
      </c>
      <c r="M39" s="207">
        <f t="shared" si="2"/>
        <v>0.17499999999999999</v>
      </c>
      <c r="N39" s="201" t="e">
        <f t="shared" si="3"/>
        <v>#DIV/0!</v>
      </c>
      <c r="O39" s="208">
        <f>L39/L51</f>
        <v>4.0262295023066139E-3</v>
      </c>
      <c r="P39" s="147"/>
    </row>
    <row r="40" spans="2:16" ht="21.75" customHeight="1">
      <c r="B40" s="154"/>
      <c r="C40" s="63"/>
      <c r="D40" s="64"/>
      <c r="E40" s="31"/>
      <c r="F40" s="419" t="s">
        <v>270</v>
      </c>
      <c r="G40" s="203"/>
      <c r="H40" s="202"/>
      <c r="I40" s="189"/>
      <c r="J40" s="203"/>
      <c r="K40" s="202"/>
      <c r="L40" s="211">
        <f>L17</f>
        <v>1.4742751921547941</v>
      </c>
      <c r="M40" s="207">
        <f t="shared" si="2"/>
        <v>1.4742751921547941</v>
      </c>
      <c r="N40" s="201" t="e">
        <f t="shared" si="3"/>
        <v>#DIV/0!</v>
      </c>
      <c r="O40" s="208">
        <f>L40/L51</f>
        <v>3.3918687275270767E-2</v>
      </c>
      <c r="P40" s="147"/>
    </row>
    <row r="41" spans="2:16" ht="21.75" customHeight="1">
      <c r="B41" s="154"/>
      <c r="C41" s="63"/>
      <c r="D41" s="64"/>
      <c r="E41" s="31"/>
      <c r="F41" s="419" t="s">
        <v>272</v>
      </c>
      <c r="G41" s="203"/>
      <c r="H41" s="202"/>
      <c r="I41" s="193">
        <f>I18</f>
        <v>0.13</v>
      </c>
      <c r="J41" s="194">
        <f>G41</f>
        <v>0</v>
      </c>
      <c r="K41" s="420">
        <f>K18</f>
        <v>0</v>
      </c>
      <c r="L41" s="193">
        <f>+J41*K41</f>
        <v>0</v>
      </c>
      <c r="M41" s="207">
        <f t="shared" si="2"/>
        <v>-0.13</v>
      </c>
      <c r="N41" s="201">
        <f t="shared" si="3"/>
        <v>-1</v>
      </c>
      <c r="O41" s="208">
        <f>L41/L51</f>
        <v>0</v>
      </c>
      <c r="P41" s="147"/>
    </row>
    <row r="42" spans="2:16" ht="21.75" customHeight="1" thickBot="1">
      <c r="B42" s="154"/>
      <c r="C42" s="31"/>
      <c r="D42" s="31"/>
      <c r="E42" s="31"/>
      <c r="F42" s="182" t="s">
        <v>221</v>
      </c>
      <c r="G42" s="209">
        <f>+C36</f>
        <v>250</v>
      </c>
      <c r="H42" s="210">
        <f>H19</f>
        <v>8.6E-3</v>
      </c>
      <c r="I42" s="211">
        <f>+G42*H42</f>
        <v>2.15</v>
      </c>
      <c r="J42" s="209">
        <f>+C36</f>
        <v>250</v>
      </c>
      <c r="K42" s="420">
        <f>K19</f>
        <v>-8.3597076756817754E-3</v>
      </c>
      <c r="L42" s="211">
        <f>+J42*K42</f>
        <v>-2.0899269189204439</v>
      </c>
      <c r="M42" s="207">
        <f t="shared" si="2"/>
        <v>-4.2399269189204443</v>
      </c>
      <c r="N42" s="201">
        <f t="shared" si="3"/>
        <v>-1.9720590320560207</v>
      </c>
      <c r="O42" s="208">
        <f>L42/L51</f>
        <v>-4.8083002392127164E-2</v>
      </c>
      <c r="P42" s="147"/>
    </row>
    <row r="43" spans="2:16" ht="21.75" customHeight="1" thickBot="1">
      <c r="B43" s="154"/>
      <c r="C43" s="31"/>
      <c r="D43" s="31"/>
      <c r="E43" s="31"/>
      <c r="F43" s="218" t="s">
        <v>223</v>
      </c>
      <c r="G43" s="530"/>
      <c r="H43" s="531"/>
      <c r="I43" s="220">
        <f>SUM(I35:I42)</f>
        <v>17.234999999999999</v>
      </c>
      <c r="J43" s="530"/>
      <c r="K43" s="531"/>
      <c r="L43" s="220">
        <f>SUM(L35:L42)</f>
        <v>11.960396266473868</v>
      </c>
      <c r="M43" s="222">
        <f>SUM(M35:M42)</f>
        <v>-5.2746037335261349</v>
      </c>
      <c r="N43" s="223">
        <f t="shared" si="3"/>
        <v>-0.30604025143754771</v>
      </c>
      <c r="O43" s="225">
        <f>L43/L51</f>
        <v>0.27517314461345693</v>
      </c>
      <c r="P43" s="147"/>
    </row>
    <row r="44" spans="2:16" ht="21.75" customHeight="1" thickBot="1">
      <c r="B44" s="154"/>
      <c r="C44" s="31"/>
      <c r="D44" s="31"/>
      <c r="E44" s="31"/>
      <c r="F44" s="181" t="s">
        <v>224</v>
      </c>
      <c r="G44" s="348">
        <f>C36*'Other Electriciy Rates'!$L$10</f>
        <v>269.77499999999998</v>
      </c>
      <c r="H44" s="349">
        <f>H21</f>
        <v>1.0200000000000001E-2</v>
      </c>
      <c r="I44" s="193">
        <f>+G44*H44</f>
        <v>2.7517049999999998</v>
      </c>
      <c r="J44" s="348">
        <f>'BILL IMPACTS '!C36*'Other Electriciy Rates'!$L$25</f>
        <v>270</v>
      </c>
      <c r="K44" s="420">
        <f>'Other Electriciy Rates'!$B$25</f>
        <v>1.0382189432402402E-2</v>
      </c>
      <c r="L44" s="193">
        <f>+J44*K44</f>
        <v>2.8031911467486488</v>
      </c>
      <c r="M44" s="350">
        <f>+L44-I44</f>
        <v>5.1486146748648931E-2</v>
      </c>
      <c r="N44" s="205">
        <f t="shared" si="3"/>
        <v>1.8710634587882399E-2</v>
      </c>
      <c r="O44" s="206">
        <f>L44/L51</f>
        <v>6.4493090832252103E-2</v>
      </c>
      <c r="P44" s="147"/>
    </row>
    <row r="45" spans="2:16" ht="21.75" customHeight="1" thickBot="1">
      <c r="B45" s="154"/>
      <c r="C45" s="31"/>
      <c r="D45" s="31"/>
      <c r="E45" s="31"/>
      <c r="F45" s="218" t="s">
        <v>225</v>
      </c>
      <c r="G45" s="530"/>
      <c r="H45" s="531"/>
      <c r="I45" s="220">
        <f>I43+I44</f>
        <v>19.986705000000001</v>
      </c>
      <c r="J45" s="530"/>
      <c r="K45" s="531"/>
      <c r="L45" s="220">
        <f>L43+L44</f>
        <v>14.763587413222517</v>
      </c>
      <c r="M45" s="220">
        <f>M43+M44</f>
        <v>-5.2231175867774855</v>
      </c>
      <c r="N45" s="223">
        <f t="shared" si="3"/>
        <v>-0.2613295981892706</v>
      </c>
      <c r="O45" s="351">
        <f>L45/L51</f>
        <v>0.33966623544570906</v>
      </c>
      <c r="P45" s="147"/>
    </row>
    <row r="46" spans="2:16" ht="21.75" customHeight="1" thickBot="1">
      <c r="B46" s="154"/>
      <c r="C46" s="31"/>
      <c r="D46" s="31"/>
      <c r="E46" s="31"/>
      <c r="F46" s="183" t="s">
        <v>77</v>
      </c>
      <c r="G46" s="185">
        <f>+'Other Electriciy Rates'!$L$10*C36</f>
        <v>269.77499999999998</v>
      </c>
      <c r="H46" s="186">
        <f>H23</f>
        <v>1.2986887220832175E-2</v>
      </c>
      <c r="I46" s="187">
        <f>+G46*H46</f>
        <v>3.5035374999999997</v>
      </c>
      <c r="J46" s="185">
        <f>J44</f>
        <v>270</v>
      </c>
      <c r="K46" s="186">
        <f>K23</f>
        <v>1.278148148148148E-2</v>
      </c>
      <c r="L46" s="214">
        <f>+J46*K46</f>
        <v>3.4509999999999996</v>
      </c>
      <c r="M46" s="215">
        <f>+L46-I46</f>
        <v>-5.2537500000000126E-2</v>
      </c>
      <c r="N46" s="216">
        <f t="shared" si="3"/>
        <v>-1.4995558060959853E-2</v>
      </c>
      <c r="O46" s="282">
        <f>L46/L51</f>
        <v>7.9397245785486417E-2</v>
      </c>
      <c r="P46" s="147"/>
    </row>
    <row r="47" spans="2:16" ht="21.75" customHeight="1">
      <c r="B47" s="154"/>
      <c r="C47" s="31"/>
      <c r="D47" s="31"/>
      <c r="E47" s="31"/>
      <c r="F47" s="181" t="s">
        <v>78</v>
      </c>
      <c r="G47" s="194">
        <f>+'Other Electriciy Rates'!$L$10*C36</f>
        <v>269.77499999999998</v>
      </c>
      <c r="H47" s="186">
        <f>H24</f>
        <v>7.4999999999999997E-2</v>
      </c>
      <c r="I47" s="189">
        <f>+G47*H47</f>
        <v>20.233124999999998</v>
      </c>
      <c r="J47" s="194">
        <f>J46</f>
        <v>270</v>
      </c>
      <c r="K47" s="186">
        <f>K24</f>
        <v>7.4999999999999997E-2</v>
      </c>
      <c r="L47" s="211">
        <f>+J47*K47</f>
        <v>20.25</v>
      </c>
      <c r="M47" s="212">
        <f>+L47-I47</f>
        <v>1.6875000000002416E-2</v>
      </c>
      <c r="N47" s="213">
        <f t="shared" si="3"/>
        <v>8.3402835696425623E-4</v>
      </c>
      <c r="O47" s="282">
        <f>L47/L51</f>
        <v>0.4658922709811939</v>
      </c>
      <c r="P47" s="147"/>
    </row>
    <row r="48" spans="2:16" ht="21.75" customHeight="1" thickBot="1">
      <c r="B48" s="154"/>
      <c r="C48" s="31"/>
      <c r="D48" s="31"/>
      <c r="E48" s="31"/>
      <c r="F48" s="181" t="s">
        <v>235</v>
      </c>
      <c r="G48" s="279">
        <f>G47</f>
        <v>269.77499999999998</v>
      </c>
      <c r="H48" s="186">
        <f>H25</f>
        <v>0</v>
      </c>
      <c r="I48" s="189">
        <f>+G48*H48</f>
        <v>0</v>
      </c>
      <c r="J48" s="279">
        <f>G48</f>
        <v>269.77499999999998</v>
      </c>
      <c r="K48" s="186">
        <f>K25</f>
        <v>0</v>
      </c>
      <c r="L48" s="211">
        <f>+J48*K48</f>
        <v>0</v>
      </c>
      <c r="M48" s="212">
        <f>+L48-I48</f>
        <v>0</v>
      </c>
      <c r="N48" s="213" t="e">
        <f t="shared" si="3"/>
        <v>#DIV/0!</v>
      </c>
      <c r="O48" s="226">
        <f>L48/L51</f>
        <v>0</v>
      </c>
      <c r="P48" s="147"/>
    </row>
    <row r="49" spans="2:17" ht="21.75" customHeight="1" thickBot="1">
      <c r="B49" s="154"/>
      <c r="C49" s="31"/>
      <c r="D49" s="31"/>
      <c r="E49" s="31"/>
      <c r="F49" s="218" t="s">
        <v>192</v>
      </c>
      <c r="G49" s="530"/>
      <c r="H49" s="531"/>
      <c r="I49" s="220">
        <f>SUM(I45:I48)</f>
        <v>43.723367499999995</v>
      </c>
      <c r="J49" s="530"/>
      <c r="K49" s="531"/>
      <c r="L49" s="220">
        <f>SUM(L45:L48)</f>
        <v>38.464587413222517</v>
      </c>
      <c r="M49" s="220">
        <f>M43+M46+M47</f>
        <v>-5.3102662335261321</v>
      </c>
      <c r="N49" s="223">
        <f t="shared" si="3"/>
        <v>-0.12145144660978212</v>
      </c>
      <c r="O49" s="351">
        <f>L49/L51</f>
        <v>0.88495575221238942</v>
      </c>
      <c r="P49" s="284"/>
    </row>
    <row r="50" spans="2:17" ht="21.75" customHeight="1" thickBot="1">
      <c r="B50" s="154"/>
      <c r="C50" s="31"/>
      <c r="D50" s="31"/>
      <c r="E50" s="31"/>
      <c r="F50" s="278" t="s">
        <v>193</v>
      </c>
      <c r="G50" s="279"/>
      <c r="H50" s="283">
        <f>H27</f>
        <v>0.13</v>
      </c>
      <c r="I50" s="280">
        <f>I49*H50</f>
        <v>5.6840377749999993</v>
      </c>
      <c r="J50" s="279"/>
      <c r="K50" s="283">
        <f>K27</f>
        <v>0.13</v>
      </c>
      <c r="L50" s="281">
        <f>L49*K50</f>
        <v>5.0003963637189273</v>
      </c>
      <c r="M50" s="212">
        <f>+L50-I50</f>
        <v>-0.68364141128107203</v>
      </c>
      <c r="N50" s="216">
        <f t="shared" si="3"/>
        <v>-0.1202739035774744</v>
      </c>
      <c r="O50" s="226">
        <f>L50/L51</f>
        <v>0.11504424778761062</v>
      </c>
      <c r="P50" s="147"/>
    </row>
    <row r="51" spans="2:17" ht="21.75" customHeight="1" thickBot="1">
      <c r="B51" s="352"/>
      <c r="C51" s="353"/>
      <c r="D51" s="353"/>
      <c r="E51" s="354"/>
      <c r="F51" s="355" t="s">
        <v>79</v>
      </c>
      <c r="G51" s="525"/>
      <c r="H51" s="526"/>
      <c r="I51" s="356">
        <f>I49+I50</f>
        <v>49.407405274999995</v>
      </c>
      <c r="J51" s="525"/>
      <c r="K51" s="526"/>
      <c r="L51" s="356">
        <f>L49+L50</f>
        <v>43.464983776941445</v>
      </c>
      <c r="M51" s="356">
        <f>M49+M50</f>
        <v>-5.9939076448072042</v>
      </c>
      <c r="N51" s="357">
        <f t="shared" si="3"/>
        <v>-0.12131597705739273</v>
      </c>
      <c r="O51" s="358">
        <f>O49+O50</f>
        <v>1</v>
      </c>
      <c r="P51" s="359"/>
      <c r="Q51" s="360"/>
    </row>
    <row r="52" spans="2:17" ht="10.5" customHeight="1" thickBot="1">
      <c r="B52" s="148"/>
      <c r="C52" s="527"/>
      <c r="D52" s="527"/>
      <c r="E52" s="527"/>
      <c r="F52" s="527"/>
      <c r="G52" s="527"/>
      <c r="H52" s="527"/>
      <c r="I52" s="527"/>
      <c r="J52" s="527"/>
      <c r="K52" s="527"/>
      <c r="L52" s="527"/>
      <c r="M52" s="527"/>
      <c r="N52" s="527"/>
      <c r="O52" s="527"/>
      <c r="P52" s="149"/>
    </row>
    <row r="53" spans="2:17" ht="21.75" customHeight="1" thickBot="1"/>
    <row r="54" spans="2:17" ht="22.5" customHeight="1">
      <c r="B54" s="156"/>
      <c r="C54" s="532" t="s">
        <v>48</v>
      </c>
      <c r="D54" s="532"/>
      <c r="E54" s="532"/>
      <c r="F54" s="532"/>
      <c r="G54" s="532"/>
      <c r="H54" s="532"/>
      <c r="I54" s="532"/>
      <c r="J54" s="532"/>
      <c r="K54" s="532"/>
      <c r="L54" s="532"/>
      <c r="M54" s="532"/>
      <c r="N54" s="532"/>
      <c r="O54" s="532"/>
      <c r="P54" s="146"/>
    </row>
    <row r="55" spans="2:17" ht="18" customHeight="1" thickBot="1">
      <c r="B55" s="154"/>
      <c r="C55" s="533"/>
      <c r="D55" s="533"/>
      <c r="E55" s="533"/>
      <c r="F55" s="533"/>
      <c r="G55" s="533"/>
      <c r="H55" s="533"/>
      <c r="I55" s="533"/>
      <c r="J55" s="533"/>
      <c r="K55" s="533"/>
      <c r="L55" s="533"/>
      <c r="M55" s="533"/>
      <c r="N55" s="533"/>
      <c r="O55" s="533"/>
      <c r="P55" s="147"/>
    </row>
    <row r="56" spans="2:17" ht="18" customHeight="1" thickBot="1">
      <c r="B56" s="154"/>
      <c r="C56" s="155"/>
      <c r="D56" s="155"/>
      <c r="E56" s="31"/>
      <c r="F56" s="37"/>
      <c r="G56" s="534" t="str">
        <f>$G$10</f>
        <v>2011 BILL</v>
      </c>
      <c r="H56" s="535"/>
      <c r="I56" s="536"/>
      <c r="J56" s="534" t="str">
        <f>$J$10</f>
        <v>2012 BILL</v>
      </c>
      <c r="K56" s="535"/>
      <c r="L56" s="536"/>
      <c r="M56" s="534" t="s">
        <v>73</v>
      </c>
      <c r="N56" s="535"/>
      <c r="O56" s="536"/>
      <c r="P56" s="147"/>
    </row>
    <row r="57" spans="2:17" ht="26.25" thickBot="1">
      <c r="B57" s="154"/>
      <c r="C57" s="31"/>
      <c r="D57" s="31"/>
      <c r="E57" s="33"/>
      <c r="F57" s="38"/>
      <c r="G57" s="196" t="s">
        <v>67</v>
      </c>
      <c r="H57" s="171" t="s">
        <v>68</v>
      </c>
      <c r="I57" s="172" t="s">
        <v>69</v>
      </c>
      <c r="J57" s="196" t="s">
        <v>67</v>
      </c>
      <c r="K57" s="171" t="s">
        <v>68</v>
      </c>
      <c r="L57" s="172" t="s">
        <v>69</v>
      </c>
      <c r="M57" s="198" t="s">
        <v>74</v>
      </c>
      <c r="N57" s="199" t="s">
        <v>75</v>
      </c>
      <c r="O57" s="200" t="s">
        <v>76</v>
      </c>
      <c r="P57" s="147"/>
    </row>
    <row r="58" spans="2:17" ht="18" customHeight="1" thickBot="1">
      <c r="B58" s="154"/>
      <c r="C58" s="528" t="s">
        <v>70</v>
      </c>
      <c r="D58" s="529"/>
      <c r="E58" s="31"/>
      <c r="F58" s="180" t="s">
        <v>71</v>
      </c>
      <c r="G58" s="190"/>
      <c r="H58" s="191"/>
      <c r="I58" s="192">
        <f>+'2011 Existing Rates'!$C$8</f>
        <v>11.13</v>
      </c>
      <c r="J58" s="190"/>
      <c r="K58" s="191"/>
      <c r="L58" s="195">
        <f>'Rate Schedule (Part 1)'!$E$12</f>
        <v>11.07</v>
      </c>
      <c r="M58" s="204">
        <f t="shared" ref="M58:M65" si="4">+L58-I58</f>
        <v>-6.0000000000000497E-2</v>
      </c>
      <c r="N58" s="205">
        <f t="shared" ref="N58:N74" si="5">+M58/I58</f>
        <v>-5.3908355795148693E-3</v>
      </c>
      <c r="O58" s="206">
        <f>L58/L74</f>
        <v>0.14995610562417028</v>
      </c>
      <c r="P58" s="147"/>
    </row>
    <row r="59" spans="2:17" ht="18" customHeight="1" thickBot="1">
      <c r="B59" s="154"/>
      <c r="C59" s="150">
        <v>500</v>
      </c>
      <c r="D59" s="151" t="s">
        <v>16</v>
      </c>
      <c r="E59" s="31"/>
      <c r="F59" s="181" t="s">
        <v>72</v>
      </c>
      <c r="G59" s="184">
        <f>+C59</f>
        <v>500</v>
      </c>
      <c r="H59" s="178">
        <f>H36</f>
        <v>7.9000000000000008E-3</v>
      </c>
      <c r="I59" s="193">
        <f>+G59*H59</f>
        <v>3.95</v>
      </c>
      <c r="J59" s="184">
        <f>+C59</f>
        <v>500</v>
      </c>
      <c r="K59" s="177">
        <f>K36</f>
        <v>7.9000000000000008E-3</v>
      </c>
      <c r="L59" s="197">
        <f>+J59*K59</f>
        <v>3.95</v>
      </c>
      <c r="M59" s="207">
        <f t="shared" si="4"/>
        <v>0</v>
      </c>
      <c r="N59" s="201">
        <f t="shared" si="5"/>
        <v>0</v>
      </c>
      <c r="O59" s="208">
        <f>L59/L74</f>
        <v>5.3507372828859312E-2</v>
      </c>
      <c r="P59" s="147"/>
    </row>
    <row r="60" spans="2:17" ht="18" customHeight="1">
      <c r="B60" s="154"/>
      <c r="C60" s="345"/>
      <c r="D60" s="346"/>
      <c r="E60" s="31"/>
      <c r="F60" s="181" t="s">
        <v>222</v>
      </c>
      <c r="G60" s="184">
        <f>G59</f>
        <v>500</v>
      </c>
      <c r="H60" s="178">
        <f>H37</f>
        <v>1.6000000000000001E-3</v>
      </c>
      <c r="I60" s="193">
        <f>+G60*H60</f>
        <v>0.8</v>
      </c>
      <c r="J60" s="184">
        <f>J59</f>
        <v>500</v>
      </c>
      <c r="K60" s="177">
        <f>K37</f>
        <v>1.1999999999999999E-3</v>
      </c>
      <c r="L60" s="197">
        <f>+J60*K60</f>
        <v>0.6</v>
      </c>
      <c r="M60" s="207">
        <f t="shared" si="4"/>
        <v>-0.20000000000000007</v>
      </c>
      <c r="N60" s="201">
        <f t="shared" si="5"/>
        <v>-0.25000000000000006</v>
      </c>
      <c r="O60" s="208">
        <f>L60/L74</f>
        <v>8.127702201852046E-3</v>
      </c>
      <c r="P60" s="147"/>
    </row>
    <row r="61" spans="2:17" ht="18" customHeight="1">
      <c r="B61" s="154"/>
      <c r="C61" s="63"/>
      <c r="D61" s="64"/>
      <c r="E61" s="31"/>
      <c r="F61" s="181" t="s">
        <v>271</v>
      </c>
      <c r="G61" s="203"/>
      <c r="H61" s="202"/>
      <c r="I61" s="193">
        <f>'2011 Existing Rates'!$B$47</f>
        <v>1.45</v>
      </c>
      <c r="J61" s="203"/>
      <c r="K61" s="202"/>
      <c r="L61" s="197">
        <f>'Rate Schedule (Part 1)'!$E$16</f>
        <v>-0.94395200676048363</v>
      </c>
      <c r="M61" s="207">
        <f t="shared" si="4"/>
        <v>-2.3939520067604834</v>
      </c>
      <c r="N61" s="201">
        <f t="shared" si="5"/>
        <v>-1.6510013839727471</v>
      </c>
      <c r="O61" s="208">
        <f>L61/L74</f>
        <v>-1.2786934672983068E-2</v>
      </c>
      <c r="P61" s="147"/>
    </row>
    <row r="62" spans="2:17" ht="18" customHeight="1">
      <c r="B62" s="154"/>
      <c r="C62" s="63"/>
      <c r="D62" s="64"/>
      <c r="E62" s="31"/>
      <c r="F62" s="181" t="s">
        <v>160</v>
      </c>
      <c r="G62" s="184">
        <f>C59</f>
        <v>500</v>
      </c>
      <c r="H62" s="178">
        <f>H39</f>
        <v>0</v>
      </c>
      <c r="I62" s="189">
        <f>+G62*H62</f>
        <v>0</v>
      </c>
      <c r="J62" s="184">
        <f>C59</f>
        <v>500</v>
      </c>
      <c r="K62" s="177">
        <f>K39</f>
        <v>6.9999999999999999E-4</v>
      </c>
      <c r="L62" s="197">
        <f>J62*K62</f>
        <v>0.35</v>
      </c>
      <c r="M62" s="207">
        <f t="shared" si="4"/>
        <v>0.35</v>
      </c>
      <c r="N62" s="201" t="e">
        <f t="shared" si="5"/>
        <v>#DIV/0!</v>
      </c>
      <c r="O62" s="208">
        <f>L62/L74</f>
        <v>4.7411596177470271E-3</v>
      </c>
      <c r="P62" s="147"/>
    </row>
    <row r="63" spans="2:17" ht="18" customHeight="1">
      <c r="B63" s="154"/>
      <c r="C63" s="63"/>
      <c r="D63" s="64"/>
      <c r="E63" s="31"/>
      <c r="F63" s="419" t="s">
        <v>270</v>
      </c>
      <c r="G63" s="203"/>
      <c r="H63" s="202"/>
      <c r="I63" s="189"/>
      <c r="J63" s="203"/>
      <c r="K63" s="202"/>
      <c r="L63" s="211">
        <f>L40</f>
        <v>1.4742751921547941</v>
      </c>
      <c r="M63" s="207">
        <f t="shared" si="4"/>
        <v>1.4742751921547941</v>
      </c>
      <c r="N63" s="201" t="e">
        <f t="shared" si="5"/>
        <v>#DIV/0!</v>
      </c>
      <c r="O63" s="208">
        <f>L63/L74</f>
        <v>1.9970782875687283E-2</v>
      </c>
      <c r="P63" s="147"/>
    </row>
    <row r="64" spans="2:17" ht="18" customHeight="1">
      <c r="B64" s="154"/>
      <c r="C64" s="63"/>
      <c r="D64" s="64"/>
      <c r="E64" s="31"/>
      <c r="F64" s="419" t="s">
        <v>272</v>
      </c>
      <c r="G64" s="203"/>
      <c r="H64" s="202"/>
      <c r="I64" s="193">
        <f>I41</f>
        <v>0.13</v>
      </c>
      <c r="J64" s="194">
        <f>G64</f>
        <v>0</v>
      </c>
      <c r="K64" s="420">
        <f>K41</f>
        <v>0</v>
      </c>
      <c r="L64" s="193">
        <f>+J64*K64</f>
        <v>0</v>
      </c>
      <c r="M64" s="207">
        <f t="shared" si="4"/>
        <v>-0.13</v>
      </c>
      <c r="N64" s="201">
        <f t="shared" si="5"/>
        <v>-1</v>
      </c>
      <c r="O64" s="208">
        <f>L64/L74</f>
        <v>0</v>
      </c>
      <c r="P64" s="147"/>
    </row>
    <row r="65" spans="2:16" ht="18" customHeight="1" thickBot="1">
      <c r="B65" s="154"/>
      <c r="C65" s="31"/>
      <c r="D65" s="31"/>
      <c r="E65" s="31"/>
      <c r="F65" s="182" t="s">
        <v>221</v>
      </c>
      <c r="G65" s="209">
        <f>+C59</f>
        <v>500</v>
      </c>
      <c r="H65" s="210">
        <f>H42</f>
        <v>8.6E-3</v>
      </c>
      <c r="I65" s="211">
        <f>+G65*H65</f>
        <v>4.3</v>
      </c>
      <c r="J65" s="209">
        <f>+C59</f>
        <v>500</v>
      </c>
      <c r="K65" s="420">
        <f>K42</f>
        <v>-8.3597076756817754E-3</v>
      </c>
      <c r="L65" s="211">
        <f>+J65*K65</f>
        <v>-4.1798538378408878</v>
      </c>
      <c r="M65" s="207">
        <f t="shared" si="4"/>
        <v>-8.4798538378408885</v>
      </c>
      <c r="N65" s="201">
        <f t="shared" si="5"/>
        <v>-1.9720590320560207</v>
      </c>
      <c r="O65" s="208">
        <f>L65/L74</f>
        <v>-5.6621012068731859E-2</v>
      </c>
      <c r="P65" s="147"/>
    </row>
    <row r="66" spans="2:16" ht="18" customHeight="1" thickBot="1">
      <c r="B66" s="154"/>
      <c r="C66" s="31"/>
      <c r="D66" s="31"/>
      <c r="E66" s="31"/>
      <c r="F66" s="218" t="s">
        <v>223</v>
      </c>
      <c r="G66" s="530"/>
      <c r="H66" s="531"/>
      <c r="I66" s="220">
        <f>SUM(I58:I65)</f>
        <v>21.76</v>
      </c>
      <c r="J66" s="530"/>
      <c r="K66" s="531"/>
      <c r="L66" s="220">
        <f>SUM(L58:L65)</f>
        <v>12.320469347553423</v>
      </c>
      <c r="M66" s="222">
        <f>SUM(M58:M65)</f>
        <v>-9.4395306524465781</v>
      </c>
      <c r="N66" s="223">
        <f t="shared" si="5"/>
        <v>-0.43380196013081695</v>
      </c>
      <c r="O66" s="225">
        <f>L66/L74</f>
        <v>0.16689517640660104</v>
      </c>
      <c r="P66" s="147"/>
    </row>
    <row r="67" spans="2:16" ht="18" customHeight="1" thickBot="1">
      <c r="B67" s="154"/>
      <c r="C67" s="31"/>
      <c r="D67" s="31"/>
      <c r="E67" s="31"/>
      <c r="F67" s="181" t="s">
        <v>224</v>
      </c>
      <c r="G67" s="348">
        <f>C59*'Other Electriciy Rates'!$L$10</f>
        <v>539.54999999999995</v>
      </c>
      <c r="H67" s="349">
        <f>H44</f>
        <v>1.0200000000000001E-2</v>
      </c>
      <c r="I67" s="193">
        <f>+G67*H67</f>
        <v>5.5034099999999997</v>
      </c>
      <c r="J67" s="348">
        <f>'BILL IMPACTS '!C59*'Other Electriciy Rates'!$L$25</f>
        <v>540</v>
      </c>
      <c r="K67" s="177">
        <f>'Other Electriciy Rates'!$B$25</f>
        <v>1.0382189432402402E-2</v>
      </c>
      <c r="L67" s="193">
        <f>+J67*K67</f>
        <v>5.6063822934972976</v>
      </c>
      <c r="M67" s="350">
        <f>+L67-I67</f>
        <v>0.10297229349729786</v>
      </c>
      <c r="N67" s="205">
        <f t="shared" si="5"/>
        <v>1.8710634587882399E-2</v>
      </c>
      <c r="O67" s="206">
        <f>L67/L74</f>
        <v>7.5945009518803855E-2</v>
      </c>
      <c r="P67" s="147"/>
    </row>
    <row r="68" spans="2:16" ht="18" customHeight="1" thickBot="1">
      <c r="B68" s="154"/>
      <c r="C68" s="31"/>
      <c r="D68" s="31"/>
      <c r="E68" s="31"/>
      <c r="F68" s="218" t="s">
        <v>225</v>
      </c>
      <c r="G68" s="530"/>
      <c r="H68" s="531"/>
      <c r="I68" s="220">
        <f>I66+I67</f>
        <v>27.26341</v>
      </c>
      <c r="J68" s="530"/>
      <c r="K68" s="531"/>
      <c r="L68" s="220">
        <f>L66+L67</f>
        <v>17.926851641050721</v>
      </c>
      <c r="M68" s="220">
        <f>M66+M67</f>
        <v>-9.3365583589492793</v>
      </c>
      <c r="N68" s="223">
        <f t="shared" si="5"/>
        <v>-0.34245746804780763</v>
      </c>
      <c r="O68" s="351">
        <f>L68/L74</f>
        <v>0.24284018592540488</v>
      </c>
      <c r="P68" s="147"/>
    </row>
    <row r="69" spans="2:16" ht="18" customHeight="1" thickBot="1">
      <c r="B69" s="154"/>
      <c r="C69" s="31"/>
      <c r="D69" s="31"/>
      <c r="E69" s="31"/>
      <c r="F69" s="183" t="s">
        <v>77</v>
      </c>
      <c r="G69" s="185">
        <f>+'Other Electriciy Rates'!$L$10*C59</f>
        <v>539.54999999999995</v>
      </c>
      <c r="H69" s="186">
        <f>H46</f>
        <v>1.2986887220832175E-2</v>
      </c>
      <c r="I69" s="187">
        <f>+G69*H69</f>
        <v>7.0070749999999995</v>
      </c>
      <c r="J69" s="185">
        <f>J67</f>
        <v>540</v>
      </c>
      <c r="K69" s="186">
        <f>K46</f>
        <v>1.278148148148148E-2</v>
      </c>
      <c r="L69" s="214">
        <f>+J69*K69</f>
        <v>6.9019999999999992</v>
      </c>
      <c r="M69" s="215">
        <f>+L69-I69</f>
        <v>-0.10507500000000025</v>
      </c>
      <c r="N69" s="216">
        <f t="shared" si="5"/>
        <v>-1.4995558060959853E-2</v>
      </c>
      <c r="O69" s="282">
        <f>L69/L74</f>
        <v>9.3495667661971371E-2</v>
      </c>
      <c r="P69" s="147"/>
    </row>
    <row r="70" spans="2:16" ht="18" customHeight="1">
      <c r="B70" s="154"/>
      <c r="C70" s="31"/>
      <c r="D70" s="31"/>
      <c r="E70" s="31"/>
      <c r="F70" s="181" t="s">
        <v>78</v>
      </c>
      <c r="G70" s="194">
        <f>+'Other Electriciy Rates'!$L$10*C59</f>
        <v>539.54999999999995</v>
      </c>
      <c r="H70" s="186">
        <f>H47</f>
        <v>7.4999999999999997E-2</v>
      </c>
      <c r="I70" s="189">
        <f>+G70*H70</f>
        <v>40.466249999999995</v>
      </c>
      <c r="J70" s="194">
        <f>J69</f>
        <v>540</v>
      </c>
      <c r="K70" s="186">
        <f>K47</f>
        <v>7.4999999999999997E-2</v>
      </c>
      <c r="L70" s="211">
        <f>+J70*K70</f>
        <v>40.5</v>
      </c>
      <c r="M70" s="212">
        <f>+L70-I70</f>
        <v>3.3750000000004832E-2</v>
      </c>
      <c r="N70" s="213">
        <f t="shared" si="5"/>
        <v>8.3402835696425623E-4</v>
      </c>
      <c r="O70" s="282">
        <f>L70/L74</f>
        <v>0.54861989862501315</v>
      </c>
      <c r="P70" s="147"/>
    </row>
    <row r="71" spans="2:16" ht="18" customHeight="1" thickBot="1">
      <c r="B71" s="154"/>
      <c r="C71" s="31"/>
      <c r="D71" s="31"/>
      <c r="E71" s="31"/>
      <c r="F71" s="181" t="s">
        <v>235</v>
      </c>
      <c r="G71" s="279">
        <f>G70</f>
        <v>539.54999999999995</v>
      </c>
      <c r="H71" s="186">
        <f>H48</f>
        <v>0</v>
      </c>
      <c r="I71" s="189">
        <f>+G71*H71</f>
        <v>0</v>
      </c>
      <c r="J71" s="279">
        <f>G71</f>
        <v>539.54999999999995</v>
      </c>
      <c r="K71" s="186">
        <f>K48</f>
        <v>0</v>
      </c>
      <c r="L71" s="211">
        <f>+J71*K71</f>
        <v>0</v>
      </c>
      <c r="M71" s="212">
        <f>+L71-I71</f>
        <v>0</v>
      </c>
      <c r="N71" s="213" t="e">
        <f t="shared" si="5"/>
        <v>#DIV/0!</v>
      </c>
      <c r="O71" s="226">
        <f>L71/L74</f>
        <v>0</v>
      </c>
      <c r="P71" s="147"/>
    </row>
    <row r="72" spans="2:16" ht="18" customHeight="1" thickBot="1">
      <c r="B72" s="154"/>
      <c r="C72" s="31"/>
      <c r="D72" s="31"/>
      <c r="E72" s="31"/>
      <c r="F72" s="218" t="s">
        <v>192</v>
      </c>
      <c r="G72" s="530"/>
      <c r="H72" s="531"/>
      <c r="I72" s="220">
        <f>SUM(I68:I71)</f>
        <v>74.736734999999996</v>
      </c>
      <c r="J72" s="530"/>
      <c r="K72" s="531"/>
      <c r="L72" s="220">
        <f>SUM(L68:L71)</f>
        <v>65.328851641050719</v>
      </c>
      <c r="M72" s="220">
        <f>M66+M69+M70</f>
        <v>-9.5108556524465726</v>
      </c>
      <c r="N72" s="223">
        <f t="shared" si="5"/>
        <v>-0.1272581101174218</v>
      </c>
      <c r="O72" s="351">
        <f>L72/L74</f>
        <v>0.88495575221238942</v>
      </c>
      <c r="P72" s="284"/>
    </row>
    <row r="73" spans="2:16" ht="18" customHeight="1" thickBot="1">
      <c r="B73" s="154"/>
      <c r="C73" s="31"/>
      <c r="D73" s="31"/>
      <c r="E73" s="31"/>
      <c r="F73" s="278" t="s">
        <v>193</v>
      </c>
      <c r="G73" s="279"/>
      <c r="H73" s="283">
        <f>H50</f>
        <v>0.13</v>
      </c>
      <c r="I73" s="280">
        <f>I72*H73</f>
        <v>9.71577555</v>
      </c>
      <c r="J73" s="279"/>
      <c r="K73" s="283">
        <f>K50</f>
        <v>0.13</v>
      </c>
      <c r="L73" s="281">
        <f>L72*K73</f>
        <v>8.4927507133365943</v>
      </c>
      <c r="M73" s="212">
        <f>+L73-I73</f>
        <v>-1.2230248366634058</v>
      </c>
      <c r="N73" s="216">
        <f t="shared" si="5"/>
        <v>-0.12588030984962448</v>
      </c>
      <c r="O73" s="226">
        <f>L73/L74</f>
        <v>0.11504424778761063</v>
      </c>
      <c r="P73" s="147"/>
    </row>
    <row r="74" spans="2:16" ht="18" customHeight="1" thickBot="1">
      <c r="B74" s="352"/>
      <c r="C74" s="353"/>
      <c r="D74" s="353"/>
      <c r="E74" s="354"/>
      <c r="F74" s="355" t="s">
        <v>79</v>
      </c>
      <c r="G74" s="525"/>
      <c r="H74" s="526"/>
      <c r="I74" s="356">
        <f>I72+I73</f>
        <v>84.45251055</v>
      </c>
      <c r="J74" s="525"/>
      <c r="K74" s="526"/>
      <c r="L74" s="356">
        <f>L72+L73</f>
        <v>73.821602354387309</v>
      </c>
      <c r="M74" s="356">
        <f>M72+M73</f>
        <v>-10.733880489109978</v>
      </c>
      <c r="N74" s="357">
        <f t="shared" si="5"/>
        <v>-0.12709960212201149</v>
      </c>
      <c r="O74" s="358">
        <f>O72+O73</f>
        <v>1</v>
      </c>
      <c r="P74" s="359"/>
    </row>
    <row r="75" spans="2:16" ht="18" customHeight="1" thickBot="1">
      <c r="B75" s="148"/>
      <c r="C75" s="527"/>
      <c r="D75" s="527"/>
      <c r="E75" s="527"/>
      <c r="F75" s="527"/>
      <c r="G75" s="527"/>
      <c r="H75" s="527"/>
      <c r="I75" s="527"/>
      <c r="J75" s="527"/>
      <c r="K75" s="527"/>
      <c r="L75" s="527"/>
      <c r="M75" s="527"/>
      <c r="N75" s="527"/>
      <c r="O75" s="527"/>
      <c r="P75" s="149"/>
    </row>
    <row r="76" spans="2:16" ht="18" customHeight="1" thickBot="1">
      <c r="B76" s="25"/>
      <c r="C76" s="399"/>
      <c r="D76" s="399"/>
      <c r="E76" s="399"/>
      <c r="F76" s="399"/>
      <c r="G76" s="399"/>
      <c r="H76" s="399"/>
      <c r="I76" s="399"/>
      <c r="J76" s="399"/>
      <c r="K76" s="399"/>
      <c r="L76" s="399"/>
      <c r="M76" s="399"/>
      <c r="N76" s="399"/>
      <c r="O76" s="399"/>
      <c r="P76" s="25"/>
    </row>
    <row r="77" spans="2:16" ht="6.95" customHeight="1">
      <c r="B77" s="156"/>
      <c r="C77" s="539"/>
      <c r="D77" s="539"/>
      <c r="E77" s="539"/>
      <c r="F77" s="539"/>
      <c r="G77" s="539"/>
      <c r="H77" s="539"/>
      <c r="I77" s="539"/>
      <c r="J77" s="539"/>
      <c r="K77" s="539"/>
      <c r="L77" s="539"/>
      <c r="M77" s="539"/>
      <c r="N77" s="539"/>
      <c r="O77" s="539"/>
      <c r="P77" s="146"/>
    </row>
    <row r="78" spans="2:16" ht="23.25">
      <c r="B78" s="154"/>
      <c r="C78" s="540" t="s">
        <v>48</v>
      </c>
      <c r="D78" s="540"/>
      <c r="E78" s="540"/>
      <c r="F78" s="540"/>
      <c r="G78" s="540"/>
      <c r="H78" s="540"/>
      <c r="I78" s="540"/>
      <c r="J78" s="540"/>
      <c r="K78" s="540"/>
      <c r="L78" s="540"/>
      <c r="M78" s="540"/>
      <c r="N78" s="540"/>
      <c r="O78" s="540"/>
      <c r="P78" s="147"/>
    </row>
    <row r="79" spans="2:16" ht="6.95" customHeight="1" thickBot="1">
      <c r="B79" s="154"/>
      <c r="C79" s="541"/>
      <c r="D79" s="541"/>
      <c r="E79" s="541"/>
      <c r="F79" s="541"/>
      <c r="G79" s="541"/>
      <c r="H79" s="541"/>
      <c r="I79" s="541"/>
      <c r="J79" s="541"/>
      <c r="K79" s="541"/>
      <c r="L79" s="541"/>
      <c r="M79" s="541"/>
      <c r="N79" s="541"/>
      <c r="O79" s="541"/>
      <c r="P79" s="147"/>
    </row>
    <row r="80" spans="2:16" ht="21" thickBot="1">
      <c r="B80" s="154"/>
      <c r="C80" s="155"/>
      <c r="D80" s="155"/>
      <c r="E80" s="31"/>
      <c r="F80" s="37"/>
      <c r="G80" s="534" t="str">
        <f>$G$10</f>
        <v>2011 BILL</v>
      </c>
      <c r="H80" s="535"/>
      <c r="I80" s="536"/>
      <c r="J80" s="534" t="str">
        <f>$J$10</f>
        <v>2012 BILL</v>
      </c>
      <c r="K80" s="535"/>
      <c r="L80" s="536"/>
      <c r="M80" s="534" t="s">
        <v>73</v>
      </c>
      <c r="N80" s="535"/>
      <c r="O80" s="536"/>
      <c r="P80" s="147"/>
    </row>
    <row r="81" spans="1:16" ht="26.25" thickBot="1">
      <c r="B81" s="154"/>
      <c r="C81" s="31"/>
      <c r="D81" s="31"/>
      <c r="E81" s="33"/>
      <c r="F81" s="38"/>
      <c r="G81" s="170" t="s">
        <v>67</v>
      </c>
      <c r="H81" s="171" t="s">
        <v>68</v>
      </c>
      <c r="I81" s="172" t="s">
        <v>69</v>
      </c>
      <c r="J81" s="173" t="s">
        <v>67</v>
      </c>
      <c r="K81" s="171" t="s">
        <v>68</v>
      </c>
      <c r="L81" s="172" t="s">
        <v>69</v>
      </c>
      <c r="M81" s="174" t="s">
        <v>80</v>
      </c>
      <c r="N81" s="175" t="s">
        <v>81</v>
      </c>
      <c r="O81" s="176" t="s">
        <v>76</v>
      </c>
      <c r="P81" s="147"/>
    </row>
    <row r="82" spans="1:16" ht="18" customHeight="1" thickBot="1">
      <c r="B82" s="154"/>
      <c r="C82" s="528" t="s">
        <v>70</v>
      </c>
      <c r="D82" s="529"/>
      <c r="E82" s="31"/>
      <c r="F82" s="180" t="s">
        <v>71</v>
      </c>
      <c r="G82" s="190"/>
      <c r="H82" s="191"/>
      <c r="I82" s="192">
        <f>$I$58</f>
        <v>11.13</v>
      </c>
      <c r="J82" s="190"/>
      <c r="K82" s="191"/>
      <c r="L82" s="195">
        <f>'Rate Schedule (Part 1)'!$E$12</f>
        <v>11.07</v>
      </c>
      <c r="M82" s="204">
        <f t="shared" ref="M82:M89" si="6">+L82-I82</f>
        <v>-6.0000000000000497E-2</v>
      </c>
      <c r="N82" s="205">
        <f t="shared" ref="N82:N99" si="7">+M82/I82</f>
        <v>-5.3908355795148693E-3</v>
      </c>
      <c r="O82" s="206">
        <f>L82/L98</f>
        <v>0.98536796707390018</v>
      </c>
      <c r="P82" s="147"/>
    </row>
    <row r="83" spans="1:16" ht="18" customHeight="1" thickBot="1">
      <c r="B83" s="154"/>
      <c r="C83" s="152">
        <v>680</v>
      </c>
      <c r="D83" s="153" t="s">
        <v>16</v>
      </c>
      <c r="E83" s="31"/>
      <c r="F83" s="181" t="s">
        <v>72</v>
      </c>
      <c r="G83" s="184">
        <f>+C83</f>
        <v>680</v>
      </c>
      <c r="H83" s="178">
        <f>$H$59</f>
        <v>7.9000000000000008E-3</v>
      </c>
      <c r="I83" s="193">
        <f>+G83*H83</f>
        <v>5.3720000000000008</v>
      </c>
      <c r="J83" s="184">
        <f>+C83</f>
        <v>680</v>
      </c>
      <c r="K83" s="177">
        <f>'Rate Schedule (Part 1)'!$E$13</f>
        <v>7.9000000000000008E-3</v>
      </c>
      <c r="L83" s="197">
        <f>+J83*K83</f>
        <v>5.3720000000000008</v>
      </c>
      <c r="M83" s="207">
        <f t="shared" si="6"/>
        <v>0</v>
      </c>
      <c r="N83" s="201">
        <f t="shared" si="7"/>
        <v>0</v>
      </c>
      <c r="O83" s="208">
        <f>L83/L98</f>
        <v>0.47817495204345006</v>
      </c>
      <c r="P83" s="147"/>
    </row>
    <row r="84" spans="1:16" ht="18" customHeight="1" thickBot="1">
      <c r="B84" s="154"/>
      <c r="C84" s="63"/>
      <c r="D84" s="64"/>
      <c r="E84" s="31"/>
      <c r="F84" s="181" t="s">
        <v>222</v>
      </c>
      <c r="G84" s="184">
        <f>G83</f>
        <v>680</v>
      </c>
      <c r="H84" s="178">
        <f>$H$60</f>
        <v>1.6000000000000001E-3</v>
      </c>
      <c r="I84" s="193">
        <f>+G84*H84</f>
        <v>1.0880000000000001</v>
      </c>
      <c r="J84" s="184">
        <f>J83</f>
        <v>680</v>
      </c>
      <c r="K84" s="177">
        <f>'Rate Schedule (Part 1)'!$E$14</f>
        <v>1.1999999999999999E-3</v>
      </c>
      <c r="L84" s="197">
        <f>+J84*K84</f>
        <v>0.81599999999999995</v>
      </c>
      <c r="M84" s="207">
        <f t="shared" si="6"/>
        <v>-0.27200000000000013</v>
      </c>
      <c r="N84" s="201">
        <f t="shared" si="7"/>
        <v>-0.25000000000000011</v>
      </c>
      <c r="O84" s="208">
        <f>L84/L98</f>
        <v>7.2634169930650624E-2</v>
      </c>
      <c r="P84" s="147"/>
    </row>
    <row r="85" spans="1:16" ht="18" customHeight="1">
      <c r="B85" s="154"/>
      <c r="C85" s="63"/>
      <c r="D85" s="64"/>
      <c r="E85" s="31"/>
      <c r="F85" s="181" t="s">
        <v>271</v>
      </c>
      <c r="G85" s="203"/>
      <c r="H85" s="202"/>
      <c r="I85" s="192">
        <f>$I$61</f>
        <v>1.45</v>
      </c>
      <c r="J85" s="203"/>
      <c r="K85" s="202"/>
      <c r="L85" s="197">
        <f>'Rate Schedule (Part 1)'!$E$16</f>
        <v>-0.94395200676048363</v>
      </c>
      <c r="M85" s="207">
        <f t="shared" si="6"/>
        <v>-2.3939520067604834</v>
      </c>
      <c r="N85" s="201">
        <f t="shared" si="7"/>
        <v>-1.6510013839727471</v>
      </c>
      <c r="O85" s="208">
        <f>L85/L98</f>
        <v>-8.4023493217426026E-2</v>
      </c>
      <c r="P85" s="147"/>
    </row>
    <row r="86" spans="1:16" ht="18" customHeight="1" thickBot="1">
      <c r="B86" s="154"/>
      <c r="C86" s="31"/>
      <c r="D86" s="31"/>
      <c r="E86" s="31"/>
      <c r="F86" s="181" t="s">
        <v>160</v>
      </c>
      <c r="G86" s="184">
        <f>C83</f>
        <v>680</v>
      </c>
      <c r="H86" s="178">
        <f>$H$62</f>
        <v>0</v>
      </c>
      <c r="I86" s="193">
        <f>+G86*H86</f>
        <v>0</v>
      </c>
      <c r="J86" s="184">
        <f>C83</f>
        <v>680</v>
      </c>
      <c r="K86" s="177">
        <f>'Rate Schedule (Part 1)'!$E$15</f>
        <v>6.9999999999999999E-4</v>
      </c>
      <c r="L86" s="197">
        <f>J86*K86</f>
        <v>0.47599999999999998</v>
      </c>
      <c r="M86" s="207">
        <f>+L86-I86</f>
        <v>0.47599999999999998</v>
      </c>
      <c r="N86" s="201" t="e">
        <f>+M86/I86</f>
        <v>#DIV/0!</v>
      </c>
      <c r="O86" s="208">
        <f>L86/$L$99</f>
        <v>4.8744170086203594E-3</v>
      </c>
      <c r="P86" s="147"/>
    </row>
    <row r="87" spans="1:16" ht="18" customHeight="1">
      <c r="B87" s="154"/>
      <c r="C87" s="63"/>
      <c r="D87" s="64"/>
      <c r="E87" s="31"/>
      <c r="F87" s="419" t="s">
        <v>270</v>
      </c>
      <c r="G87" s="203"/>
      <c r="H87" s="202"/>
      <c r="I87" s="192">
        <f>$I$63</f>
        <v>0</v>
      </c>
      <c r="J87" s="203"/>
      <c r="K87" s="202"/>
      <c r="L87" s="211">
        <f>$L$63</f>
        <v>1.4742751921547941</v>
      </c>
      <c r="M87" s="207">
        <f>+L87-I87</f>
        <v>1.4742751921547941</v>
      </c>
      <c r="N87" s="201" t="e">
        <f>+M87/I87</f>
        <v>#DIV/0!</v>
      </c>
      <c r="O87" s="208">
        <f>L87/$L$99</f>
        <v>1.5097126201736087E-2</v>
      </c>
      <c r="P87" s="147"/>
    </row>
    <row r="88" spans="1:16" ht="18" customHeight="1">
      <c r="B88" s="154"/>
      <c r="C88" s="63"/>
      <c r="D88" s="64"/>
      <c r="E88" s="31"/>
      <c r="F88" s="419" t="s">
        <v>272</v>
      </c>
      <c r="G88" s="203"/>
      <c r="H88" s="202"/>
      <c r="I88" s="193">
        <f>I64</f>
        <v>0.13</v>
      </c>
      <c r="J88" s="194">
        <f>G88</f>
        <v>0</v>
      </c>
      <c r="K88" s="420">
        <f>$K$64</f>
        <v>0</v>
      </c>
      <c r="L88" s="193">
        <f>+J88*K88</f>
        <v>0</v>
      </c>
      <c r="M88" s="207">
        <f>+L88-I88</f>
        <v>-0.13</v>
      </c>
      <c r="N88" s="201">
        <f>+M88/I88</f>
        <v>-1</v>
      </c>
      <c r="O88" s="208">
        <f>L88/$L$99</f>
        <v>0</v>
      </c>
      <c r="P88" s="147"/>
    </row>
    <row r="89" spans="1:16" ht="18" customHeight="1" thickBot="1">
      <c r="A89" s="147"/>
      <c r="B89" s="25"/>
      <c r="C89" s="31"/>
      <c r="D89" s="31"/>
      <c r="E89" s="31"/>
      <c r="F89" s="182" t="s">
        <v>221</v>
      </c>
      <c r="G89" s="209">
        <f>+C83</f>
        <v>680</v>
      </c>
      <c r="H89" s="178">
        <f>$H$65</f>
        <v>8.6E-3</v>
      </c>
      <c r="I89" s="211">
        <f>+G89*H89</f>
        <v>5.8479999999999999</v>
      </c>
      <c r="J89" s="209">
        <f>+C83</f>
        <v>680</v>
      </c>
      <c r="K89" s="210">
        <f>K65</f>
        <v>-8.3597076756817754E-3</v>
      </c>
      <c r="L89" s="211">
        <f>+J89*K89</f>
        <v>-5.6846012194636071</v>
      </c>
      <c r="M89" s="207">
        <f t="shared" si="6"/>
        <v>-11.532601219463608</v>
      </c>
      <c r="N89" s="201">
        <f t="shared" si="7"/>
        <v>-1.9720590320560205</v>
      </c>
      <c r="O89" s="208">
        <f>L89/$L$99</f>
        <v>-5.8212430402053456E-2</v>
      </c>
      <c r="P89" s="361"/>
    </row>
    <row r="90" spans="1:16" ht="18" customHeight="1" thickBot="1">
      <c r="A90" s="147"/>
      <c r="F90" s="218" t="s">
        <v>223</v>
      </c>
      <c r="G90" s="530"/>
      <c r="H90" s="531"/>
      <c r="I90" s="220">
        <f>SUM(I82:I89)</f>
        <v>25.018000000000001</v>
      </c>
      <c r="J90" s="530"/>
      <c r="K90" s="531"/>
      <c r="L90" s="220">
        <f>SUM(L82:L89)</f>
        <v>12.579721965930704</v>
      </c>
      <c r="M90" s="222">
        <f>SUM(M82:M89)</f>
        <v>-12.438278034069297</v>
      </c>
      <c r="N90" s="223">
        <f t="shared" si="7"/>
        <v>-0.4971731566899551</v>
      </c>
      <c r="O90" s="225">
        <f>L90/L99</f>
        <v>0.12882103091270539</v>
      </c>
      <c r="P90" s="361"/>
    </row>
    <row r="91" spans="1:16" ht="18" customHeight="1" thickBot="1">
      <c r="A91" s="147"/>
      <c r="F91" s="181" t="s">
        <v>224</v>
      </c>
      <c r="G91" s="348">
        <f>C83*'Other Electriciy Rates'!$L$10</f>
        <v>733.78800000000001</v>
      </c>
      <c r="H91" s="349">
        <f>'Other Electriciy Rates'!$B$10</f>
        <v>1.0200000000000001E-2</v>
      </c>
      <c r="I91" s="193">
        <f>+G91*H91</f>
        <v>7.484637600000001</v>
      </c>
      <c r="J91" s="348">
        <f>'BILL IMPACTS '!C83*'Other Electriciy Rates'!$L$25</f>
        <v>734.40000000000009</v>
      </c>
      <c r="K91" s="177">
        <f>'Other Electriciy Rates'!$B$25</f>
        <v>1.0382189432402402E-2</v>
      </c>
      <c r="L91" s="193">
        <f>+J91*K91</f>
        <v>7.6246799191563248</v>
      </c>
      <c r="M91" s="350">
        <f>+L91-I91</f>
        <v>0.14004231915632381</v>
      </c>
      <c r="N91" s="205">
        <f t="shared" si="7"/>
        <v>1.8710634587882222E-2</v>
      </c>
      <c r="O91" s="206">
        <f>L91/L99</f>
        <v>7.8079557737860711E-2</v>
      </c>
      <c r="P91" s="361"/>
    </row>
    <row r="92" spans="1:16" ht="18" customHeight="1" thickBot="1">
      <c r="A92" s="147"/>
      <c r="F92" s="218" t="s">
        <v>225</v>
      </c>
      <c r="G92" s="530"/>
      <c r="H92" s="531"/>
      <c r="I92" s="220">
        <f>I90+I91</f>
        <v>32.5026376</v>
      </c>
      <c r="J92" s="530"/>
      <c r="K92" s="531"/>
      <c r="L92" s="220">
        <f>L90+L91</f>
        <v>20.20440188508703</v>
      </c>
      <c r="M92" s="220">
        <f>M90+M91</f>
        <v>-12.298235714912973</v>
      </c>
      <c r="N92" s="223">
        <f t="shared" si="7"/>
        <v>-0.37837654489040523</v>
      </c>
      <c r="O92" s="351">
        <f>L92/L99</f>
        <v>0.20690058865056613</v>
      </c>
      <c r="P92" s="361"/>
    </row>
    <row r="93" spans="1:16" ht="18" customHeight="1">
      <c r="A93" s="147"/>
      <c r="F93" s="183" t="s">
        <v>77</v>
      </c>
      <c r="G93" s="185">
        <f>+'Other Electriciy Rates'!$L$10*C83</f>
        <v>733.78800000000001</v>
      </c>
      <c r="H93" s="186">
        <f>'Other Electriciy Rates'!$C$10+'Other Electriciy Rates'!$D$10</f>
        <v>1.2986887220832175E-2</v>
      </c>
      <c r="I93" s="187">
        <f>+G93*H93</f>
        <v>9.5296219999999998</v>
      </c>
      <c r="J93" s="185">
        <f>J91</f>
        <v>734.40000000000009</v>
      </c>
      <c r="K93" s="186">
        <f>'Other Electriciy Rates'!$C$25+'Other Electriciy Rates'!$D$25</f>
        <v>1.278148148148148E-2</v>
      </c>
      <c r="L93" s="214">
        <f>+J93*K93</f>
        <v>9.3867200000000004</v>
      </c>
      <c r="M93" s="215">
        <f>+L93-I93</f>
        <v>-0.14290199999999942</v>
      </c>
      <c r="N93" s="216">
        <f t="shared" si="7"/>
        <v>-1.4995558060959755E-2</v>
      </c>
      <c r="O93" s="282">
        <f>L93/L99</f>
        <v>9.6123503409993497E-2</v>
      </c>
      <c r="P93" s="361"/>
    </row>
    <row r="94" spans="1:16" ht="18" customHeight="1">
      <c r="A94" s="147"/>
      <c r="B94" s="25"/>
      <c r="C94" s="31"/>
      <c r="D94" s="31"/>
      <c r="E94" s="31"/>
      <c r="F94" s="179" t="s">
        <v>78</v>
      </c>
      <c r="G94" s="185">
        <v>600</v>
      </c>
      <c r="H94" s="186">
        <f>'Other Electriciy Rates'!$J$11</f>
        <v>7.4999999999999997E-2</v>
      </c>
      <c r="I94" s="187">
        <f>+G94*H94</f>
        <v>45</v>
      </c>
      <c r="J94" s="185">
        <v>600</v>
      </c>
      <c r="K94" s="186">
        <f>'Other Electriciy Rates'!$J$25</f>
        <v>7.4999999999999997E-2</v>
      </c>
      <c r="L94" s="214">
        <f>+J94*K94</f>
        <v>45</v>
      </c>
      <c r="M94" s="215">
        <f>+L94-I94</f>
        <v>0</v>
      </c>
      <c r="N94" s="216">
        <f t="shared" si="7"/>
        <v>0</v>
      </c>
      <c r="O94" s="217">
        <f>L94/L99</f>
        <v>0.46081673400822726</v>
      </c>
      <c r="P94" s="361"/>
    </row>
    <row r="95" spans="1:16" ht="18" customHeight="1">
      <c r="B95" s="154"/>
      <c r="C95" s="31"/>
      <c r="D95" s="31"/>
      <c r="E95" s="31"/>
      <c r="F95" s="179" t="s">
        <v>78</v>
      </c>
      <c r="G95" s="185">
        <f>G93-G94</f>
        <v>133.78800000000001</v>
      </c>
      <c r="H95" s="186">
        <f>'Other Electriciy Rates'!$K$10</f>
        <v>8.7999999999999995E-2</v>
      </c>
      <c r="I95" s="187">
        <f>+G95*H95</f>
        <v>11.773344</v>
      </c>
      <c r="J95" s="185">
        <f>J93-J94</f>
        <v>134.40000000000009</v>
      </c>
      <c r="K95" s="186">
        <f>'Other Electriciy Rates'!$K$25</f>
        <v>8.7999999999999995E-2</v>
      </c>
      <c r="L95" s="214">
        <f>+J95*K95</f>
        <v>11.827200000000007</v>
      </c>
      <c r="M95" s="215">
        <f>+L95-I95</f>
        <v>5.3856000000006787E-2</v>
      </c>
      <c r="N95" s="216">
        <f t="shared" si="7"/>
        <v>4.5744012915962355E-3</v>
      </c>
      <c r="O95" s="217">
        <f>L95/L99</f>
        <v>0.12111492614360242</v>
      </c>
      <c r="P95" s="147"/>
    </row>
    <row r="96" spans="1:16" ht="18" customHeight="1" thickBot="1">
      <c r="B96" s="154"/>
      <c r="C96" s="31"/>
      <c r="D96" s="31"/>
      <c r="E96" s="31"/>
      <c r="F96" s="181" t="s">
        <v>235</v>
      </c>
      <c r="G96" s="279">
        <f>G93</f>
        <v>733.78800000000001</v>
      </c>
      <c r="H96" s="186">
        <f>H71</f>
        <v>0</v>
      </c>
      <c r="I96" s="189">
        <f>+G96*H96</f>
        <v>0</v>
      </c>
      <c r="J96" s="279">
        <f>G96</f>
        <v>733.78800000000001</v>
      </c>
      <c r="K96" s="186">
        <f>K71</f>
        <v>0</v>
      </c>
      <c r="L96" s="211">
        <f>+J96*K96</f>
        <v>0</v>
      </c>
      <c r="M96" s="212">
        <f>+L96-I96</f>
        <v>0</v>
      </c>
      <c r="N96" s="213" t="e">
        <f t="shared" si="7"/>
        <v>#DIV/0!</v>
      </c>
      <c r="O96" s="226">
        <f>L96/L99</f>
        <v>0</v>
      </c>
      <c r="P96" s="147"/>
    </row>
    <row r="97" spans="1:16" ht="18" customHeight="1" thickBot="1">
      <c r="B97" s="154"/>
      <c r="C97" s="31"/>
      <c r="D97" s="31"/>
      <c r="E97" s="31"/>
      <c r="F97" s="218" t="s">
        <v>192</v>
      </c>
      <c r="G97" s="530"/>
      <c r="H97" s="531"/>
      <c r="I97" s="220">
        <f>SUM(I92:I96)</f>
        <v>98.805603599999998</v>
      </c>
      <c r="J97" s="530"/>
      <c r="K97" s="531"/>
      <c r="L97" s="220">
        <f>SUM(L92:L96)</f>
        <v>86.418321885087039</v>
      </c>
      <c r="M97" s="220">
        <f>SUM(M92:M95)</f>
        <v>-12.387281714912966</v>
      </c>
      <c r="N97" s="223">
        <f t="shared" si="7"/>
        <v>-0.1253702347192884</v>
      </c>
      <c r="O97" s="351">
        <f>L97/L99</f>
        <v>0.88495575221238931</v>
      </c>
      <c r="P97" s="147"/>
    </row>
    <row r="98" spans="1:16" ht="18" customHeight="1" thickBot="1">
      <c r="B98" s="154"/>
      <c r="C98" s="31"/>
      <c r="D98" s="31"/>
      <c r="E98" s="31"/>
      <c r="F98" s="278" t="s">
        <v>193</v>
      </c>
      <c r="G98" s="279"/>
      <c r="H98" s="283">
        <f>H73</f>
        <v>0.13</v>
      </c>
      <c r="I98" s="280">
        <f>I97*H98</f>
        <v>12.844728468</v>
      </c>
      <c r="J98" s="279"/>
      <c r="K98" s="283">
        <f>K73</f>
        <v>0.13</v>
      </c>
      <c r="L98" s="281">
        <f>L97*K98</f>
        <v>11.234381845061316</v>
      </c>
      <c r="M98" s="212">
        <f>+L98-I98</f>
        <v>-1.6103466229386836</v>
      </c>
      <c r="N98" s="213">
        <f t="shared" si="7"/>
        <v>-0.12537023471928824</v>
      </c>
      <c r="O98" s="226">
        <f>L98/L99</f>
        <v>0.11504424778761062</v>
      </c>
      <c r="P98" s="147"/>
    </row>
    <row r="99" spans="1:16" ht="18" customHeight="1" thickBot="1">
      <c r="B99" s="154"/>
      <c r="C99" s="31"/>
      <c r="D99" s="31"/>
      <c r="E99" s="35"/>
      <c r="F99" s="219" t="s">
        <v>79</v>
      </c>
      <c r="G99" s="542"/>
      <c r="H99" s="543"/>
      <c r="I99" s="221">
        <f>I97+I98</f>
        <v>111.650332068</v>
      </c>
      <c r="J99" s="542"/>
      <c r="K99" s="543"/>
      <c r="L99" s="221">
        <f>L97+L98</f>
        <v>97.65270373014836</v>
      </c>
      <c r="M99" s="221">
        <f>M97+M98</f>
        <v>-13.99762833785165</v>
      </c>
      <c r="N99" s="223">
        <f t="shared" si="7"/>
        <v>-0.12537023471928838</v>
      </c>
      <c r="O99" s="225">
        <f>SUM(O97:O98)</f>
        <v>0.99999999999999989</v>
      </c>
      <c r="P99" s="147"/>
    </row>
    <row r="100" spans="1:16" ht="6.95" customHeight="1" thickBot="1">
      <c r="B100" s="148"/>
      <c r="C100" s="160"/>
      <c r="D100" s="160"/>
      <c r="E100" s="160"/>
      <c r="F100" s="161"/>
      <c r="G100" s="162"/>
      <c r="H100" s="163"/>
      <c r="I100" s="164"/>
      <c r="J100" s="162"/>
      <c r="K100" s="165"/>
      <c r="L100" s="164"/>
      <c r="M100" s="169"/>
      <c r="N100" s="167"/>
      <c r="O100" s="168"/>
      <c r="P100" s="149"/>
    </row>
    <row r="101" spans="1:16" ht="6.95" customHeight="1">
      <c r="B101" s="25"/>
      <c r="C101" s="31"/>
      <c r="D101" s="31"/>
      <c r="E101" s="31"/>
      <c r="F101" s="49"/>
      <c r="G101" s="50"/>
      <c r="H101" s="51"/>
      <c r="I101" s="52"/>
      <c r="J101" s="50"/>
      <c r="K101" s="53"/>
      <c r="L101" s="52"/>
      <c r="M101" s="159"/>
      <c r="N101" s="157"/>
      <c r="O101" s="158"/>
      <c r="P101" s="25"/>
    </row>
    <row r="102" spans="1:16" ht="18" customHeight="1" thickBot="1"/>
    <row r="103" spans="1:16" ht="18" customHeight="1">
      <c r="B103" s="156"/>
      <c r="C103" s="539"/>
      <c r="D103" s="539"/>
      <c r="E103" s="539"/>
      <c r="F103" s="539"/>
      <c r="G103" s="539"/>
      <c r="H103" s="539"/>
      <c r="I103" s="539"/>
      <c r="J103" s="539"/>
      <c r="K103" s="539"/>
      <c r="L103" s="539"/>
      <c r="M103" s="539"/>
      <c r="N103" s="539"/>
      <c r="O103" s="539"/>
      <c r="P103" s="146"/>
    </row>
    <row r="104" spans="1:16" ht="23.25">
      <c r="B104" s="154"/>
      <c r="C104" s="540" t="s">
        <v>48</v>
      </c>
      <c r="D104" s="540"/>
      <c r="E104" s="540"/>
      <c r="F104" s="540"/>
      <c r="G104" s="540"/>
      <c r="H104" s="540"/>
      <c r="I104" s="540"/>
      <c r="J104" s="540"/>
      <c r="K104" s="540"/>
      <c r="L104" s="540"/>
      <c r="M104" s="540"/>
      <c r="N104" s="540"/>
      <c r="O104" s="540"/>
      <c r="P104" s="147"/>
    </row>
    <row r="105" spans="1:16" ht="18" customHeight="1" thickBot="1">
      <c r="B105" s="154"/>
      <c r="C105" s="541"/>
      <c r="D105" s="541"/>
      <c r="E105" s="541"/>
      <c r="F105" s="541"/>
      <c r="G105" s="541"/>
      <c r="H105" s="541"/>
      <c r="I105" s="541"/>
      <c r="J105" s="541"/>
      <c r="K105" s="541"/>
      <c r="L105" s="541"/>
      <c r="M105" s="541"/>
      <c r="N105" s="541"/>
      <c r="O105" s="541"/>
      <c r="P105" s="147"/>
    </row>
    <row r="106" spans="1:16" ht="18" customHeight="1" thickBot="1">
      <c r="B106" s="154"/>
      <c r="C106" s="155"/>
      <c r="D106" s="155"/>
      <c r="E106" s="31"/>
      <c r="F106" s="37"/>
      <c r="G106" s="534" t="str">
        <f>$G$10</f>
        <v>2011 BILL</v>
      </c>
      <c r="H106" s="535"/>
      <c r="I106" s="536"/>
      <c r="J106" s="534" t="str">
        <f>$J$10</f>
        <v>2012 BILL</v>
      </c>
      <c r="K106" s="535"/>
      <c r="L106" s="536"/>
      <c r="M106" s="534" t="s">
        <v>73</v>
      </c>
      <c r="N106" s="535"/>
      <c r="O106" s="536"/>
      <c r="P106" s="147"/>
    </row>
    <row r="107" spans="1:16" ht="26.25" thickBot="1">
      <c r="B107" s="154"/>
      <c r="C107" s="31"/>
      <c r="D107" s="31"/>
      <c r="E107" s="33"/>
      <c r="F107" s="38"/>
      <c r="G107" s="170" t="s">
        <v>67</v>
      </c>
      <c r="H107" s="171" t="s">
        <v>68</v>
      </c>
      <c r="I107" s="172" t="s">
        <v>69</v>
      </c>
      <c r="J107" s="173" t="s">
        <v>67</v>
      </c>
      <c r="K107" s="171" t="s">
        <v>68</v>
      </c>
      <c r="L107" s="172" t="s">
        <v>69</v>
      </c>
      <c r="M107" s="174" t="s">
        <v>80</v>
      </c>
      <c r="N107" s="175" t="s">
        <v>81</v>
      </c>
      <c r="O107" s="176" t="s">
        <v>76</v>
      </c>
      <c r="P107" s="147"/>
    </row>
    <row r="108" spans="1:16" ht="18" customHeight="1" thickBot="1">
      <c r="B108" s="154"/>
      <c r="C108" s="528" t="s">
        <v>70</v>
      </c>
      <c r="D108" s="529"/>
      <c r="E108" s="31"/>
      <c r="F108" s="180" t="s">
        <v>71</v>
      </c>
      <c r="G108" s="190"/>
      <c r="H108" s="191"/>
      <c r="I108" s="192">
        <f>$I$58</f>
        <v>11.13</v>
      </c>
      <c r="J108" s="190"/>
      <c r="K108" s="191"/>
      <c r="L108" s="195">
        <f>'Rate Schedule (Part 1)'!$E$12</f>
        <v>11.07</v>
      </c>
      <c r="M108" s="204">
        <f t="shared" ref="M108:M115" si="8">+L108-I108</f>
        <v>-6.0000000000000497E-2</v>
      </c>
      <c r="N108" s="205">
        <f>+M108/I108</f>
        <v>-5.3908355795148693E-3</v>
      </c>
      <c r="O108" s="206">
        <f ca="1">L108/L126</f>
        <v>9.675710339059411E-2</v>
      </c>
      <c r="P108" s="147"/>
    </row>
    <row r="109" spans="1:16" ht="18" customHeight="1" thickBot="1">
      <c r="B109" s="154"/>
      <c r="C109" s="150">
        <v>800</v>
      </c>
      <c r="D109" s="153" t="s">
        <v>16</v>
      </c>
      <c r="E109" s="31"/>
      <c r="F109" s="181" t="s">
        <v>72</v>
      </c>
      <c r="G109" s="184">
        <f>+C109</f>
        <v>800</v>
      </c>
      <c r="H109" s="178">
        <f>$H$59</f>
        <v>7.9000000000000008E-3</v>
      </c>
      <c r="I109" s="193">
        <f>+G109*H109</f>
        <v>6.32</v>
      </c>
      <c r="J109" s="184">
        <f>+C109</f>
        <v>800</v>
      </c>
      <c r="K109" s="177">
        <f>'Rate Schedule (Part 1)'!$E$13</f>
        <v>7.9000000000000008E-3</v>
      </c>
      <c r="L109" s="197">
        <f>+J109*K109</f>
        <v>6.32</v>
      </c>
      <c r="M109" s="207">
        <f t="shared" si="8"/>
        <v>0</v>
      </c>
      <c r="N109" s="201">
        <f>+M109/I109</f>
        <v>0</v>
      </c>
      <c r="O109" s="208">
        <f ca="1">L109/L126</f>
        <v>5.5239827771323829E-2</v>
      </c>
      <c r="P109" s="147"/>
    </row>
    <row r="110" spans="1:16" ht="18" customHeight="1" thickBot="1">
      <c r="B110" s="154"/>
      <c r="C110" s="63"/>
      <c r="D110" s="64"/>
      <c r="E110" s="31"/>
      <c r="F110" s="181" t="s">
        <v>222</v>
      </c>
      <c r="G110" s="184">
        <f>G109</f>
        <v>800</v>
      </c>
      <c r="H110" s="178">
        <f>$H$60</f>
        <v>1.6000000000000001E-3</v>
      </c>
      <c r="I110" s="193">
        <f>+G110*H110</f>
        <v>1.28</v>
      </c>
      <c r="J110" s="184">
        <f>J109</f>
        <v>800</v>
      </c>
      <c r="K110" s="177">
        <f>'Rate Schedule (Part 1)'!$E$14</f>
        <v>1.1999999999999999E-3</v>
      </c>
      <c r="L110" s="197">
        <f>+J110*K110</f>
        <v>0.96</v>
      </c>
      <c r="M110" s="207">
        <f t="shared" si="8"/>
        <v>-0.32000000000000006</v>
      </c>
      <c r="N110" s="201">
        <f>+M110/I110</f>
        <v>-0.25000000000000006</v>
      </c>
      <c r="O110" s="208">
        <f ca="1">L110/L126</f>
        <v>8.3908599146314666E-3</v>
      </c>
      <c r="P110" s="147"/>
    </row>
    <row r="111" spans="1:16" ht="18" customHeight="1">
      <c r="B111" s="154"/>
      <c r="C111" s="63"/>
      <c r="D111" s="64"/>
      <c r="E111" s="31"/>
      <c r="F111" s="181" t="s">
        <v>271</v>
      </c>
      <c r="G111" s="203"/>
      <c r="H111" s="202"/>
      <c r="I111" s="192">
        <f>$I$61</f>
        <v>1.45</v>
      </c>
      <c r="J111" s="203"/>
      <c r="K111" s="202"/>
      <c r="L111" s="197">
        <f>'Rate Schedule (Part 1)'!$E$16</f>
        <v>-0.94395200676048363</v>
      </c>
      <c r="M111" s="207">
        <f t="shared" si="8"/>
        <v>-2.3939520067604834</v>
      </c>
      <c r="N111" s="201">
        <f>+M111/I111</f>
        <v>-1.6510013839727471</v>
      </c>
      <c r="O111" s="208">
        <f ca="1">L111/L126</f>
        <v>-8.2505927654817433E-3</v>
      </c>
      <c r="P111" s="147"/>
    </row>
    <row r="112" spans="1:16" ht="18" customHeight="1" thickBot="1">
      <c r="A112" s="147"/>
      <c r="B112" s="154"/>
      <c r="C112" s="31"/>
      <c r="D112" s="31"/>
      <c r="E112" s="31"/>
      <c r="F112" s="181" t="s">
        <v>160</v>
      </c>
      <c r="G112" s="184">
        <f>C109</f>
        <v>800</v>
      </c>
      <c r="H112" s="178">
        <f>$H$62</f>
        <v>0</v>
      </c>
      <c r="I112" s="193">
        <f>+G112*H112</f>
        <v>0</v>
      </c>
      <c r="J112" s="184">
        <f>C109</f>
        <v>800</v>
      </c>
      <c r="K112" s="177">
        <f>'Rate Schedule (Part 1)'!$E$15</f>
        <v>6.9999999999999999E-4</v>
      </c>
      <c r="L112" s="197">
        <f>J112*K112</f>
        <v>0.55999999999999994</v>
      </c>
      <c r="M112" s="207">
        <f t="shared" si="8"/>
        <v>0.55999999999999994</v>
      </c>
      <c r="N112" s="201" t="e">
        <f>+M112/I112</f>
        <v>#DIV/0!</v>
      </c>
      <c r="O112" s="208">
        <f ca="1">L112/$L$126</f>
        <v>4.8946682835350223E-3</v>
      </c>
      <c r="P112" s="147"/>
    </row>
    <row r="113" spans="1:16" ht="18" customHeight="1">
      <c r="A113" s="147"/>
      <c r="B113" s="154"/>
      <c r="C113" s="63"/>
      <c r="D113" s="64"/>
      <c r="E113" s="31"/>
      <c r="F113" s="419" t="s">
        <v>270</v>
      </c>
      <c r="G113" s="203"/>
      <c r="H113" s="202"/>
      <c r="I113" s="192">
        <f>$I$63</f>
        <v>0</v>
      </c>
      <c r="J113" s="203"/>
      <c r="K113" s="202"/>
      <c r="L113" s="211">
        <f>$L$63</f>
        <v>1.4742751921547941</v>
      </c>
      <c r="M113" s="207">
        <f t="shared" si="8"/>
        <v>1.4742751921547941</v>
      </c>
      <c r="N113" s="201" t="e">
        <f t="shared" ref="N113:N122" si="9">+M113/I113</f>
        <v>#DIV/0!</v>
      </c>
      <c r="O113" s="208">
        <f ca="1">L113/$L$126</f>
        <v>1.2885871471861736E-2</v>
      </c>
      <c r="P113" s="147"/>
    </row>
    <row r="114" spans="1:16" ht="18" customHeight="1">
      <c r="A114" s="147"/>
      <c r="B114" s="154"/>
      <c r="C114" s="63"/>
      <c r="D114" s="64"/>
      <c r="E114" s="31"/>
      <c r="F114" s="419" t="s">
        <v>272</v>
      </c>
      <c r="G114" s="203"/>
      <c r="H114" s="202"/>
      <c r="I114" s="193">
        <f>I88</f>
        <v>0.13</v>
      </c>
      <c r="J114" s="194">
        <f>G114</f>
        <v>0</v>
      </c>
      <c r="K114" s="420">
        <f>$K$64</f>
        <v>0</v>
      </c>
      <c r="L114" s="193">
        <f>+J114*K114</f>
        <v>0</v>
      </c>
      <c r="M114" s="207">
        <f t="shared" si="8"/>
        <v>-0.13</v>
      </c>
      <c r="N114" s="201">
        <f t="shared" si="9"/>
        <v>-1</v>
      </c>
      <c r="O114" s="208">
        <f ca="1">L114/$L$126</f>
        <v>0</v>
      </c>
      <c r="P114" s="147"/>
    </row>
    <row r="115" spans="1:16" ht="18" customHeight="1" thickBot="1">
      <c r="A115" s="147"/>
      <c r="B115" s="25"/>
      <c r="C115" s="31"/>
      <c r="D115" s="31"/>
      <c r="E115" s="31"/>
      <c r="F115" s="182" t="s">
        <v>221</v>
      </c>
      <c r="G115" s="209">
        <f>+C109</f>
        <v>800</v>
      </c>
      <c r="H115" s="178">
        <f>$H$65</f>
        <v>8.6E-3</v>
      </c>
      <c r="I115" s="211">
        <f>+G115*H115</f>
        <v>6.88</v>
      </c>
      <c r="J115" s="209">
        <f>+C109</f>
        <v>800</v>
      </c>
      <c r="K115" s="210">
        <f>K89</f>
        <v>-8.3597076756817754E-3</v>
      </c>
      <c r="L115" s="211">
        <f>+J115*K115</f>
        <v>-6.6877661405454205</v>
      </c>
      <c r="M115" s="207">
        <f t="shared" si="8"/>
        <v>-13.56776614054542</v>
      </c>
      <c r="N115" s="201">
        <f t="shared" si="9"/>
        <v>-1.9720590320560203</v>
      </c>
      <c r="O115" s="208">
        <f ca="1">L115/$L$126</f>
        <v>-5.8454280028262674E-2</v>
      </c>
      <c r="P115" s="361"/>
    </row>
    <row r="116" spans="1:16" ht="18" customHeight="1" thickBot="1">
      <c r="A116" s="147"/>
      <c r="F116" s="218" t="s">
        <v>223</v>
      </c>
      <c r="G116" s="530"/>
      <c r="H116" s="531"/>
      <c r="I116" s="220">
        <f>SUM(I108:I115)</f>
        <v>27.19</v>
      </c>
      <c r="J116" s="530"/>
      <c r="K116" s="531"/>
      <c r="L116" s="220">
        <f>SUM(L108:L115)</f>
        <v>12.752557044848892</v>
      </c>
      <c r="M116" s="222">
        <f>SUM(M108:M115)</f>
        <v>-14.437442955151109</v>
      </c>
      <c r="N116" s="223">
        <f t="shared" si="9"/>
        <v>-0.53098355848293888</v>
      </c>
      <c r="O116" s="225">
        <f ca="1">L116/L126</f>
        <v>0.11146345803820176</v>
      </c>
      <c r="P116" s="361"/>
    </row>
    <row r="117" spans="1:16" ht="18" customHeight="1" thickBot="1">
      <c r="A117" s="147"/>
      <c r="F117" s="181" t="s">
        <v>224</v>
      </c>
      <c r="G117" s="348">
        <f>C109*'Other Electriciy Rates'!$L$10</f>
        <v>863.28</v>
      </c>
      <c r="H117" s="349">
        <f>'Other Electriciy Rates'!$B$10</f>
        <v>1.0200000000000001E-2</v>
      </c>
      <c r="I117" s="193">
        <f>+G117*H117</f>
        <v>8.8054559999999995</v>
      </c>
      <c r="J117" s="348">
        <f>'BILL IMPACTS '!C109*'Other Electriciy Rates'!$L$25</f>
        <v>864</v>
      </c>
      <c r="K117" s="177">
        <f>'Other Electriciy Rates'!$B$25</f>
        <v>1.0382189432402402E-2</v>
      </c>
      <c r="L117" s="193">
        <f>+J117*K117</f>
        <v>8.9702116695956757</v>
      </c>
      <c r="M117" s="350">
        <f>+L117-I117</f>
        <v>0.16475566959567622</v>
      </c>
      <c r="N117" s="205">
        <f t="shared" si="9"/>
        <v>1.8710634587882358E-2</v>
      </c>
      <c r="O117" s="206">
        <f ca="1">L117/L126</f>
        <v>7.8403947421010173E-2</v>
      </c>
      <c r="P117" s="361"/>
    </row>
    <row r="118" spans="1:16" ht="18" customHeight="1" thickBot="1">
      <c r="A118" s="147"/>
      <c r="B118" s="25"/>
      <c r="F118" s="218" t="s">
        <v>225</v>
      </c>
      <c r="G118" s="530"/>
      <c r="H118" s="531"/>
      <c r="I118" s="220">
        <f>I116+I117</f>
        <v>35.995456000000004</v>
      </c>
      <c r="J118" s="530"/>
      <c r="K118" s="531"/>
      <c r="L118" s="220">
        <f>L116+L117</f>
        <v>21.72276871444457</v>
      </c>
      <c r="M118" s="220">
        <f>M116+M117</f>
        <v>-14.272687285555433</v>
      </c>
      <c r="N118" s="223">
        <f t="shared" si="9"/>
        <v>-0.3965135845356545</v>
      </c>
      <c r="O118" s="351">
        <f ca="1">L118/L126</f>
        <v>0.18986740545921194</v>
      </c>
      <c r="P118" s="361"/>
    </row>
    <row r="119" spans="1:16" ht="18" customHeight="1">
      <c r="A119" s="147"/>
      <c r="B119" s="25"/>
      <c r="C119" s="25"/>
      <c r="F119" s="183" t="s">
        <v>77</v>
      </c>
      <c r="G119" s="185">
        <f>+'Other Electriciy Rates'!$L$10*C109</f>
        <v>863.28</v>
      </c>
      <c r="H119" s="186">
        <f>'Other Electriciy Rates'!$C$10+'Other Electriciy Rates'!$D$10</f>
        <v>1.2986887220832175E-2</v>
      </c>
      <c r="I119" s="187">
        <f>+G119*H119</f>
        <v>11.211319999999999</v>
      </c>
      <c r="J119" s="185">
        <f>J117</f>
        <v>864</v>
      </c>
      <c r="K119" s="186">
        <f>'Other Electriciy Rates'!$C$25+'Other Electriciy Rates'!$D$25</f>
        <v>1.278148148148148E-2</v>
      </c>
      <c r="L119" s="214">
        <f>+J119*K119</f>
        <v>11.043199999999999</v>
      </c>
      <c r="M119" s="215">
        <f>+L119-I119</f>
        <v>-0.16812000000000005</v>
      </c>
      <c r="N119" s="216">
        <f t="shared" si="9"/>
        <v>-1.4995558060959821E-2</v>
      </c>
      <c r="O119" s="282">
        <f ca="1">L119/L126</f>
        <v>9.6522858551310639E-2</v>
      </c>
      <c r="P119" s="361"/>
    </row>
    <row r="120" spans="1:16" ht="18" customHeight="1">
      <c r="A120" s="147"/>
      <c r="B120" s="25"/>
      <c r="C120" s="31"/>
      <c r="D120" s="31"/>
      <c r="E120" s="31"/>
      <c r="F120" s="179" t="s">
        <v>78</v>
      </c>
      <c r="G120" s="185">
        <v>600</v>
      </c>
      <c r="H120" s="186">
        <f>'Other Electriciy Rates'!$J$11</f>
        <v>7.4999999999999997E-2</v>
      </c>
      <c r="I120" s="187">
        <f>+G120*H120</f>
        <v>45</v>
      </c>
      <c r="J120" s="185">
        <v>600</v>
      </c>
      <c r="K120" s="186">
        <f>'Other Electriciy Rates'!$J$25</f>
        <v>7.4999999999999997E-2</v>
      </c>
      <c r="L120" s="214">
        <f>+J120*K120</f>
        <v>45</v>
      </c>
      <c r="M120" s="215">
        <f>+L120-I120</f>
        <v>0</v>
      </c>
      <c r="N120" s="216">
        <f t="shared" si="9"/>
        <v>0</v>
      </c>
      <c r="O120" s="217">
        <f ca="1">L120/L126</f>
        <v>0.39332155849835004</v>
      </c>
      <c r="P120" s="361"/>
    </row>
    <row r="121" spans="1:16" ht="18" customHeight="1">
      <c r="A121" s="147"/>
      <c r="B121" s="25"/>
      <c r="C121" s="31"/>
      <c r="D121" s="31"/>
      <c r="E121" s="31"/>
      <c r="F121" s="179" t="s">
        <v>78</v>
      </c>
      <c r="G121" s="185">
        <f>G119-G120</f>
        <v>263.27999999999997</v>
      </c>
      <c r="H121" s="186">
        <f>'Other Electriciy Rates'!$K$10</f>
        <v>8.7999999999999995E-2</v>
      </c>
      <c r="I121" s="187">
        <f>+G121*H121</f>
        <v>23.168639999999996</v>
      </c>
      <c r="J121" s="185">
        <f>J119-J120</f>
        <v>264</v>
      </c>
      <c r="K121" s="186">
        <f>'Other Electriciy Rates'!$K$25</f>
        <v>8.7999999999999995E-2</v>
      </c>
      <c r="L121" s="214">
        <f>+J121*K121</f>
        <v>23.231999999999999</v>
      </c>
      <c r="M121" s="215">
        <f>+L121-I121</f>
        <v>6.336000000000297E-2</v>
      </c>
      <c r="N121" s="216">
        <f t="shared" si="9"/>
        <v>2.7347310847767922E-3</v>
      </c>
      <c r="O121" s="217">
        <f ca="1">L121/L126</f>
        <v>0.20305880993408151</v>
      </c>
      <c r="P121" s="147"/>
    </row>
    <row r="122" spans="1:16" ht="18" customHeight="1" thickBot="1">
      <c r="B122" s="154"/>
      <c r="C122" s="31"/>
      <c r="D122" s="31"/>
      <c r="E122" s="31"/>
      <c r="F122" s="181" t="s">
        <v>235</v>
      </c>
      <c r="G122" s="279">
        <f>G119</f>
        <v>863.28</v>
      </c>
      <c r="H122" s="186">
        <f>H96</f>
        <v>0</v>
      </c>
      <c r="I122" s="189">
        <f>+G122*H122</f>
        <v>0</v>
      </c>
      <c r="J122" s="279">
        <f>G122</f>
        <v>863.28</v>
      </c>
      <c r="K122" s="186">
        <f>K96</f>
        <v>0</v>
      </c>
      <c r="L122" s="211">
        <f>+J122*K122</f>
        <v>0</v>
      </c>
      <c r="M122" s="212">
        <f>+L122-I122</f>
        <v>0</v>
      </c>
      <c r="N122" s="213" t="e">
        <f t="shared" si="9"/>
        <v>#DIV/0!</v>
      </c>
      <c r="O122" s="226">
        <f ca="1">L122/L126</f>
        <v>0</v>
      </c>
      <c r="P122" s="147"/>
    </row>
    <row r="123" spans="1:16" ht="18" customHeight="1" thickBot="1">
      <c r="B123" s="154"/>
      <c r="C123" s="31"/>
      <c r="D123" s="31"/>
      <c r="E123" s="31"/>
      <c r="F123" s="278"/>
      <c r="G123" s="279"/>
      <c r="H123" s="421"/>
      <c r="I123" s="280">
        <v>0.25</v>
      </c>
      <c r="J123" s="279"/>
      <c r="K123" s="421"/>
      <c r="L123" s="280">
        <v>0.25</v>
      </c>
      <c r="M123" s="215">
        <f>+L123-I123</f>
        <v>0</v>
      </c>
      <c r="N123" s="456"/>
      <c r="O123" s="457"/>
      <c r="P123" s="147"/>
    </row>
    <row r="124" spans="1:16" ht="18" customHeight="1" thickBot="1">
      <c r="B124" s="154"/>
      <c r="C124" s="31"/>
      <c r="D124" s="31"/>
      <c r="E124" s="31"/>
      <c r="F124" s="218" t="s">
        <v>192</v>
      </c>
      <c r="G124" s="530"/>
      <c r="H124" s="531"/>
      <c r="I124" s="220">
        <f>SUM(I118:I123)</f>
        <v>115.625416</v>
      </c>
      <c r="J124" s="530"/>
      <c r="K124" s="531"/>
      <c r="L124" s="220">
        <f>SUM(L118:L123)</f>
        <v>101.24796871444457</v>
      </c>
      <c r="M124" s="362">
        <f>SUM(M118:M121)</f>
        <v>-14.37744728555543</v>
      </c>
      <c r="N124" s="223">
        <f>+M124/I124</f>
        <v>-0.1243450426639367</v>
      </c>
      <c r="O124" s="351">
        <f ca="1">L124/L126</f>
        <v>0.88495575221238942</v>
      </c>
      <c r="P124" s="147"/>
    </row>
    <row r="125" spans="1:16" ht="18" customHeight="1" thickBot="1">
      <c r="B125" s="154"/>
      <c r="C125" s="31"/>
      <c r="D125" s="31"/>
      <c r="E125" s="31"/>
      <c r="F125" s="278" t="s">
        <v>193</v>
      </c>
      <c r="G125" s="279"/>
      <c r="H125" s="283">
        <f ca="1">$H$177</f>
        <v>0.13</v>
      </c>
      <c r="I125" s="280">
        <f ca="1">I124*H125</f>
        <v>15.03130408</v>
      </c>
      <c r="J125" s="279"/>
      <c r="K125" s="283">
        <f ca="1">$K$177</f>
        <v>0.13</v>
      </c>
      <c r="L125" s="281">
        <f ca="1">L124*K125</f>
        <v>13.162235932877794</v>
      </c>
      <c r="M125" s="212">
        <f ca="1">+L125-I125</f>
        <v>-1.8690681471222064</v>
      </c>
      <c r="N125" s="213">
        <f ca="1">+M125/I125</f>
        <v>-0.12434504266393674</v>
      </c>
      <c r="O125" s="226">
        <f ca="1">L125/L126</f>
        <v>0.11504424778761062</v>
      </c>
      <c r="P125" s="147"/>
    </row>
    <row r="126" spans="1:16" ht="18" customHeight="1" thickBot="1">
      <c r="B126" s="154"/>
      <c r="C126" s="31"/>
      <c r="D126" s="31"/>
      <c r="E126" s="35"/>
      <c r="F126" s="219" t="s">
        <v>79</v>
      </c>
      <c r="G126" s="542"/>
      <c r="H126" s="543"/>
      <c r="I126" s="221">
        <f ca="1">I124+I125</f>
        <v>130.65672008000001</v>
      </c>
      <c r="J126" s="542"/>
      <c r="K126" s="543"/>
      <c r="L126" s="221">
        <f ca="1">L124+L125</f>
        <v>114.41020464732236</v>
      </c>
      <c r="M126" s="363">
        <f ca="1">M124+M125</f>
        <v>-16.246515432677636</v>
      </c>
      <c r="N126" s="223">
        <f ca="1">+M126/I126</f>
        <v>-0.1243450426639367</v>
      </c>
      <c r="O126" s="225">
        <f ca="1">SUM(O124:O125)</f>
        <v>1</v>
      </c>
      <c r="P126" s="147"/>
    </row>
    <row r="127" spans="1:16" ht="18" customHeight="1" thickBot="1">
      <c r="B127" s="154"/>
      <c r="C127" s="31"/>
      <c r="D127" s="31"/>
      <c r="E127" s="31"/>
      <c r="F127" s="458"/>
      <c r="G127" s="162"/>
      <c r="H127" s="462">
        <v>-0.1</v>
      </c>
      <c r="I127" s="459">
        <f ca="1">H127*I126</f>
        <v>-13.065672008000002</v>
      </c>
      <c r="J127" s="162"/>
      <c r="K127" s="462">
        <v>-0.1</v>
      </c>
      <c r="L127" s="459">
        <f ca="1">K127*L126</f>
        <v>-11.441020464732237</v>
      </c>
      <c r="M127" s="460"/>
      <c r="N127" s="461"/>
      <c r="O127" s="461"/>
      <c r="P127" s="147"/>
    </row>
    <row r="128" spans="1:16" ht="18" customHeight="1" thickBot="1">
      <c r="B128" s="154"/>
      <c r="C128" s="31"/>
      <c r="D128" s="31"/>
      <c r="E128" s="31"/>
      <c r="F128" s="458"/>
      <c r="G128" s="162"/>
      <c r="H128" s="162"/>
      <c r="I128" s="459">
        <f ca="1">SUM(I126:I127)</f>
        <v>117.59104807200001</v>
      </c>
      <c r="J128" s="162"/>
      <c r="K128" s="162"/>
      <c r="L128" s="459">
        <f ca="1">SUM(L126:L127)</f>
        <v>102.96918418259013</v>
      </c>
      <c r="M128" s="460">
        <f ca="1">L128-I128</f>
        <v>-14.62186388940988</v>
      </c>
      <c r="N128" s="461">
        <f ca="1">M128/I128</f>
        <v>-0.12434504266393677</v>
      </c>
      <c r="O128" s="461"/>
      <c r="P128" s="147"/>
    </row>
    <row r="129" spans="1:16" ht="18" customHeight="1" thickBot="1">
      <c r="B129" s="148"/>
      <c r="C129" s="160"/>
      <c r="D129" s="160"/>
      <c r="E129" s="160"/>
      <c r="F129" s="161"/>
      <c r="G129" s="162"/>
      <c r="H129" s="163"/>
      <c r="I129" s="164"/>
      <c r="J129" s="162"/>
      <c r="K129" s="165"/>
      <c r="L129" s="164"/>
      <c r="M129" s="169"/>
      <c r="N129" s="167"/>
      <c r="O129" s="168"/>
      <c r="P129" s="149"/>
    </row>
    <row r="130" spans="1:16" ht="18" customHeight="1" thickBot="1">
      <c r="B130" s="25"/>
      <c r="C130" s="31"/>
      <c r="D130" s="31"/>
      <c r="E130" s="31"/>
      <c r="F130" s="49"/>
      <c r="G130" s="50"/>
      <c r="H130" s="51"/>
      <c r="I130" s="52"/>
      <c r="J130" s="50"/>
      <c r="K130" s="53"/>
      <c r="L130" s="52"/>
      <c r="M130" s="159"/>
      <c r="N130" s="157"/>
      <c r="O130" s="158"/>
      <c r="P130" s="25"/>
    </row>
    <row r="131" spans="1:16" ht="18" customHeight="1">
      <c r="B131" s="156"/>
      <c r="C131" s="539"/>
      <c r="D131" s="539"/>
      <c r="E131" s="539"/>
      <c r="F131" s="539"/>
      <c r="G131" s="539"/>
      <c r="H131" s="539"/>
      <c r="I131" s="539"/>
      <c r="J131" s="539"/>
      <c r="K131" s="539"/>
      <c r="L131" s="539"/>
      <c r="M131" s="539"/>
      <c r="N131" s="539"/>
      <c r="O131" s="539"/>
      <c r="P131" s="146"/>
    </row>
    <row r="132" spans="1:16" ht="23.25">
      <c r="B132" s="154"/>
      <c r="C132" s="540" t="s">
        <v>48</v>
      </c>
      <c r="D132" s="540"/>
      <c r="E132" s="540"/>
      <c r="F132" s="540"/>
      <c r="G132" s="540"/>
      <c r="H132" s="540"/>
      <c r="I132" s="540"/>
      <c r="J132" s="540"/>
      <c r="K132" s="540"/>
      <c r="L132" s="540"/>
      <c r="M132" s="540"/>
      <c r="N132" s="540"/>
      <c r="O132" s="540"/>
      <c r="P132" s="147"/>
    </row>
    <row r="133" spans="1:16" ht="18" customHeight="1" thickBot="1">
      <c r="B133" s="154"/>
      <c r="C133" s="541"/>
      <c r="D133" s="541"/>
      <c r="E133" s="541"/>
      <c r="F133" s="541"/>
      <c r="G133" s="541"/>
      <c r="H133" s="541"/>
      <c r="I133" s="541"/>
      <c r="J133" s="541"/>
      <c r="K133" s="541"/>
      <c r="L133" s="541"/>
      <c r="M133" s="541"/>
      <c r="N133" s="541"/>
      <c r="O133" s="541"/>
      <c r="P133" s="147"/>
    </row>
    <row r="134" spans="1:16" ht="18" customHeight="1" thickBot="1">
      <c r="B134" s="154"/>
      <c r="C134" s="155"/>
      <c r="D134" s="155"/>
      <c r="E134" s="31"/>
      <c r="F134" s="37"/>
      <c r="G134" s="534" t="str">
        <f>$G$10</f>
        <v>2011 BILL</v>
      </c>
      <c r="H134" s="535"/>
      <c r="I134" s="536"/>
      <c r="J134" s="534" t="str">
        <f>$J$10</f>
        <v>2012 BILL</v>
      </c>
      <c r="K134" s="535"/>
      <c r="L134" s="536"/>
      <c r="M134" s="534" t="s">
        <v>73</v>
      </c>
      <c r="N134" s="535"/>
      <c r="O134" s="536"/>
      <c r="P134" s="147"/>
    </row>
    <row r="135" spans="1:16" ht="26.25" thickBot="1">
      <c r="B135" s="154"/>
      <c r="C135" s="31"/>
      <c r="D135" s="31"/>
      <c r="E135" s="33"/>
      <c r="F135" s="38"/>
      <c r="G135" s="170" t="s">
        <v>67</v>
      </c>
      <c r="H135" s="171" t="s">
        <v>68</v>
      </c>
      <c r="I135" s="172" t="s">
        <v>69</v>
      </c>
      <c r="J135" s="173" t="s">
        <v>67</v>
      </c>
      <c r="K135" s="171" t="s">
        <v>68</v>
      </c>
      <c r="L135" s="172" t="s">
        <v>69</v>
      </c>
      <c r="M135" s="174" t="s">
        <v>80</v>
      </c>
      <c r="N135" s="175" t="s">
        <v>81</v>
      </c>
      <c r="O135" s="176" t="s">
        <v>76</v>
      </c>
      <c r="P135" s="147"/>
    </row>
    <row r="136" spans="1:16" ht="18" customHeight="1" thickBot="1">
      <c r="B136" s="154"/>
      <c r="C136" s="528" t="s">
        <v>70</v>
      </c>
      <c r="D136" s="529"/>
      <c r="E136" s="31"/>
      <c r="F136" s="180" t="s">
        <v>71</v>
      </c>
      <c r="G136" s="190"/>
      <c r="H136" s="191"/>
      <c r="I136" s="192">
        <f>$I$58</f>
        <v>11.13</v>
      </c>
      <c r="J136" s="190"/>
      <c r="K136" s="191"/>
      <c r="L136" s="195">
        <f>'Rate Schedule (Part 1)'!$E$12</f>
        <v>11.07</v>
      </c>
      <c r="M136" s="204">
        <f t="shared" ref="M136:M143" si="10">+L136-I136</f>
        <v>-6.0000000000000497E-2</v>
      </c>
      <c r="N136" s="205">
        <f>+M136/I136</f>
        <v>-5.3908355795148693E-3</v>
      </c>
      <c r="O136" s="206">
        <f ca="1">L136/L153</f>
        <v>7.8185674508357936E-2</v>
      </c>
      <c r="P136" s="147"/>
    </row>
    <row r="137" spans="1:16" ht="18" customHeight="1" thickBot="1">
      <c r="B137" s="154"/>
      <c r="C137" s="422">
        <v>1000</v>
      </c>
      <c r="D137" s="153" t="s">
        <v>16</v>
      </c>
      <c r="E137" s="31"/>
      <c r="F137" s="181" t="s">
        <v>72</v>
      </c>
      <c r="G137" s="184">
        <f>+C137</f>
        <v>1000</v>
      </c>
      <c r="H137" s="178">
        <f>$H$59</f>
        <v>7.9000000000000008E-3</v>
      </c>
      <c r="I137" s="193">
        <f>+G137*H137</f>
        <v>7.9</v>
      </c>
      <c r="J137" s="184">
        <f>+C137</f>
        <v>1000</v>
      </c>
      <c r="K137" s="177">
        <f>'Rate Schedule (Part 1)'!$E$13</f>
        <v>7.9000000000000008E-3</v>
      </c>
      <c r="L137" s="197">
        <f>+J137*K137</f>
        <v>7.9</v>
      </c>
      <c r="M137" s="207">
        <f t="shared" si="10"/>
        <v>0</v>
      </c>
      <c r="N137" s="201">
        <f>+M137/I137</f>
        <v>0</v>
      </c>
      <c r="O137" s="208">
        <f ca="1">L137/L153</f>
        <v>5.5796461482929334E-2</v>
      </c>
      <c r="P137" s="147"/>
    </row>
    <row r="138" spans="1:16" ht="18" customHeight="1" thickBot="1">
      <c r="B138" s="154"/>
      <c r="C138" s="63"/>
      <c r="D138" s="64"/>
      <c r="E138" s="31"/>
      <c r="F138" s="181" t="s">
        <v>222</v>
      </c>
      <c r="G138" s="184">
        <f>G137</f>
        <v>1000</v>
      </c>
      <c r="H138" s="178">
        <f>$H$60</f>
        <v>1.6000000000000001E-3</v>
      </c>
      <c r="I138" s="193">
        <f>+G138*H138</f>
        <v>1.6</v>
      </c>
      <c r="J138" s="184">
        <f>J137</f>
        <v>1000</v>
      </c>
      <c r="K138" s="177">
        <f>'Rate Schedule (Part 1)'!$E$14</f>
        <v>1.1999999999999999E-3</v>
      </c>
      <c r="L138" s="197">
        <f>+J138*K138</f>
        <v>1.2</v>
      </c>
      <c r="M138" s="207">
        <f t="shared" si="10"/>
        <v>-0.40000000000000013</v>
      </c>
      <c r="N138" s="201">
        <f>+M138/I138</f>
        <v>-0.25000000000000006</v>
      </c>
      <c r="O138" s="208">
        <f ca="1">L138/L153</f>
        <v>8.4754118708247079E-3</v>
      </c>
      <c r="P138" s="147"/>
    </row>
    <row r="139" spans="1:16" ht="18" customHeight="1">
      <c r="B139" s="154"/>
      <c r="C139" s="63"/>
      <c r="D139" s="64"/>
      <c r="E139" s="31"/>
      <c r="F139" s="181" t="s">
        <v>271</v>
      </c>
      <c r="G139" s="203"/>
      <c r="H139" s="202"/>
      <c r="I139" s="192">
        <f>$I$61</f>
        <v>1.45</v>
      </c>
      <c r="J139" s="203"/>
      <c r="K139" s="202"/>
      <c r="L139" s="197">
        <f>'Rate Schedule (Part 1)'!$E$16</f>
        <v>-0.94395200676048363</v>
      </c>
      <c r="M139" s="207">
        <f t="shared" si="10"/>
        <v>-2.3939520067604834</v>
      </c>
      <c r="N139" s="201">
        <f>+M139/I139</f>
        <v>-1.6510013839727471</v>
      </c>
      <c r="O139" s="208">
        <f ca="1">L139/L153</f>
        <v>-6.6669850363221738E-3</v>
      </c>
      <c r="P139" s="147"/>
    </row>
    <row r="140" spans="1:16" ht="18" customHeight="1" thickBot="1">
      <c r="A140" s="147"/>
      <c r="B140" s="154"/>
      <c r="C140" s="31"/>
      <c r="D140" s="31"/>
      <c r="E140" s="31"/>
      <c r="F140" s="181" t="s">
        <v>160</v>
      </c>
      <c r="G140" s="184">
        <f>C137</f>
        <v>1000</v>
      </c>
      <c r="H140" s="178">
        <f>$H$62</f>
        <v>0</v>
      </c>
      <c r="I140" s="193">
        <f>+G140*H140</f>
        <v>0</v>
      </c>
      <c r="J140" s="184">
        <f>C137</f>
        <v>1000</v>
      </c>
      <c r="K140" s="177">
        <f>'Rate Schedule (Part 1)'!$E$15</f>
        <v>6.9999999999999999E-4</v>
      </c>
      <c r="L140" s="197">
        <f>J140*K140</f>
        <v>0.7</v>
      </c>
      <c r="M140" s="207">
        <f t="shared" si="10"/>
        <v>0.7</v>
      </c>
      <c r="N140" s="201" t="e">
        <f>+M140/I140</f>
        <v>#DIV/0!</v>
      </c>
      <c r="O140" s="208">
        <f ca="1">L140/$L$153</f>
        <v>4.9439902579810797E-3</v>
      </c>
      <c r="P140" s="147"/>
    </row>
    <row r="141" spans="1:16" ht="18" customHeight="1">
      <c r="A141" s="147"/>
      <c r="B141" s="154"/>
      <c r="C141" s="63"/>
      <c r="D141" s="64"/>
      <c r="E141" s="31"/>
      <c r="F141" s="419" t="s">
        <v>270</v>
      </c>
      <c r="G141" s="203"/>
      <c r="H141" s="202"/>
      <c r="I141" s="192">
        <f>$I$63</f>
        <v>0</v>
      </c>
      <c r="J141" s="203"/>
      <c r="K141" s="202"/>
      <c r="L141" s="211">
        <f>$L$63</f>
        <v>1.4742751921547941</v>
      </c>
      <c r="M141" s="207">
        <f t="shared" si="10"/>
        <v>1.4742751921547941</v>
      </c>
      <c r="N141" s="201" t="e">
        <f t="shared" ref="N141:N153" si="11">+M141/I141</f>
        <v>#DIV/0!</v>
      </c>
      <c r="O141" s="208">
        <f ca="1">L141/$L$153</f>
        <v>1.0412574553709267E-2</v>
      </c>
      <c r="P141" s="147"/>
    </row>
    <row r="142" spans="1:16" ht="18" customHeight="1">
      <c r="A142" s="147"/>
      <c r="B142" s="154"/>
      <c r="C142" s="63"/>
      <c r="D142" s="64"/>
      <c r="E142" s="31"/>
      <c r="F142" s="419" t="s">
        <v>272</v>
      </c>
      <c r="G142" s="203"/>
      <c r="H142" s="202"/>
      <c r="I142" s="193">
        <f>I114</f>
        <v>0.13</v>
      </c>
      <c r="J142" s="194">
        <f>G142</f>
        <v>0</v>
      </c>
      <c r="K142" s="420">
        <f>$K$64</f>
        <v>0</v>
      </c>
      <c r="L142" s="193">
        <f>+J142*K142</f>
        <v>0</v>
      </c>
      <c r="M142" s="207">
        <f t="shared" si="10"/>
        <v>-0.13</v>
      </c>
      <c r="N142" s="201">
        <f t="shared" si="11"/>
        <v>-1</v>
      </c>
      <c r="O142" s="208">
        <f ca="1">L142/$L$153</f>
        <v>0</v>
      </c>
      <c r="P142" s="147"/>
    </row>
    <row r="143" spans="1:16" ht="18" customHeight="1" thickBot="1">
      <c r="A143" s="147"/>
      <c r="B143" s="25"/>
      <c r="C143" s="31"/>
      <c r="D143" s="31"/>
      <c r="E143" s="31"/>
      <c r="F143" s="182" t="s">
        <v>221</v>
      </c>
      <c r="G143" s="209">
        <f>+C137</f>
        <v>1000</v>
      </c>
      <c r="H143" s="178">
        <f>$H$65</f>
        <v>8.6E-3</v>
      </c>
      <c r="I143" s="211">
        <f>+G143*H143</f>
        <v>8.6</v>
      </c>
      <c r="J143" s="209">
        <f>+C137</f>
        <v>1000</v>
      </c>
      <c r="K143" s="210">
        <f>K115</f>
        <v>-8.3597076756817754E-3</v>
      </c>
      <c r="L143" s="211">
        <f>+J143*K143</f>
        <v>-8.3597076756817756</v>
      </c>
      <c r="M143" s="207">
        <f t="shared" si="10"/>
        <v>-16.959707675681777</v>
      </c>
      <c r="N143" s="201">
        <f t="shared" si="11"/>
        <v>-1.9720590320560207</v>
      </c>
      <c r="O143" s="208">
        <f ca="1">L143/$L$153</f>
        <v>-5.9043304725914798E-2</v>
      </c>
      <c r="P143" s="361"/>
    </row>
    <row r="144" spans="1:16" ht="18" customHeight="1" thickBot="1">
      <c r="A144" s="147"/>
      <c r="F144" s="218" t="s">
        <v>223</v>
      </c>
      <c r="G144" s="530"/>
      <c r="H144" s="531"/>
      <c r="I144" s="220">
        <f>SUM(I136:I143)</f>
        <v>30.810000000000002</v>
      </c>
      <c r="J144" s="530"/>
      <c r="K144" s="531"/>
      <c r="L144" s="220">
        <f>SUM(L136:L143)</f>
        <v>13.040615509712534</v>
      </c>
      <c r="M144" s="222">
        <f>SUM(M136:M143)</f>
        <v>-17.769384490287468</v>
      </c>
      <c r="N144" s="223">
        <f t="shared" si="11"/>
        <v>-0.57674081435532187</v>
      </c>
      <c r="O144" s="225">
        <f ca="1">L144/L153</f>
        <v>9.2103822911565353E-2</v>
      </c>
      <c r="P144" s="361"/>
    </row>
    <row r="145" spans="1:18" ht="18" customHeight="1" thickBot="1">
      <c r="A145" s="147"/>
      <c r="F145" s="181" t="s">
        <v>224</v>
      </c>
      <c r="G145" s="348">
        <f>C137*'Other Electriciy Rates'!$L$10</f>
        <v>1079.0999999999999</v>
      </c>
      <c r="H145" s="349">
        <f>'Other Electriciy Rates'!$B$10</f>
        <v>1.0200000000000001E-2</v>
      </c>
      <c r="I145" s="193">
        <f>+G145*H145</f>
        <v>11.006819999999999</v>
      </c>
      <c r="J145" s="348">
        <f>'BILL IMPACTS '!C137*'Other Electriciy Rates'!$L$25</f>
        <v>1080</v>
      </c>
      <c r="K145" s="177">
        <f>'Other Electriciy Rates'!$B$25</f>
        <v>1.0382189432402402E-2</v>
      </c>
      <c r="L145" s="193">
        <f>+J145*K145</f>
        <v>11.212764586994595</v>
      </c>
      <c r="M145" s="350">
        <f>+L145-I145</f>
        <v>0.20594458699459572</v>
      </c>
      <c r="N145" s="205">
        <f t="shared" si="11"/>
        <v>1.8710634587882399E-2</v>
      </c>
      <c r="O145" s="206">
        <f ca="1">L145/L153</f>
        <v>7.9193998404480756E-2</v>
      </c>
      <c r="P145" s="361"/>
    </row>
    <row r="146" spans="1:18" ht="18" customHeight="1" thickBot="1">
      <c r="A146" s="147"/>
      <c r="B146" s="25"/>
      <c r="F146" s="218" t="s">
        <v>225</v>
      </c>
      <c r="G146" s="530"/>
      <c r="H146" s="531"/>
      <c r="I146" s="220">
        <f>I144+I145</f>
        <v>41.81682</v>
      </c>
      <c r="J146" s="530"/>
      <c r="K146" s="531"/>
      <c r="L146" s="220">
        <f>L144+L145</f>
        <v>24.253380096707129</v>
      </c>
      <c r="M146" s="220">
        <f>M144+M145</f>
        <v>-17.563439903292874</v>
      </c>
      <c r="N146" s="223">
        <f t="shared" si="11"/>
        <v>-0.42000897971899526</v>
      </c>
      <c r="O146" s="351">
        <f ca="1">L146/L153</f>
        <v>0.17129782131604612</v>
      </c>
      <c r="P146" s="361"/>
    </row>
    <row r="147" spans="1:18" ht="18" customHeight="1">
      <c r="A147" s="147"/>
      <c r="B147" s="25"/>
      <c r="C147" s="25"/>
      <c r="F147" s="183" t="s">
        <v>77</v>
      </c>
      <c r="G147" s="185">
        <f>+'Other Electriciy Rates'!$L$10*C137</f>
        <v>1079.0999999999999</v>
      </c>
      <c r="H147" s="186">
        <f>'Other Electriciy Rates'!$C$10+'Other Electriciy Rates'!$D$10</f>
        <v>1.2986887220832175E-2</v>
      </c>
      <c r="I147" s="187">
        <f>+G147*H147</f>
        <v>14.014149999999999</v>
      </c>
      <c r="J147" s="185">
        <f>J145</f>
        <v>1080</v>
      </c>
      <c r="K147" s="186">
        <f>'Other Electriciy Rates'!$C$25+'Other Electriciy Rates'!$D$25</f>
        <v>1.278148148148148E-2</v>
      </c>
      <c r="L147" s="214">
        <f>+J147*K147</f>
        <v>13.803999999999998</v>
      </c>
      <c r="M147" s="215">
        <f>+L147-I147</f>
        <v>-0.2101500000000005</v>
      </c>
      <c r="N147" s="216">
        <f t="shared" si="11"/>
        <v>-1.4995558060959853E-2</v>
      </c>
      <c r="O147" s="282">
        <f ca="1">L147/L153</f>
        <v>9.7495487887386892E-2</v>
      </c>
      <c r="P147" s="361"/>
    </row>
    <row r="148" spans="1:18" ht="18" customHeight="1">
      <c r="A148" s="147"/>
      <c r="B148" s="25"/>
      <c r="C148" s="31"/>
      <c r="D148" s="31"/>
      <c r="E148" s="31"/>
      <c r="F148" s="179" t="s">
        <v>78</v>
      </c>
      <c r="G148" s="185">
        <v>600</v>
      </c>
      <c r="H148" s="186">
        <f>'Other Electriciy Rates'!$J$11</f>
        <v>7.4999999999999997E-2</v>
      </c>
      <c r="I148" s="187">
        <f>+G148*H148</f>
        <v>45</v>
      </c>
      <c r="J148" s="185">
        <v>600</v>
      </c>
      <c r="K148" s="186">
        <f>'Other Electriciy Rates'!$J$25</f>
        <v>7.4999999999999997E-2</v>
      </c>
      <c r="L148" s="214">
        <f>+J148*K148</f>
        <v>45</v>
      </c>
      <c r="M148" s="215">
        <f>+L148-I148</f>
        <v>0</v>
      </c>
      <c r="N148" s="216">
        <f t="shared" si="11"/>
        <v>0</v>
      </c>
      <c r="O148" s="217">
        <f ca="1">L148/L153</f>
        <v>0.31782794515592661</v>
      </c>
      <c r="P148" s="361"/>
    </row>
    <row r="149" spans="1:18" ht="18" customHeight="1">
      <c r="A149" s="147"/>
      <c r="B149" s="25"/>
      <c r="C149" s="31"/>
      <c r="D149" s="31"/>
      <c r="E149" s="31"/>
      <c r="F149" s="179" t="s">
        <v>78</v>
      </c>
      <c r="G149" s="185">
        <f>G147-G148</f>
        <v>479.09999999999991</v>
      </c>
      <c r="H149" s="186">
        <f>'Other Electriciy Rates'!$K$10</f>
        <v>8.7999999999999995E-2</v>
      </c>
      <c r="I149" s="187">
        <f>+G149*H149</f>
        <v>42.160799999999988</v>
      </c>
      <c r="J149" s="185">
        <f>J147-J148</f>
        <v>480</v>
      </c>
      <c r="K149" s="186">
        <f>'Other Electriciy Rates'!$K$25</f>
        <v>8.7999999999999995E-2</v>
      </c>
      <c r="L149" s="214">
        <f>+J149*K149</f>
        <v>42.239999999999995</v>
      </c>
      <c r="M149" s="215">
        <f>+L149-I149</f>
        <v>7.9200000000007265E-2</v>
      </c>
      <c r="N149" s="216">
        <f t="shared" si="11"/>
        <v>1.8785222291798848E-3</v>
      </c>
      <c r="O149" s="217">
        <f ca="1">L149/L153</f>
        <v>0.29833449785302973</v>
      </c>
      <c r="P149" s="147"/>
    </row>
    <row r="150" spans="1:18" ht="18" customHeight="1" thickBot="1">
      <c r="A150" s="147"/>
      <c r="B150" s="25"/>
      <c r="C150" s="31"/>
      <c r="D150" s="31"/>
      <c r="E150" s="31"/>
      <c r="F150" s="181" t="s">
        <v>235</v>
      </c>
      <c r="G150" s="279">
        <f>G147</f>
        <v>1079.0999999999999</v>
      </c>
      <c r="H150" s="186">
        <f>H71</f>
        <v>0</v>
      </c>
      <c r="I150" s="189">
        <f>+G150*H150</f>
        <v>0</v>
      </c>
      <c r="J150" s="279">
        <f>G150</f>
        <v>1079.0999999999999</v>
      </c>
      <c r="K150" s="186">
        <f>K71</f>
        <v>0</v>
      </c>
      <c r="L150" s="211">
        <f>+J150*K150</f>
        <v>0</v>
      </c>
      <c r="M150" s="212">
        <f>+L150-I150</f>
        <v>0</v>
      </c>
      <c r="N150" s="213" t="e">
        <f t="shared" si="11"/>
        <v>#DIV/0!</v>
      </c>
      <c r="O150" s="226">
        <f ca="1">L150/L153</f>
        <v>0</v>
      </c>
      <c r="P150" s="147"/>
    </row>
    <row r="151" spans="1:18" ht="18" customHeight="1" thickBot="1">
      <c r="B151" s="154"/>
      <c r="C151" s="31"/>
      <c r="D151" s="31"/>
      <c r="E151" s="31"/>
      <c r="F151" s="218" t="s">
        <v>192</v>
      </c>
      <c r="G151" s="530"/>
      <c r="H151" s="531"/>
      <c r="I151" s="220">
        <f>SUM(I146:I150)</f>
        <v>142.99177</v>
      </c>
      <c r="J151" s="530"/>
      <c r="K151" s="531"/>
      <c r="L151" s="220">
        <f>SUM(L146:L150)</f>
        <v>125.29738009670713</v>
      </c>
      <c r="M151" s="220">
        <f>SUM(M146:M149)</f>
        <v>-17.694389903292866</v>
      </c>
      <c r="N151" s="223">
        <f t="shared" si="11"/>
        <v>-0.12374411410735643</v>
      </c>
      <c r="O151" s="351">
        <f ca="1">L151/L153</f>
        <v>0.88495575221238931</v>
      </c>
      <c r="P151" s="147"/>
    </row>
    <row r="152" spans="1:18" ht="18" customHeight="1" thickBot="1">
      <c r="B152" s="154"/>
      <c r="C152" s="31"/>
      <c r="D152" s="31"/>
      <c r="E152" s="31"/>
      <c r="F152" s="278" t="s">
        <v>193</v>
      </c>
      <c r="G152" s="279"/>
      <c r="H152" s="283">
        <f ca="1">H125</f>
        <v>0.13</v>
      </c>
      <c r="I152" s="280">
        <f ca="1">I151*H152</f>
        <v>18.588930100000002</v>
      </c>
      <c r="J152" s="279"/>
      <c r="K152" s="283">
        <f ca="1">K125</f>
        <v>0.13</v>
      </c>
      <c r="L152" s="281">
        <f ca="1">L151*K152</f>
        <v>16.288659412571928</v>
      </c>
      <c r="M152" s="212">
        <f ca="1">+L152-I152</f>
        <v>-2.3002706874280747</v>
      </c>
      <c r="N152" s="213">
        <f t="shared" ca="1" si="11"/>
        <v>-0.12374411410735653</v>
      </c>
      <c r="O152" s="226">
        <f ca="1">L152/L153</f>
        <v>0.11504424778761062</v>
      </c>
      <c r="P152" s="147"/>
    </row>
    <row r="153" spans="1:18" ht="18" customHeight="1" thickBot="1">
      <c r="B153" s="154"/>
      <c r="C153" s="31"/>
      <c r="D153" s="31"/>
      <c r="E153" s="35"/>
      <c r="F153" s="219" t="s">
        <v>79</v>
      </c>
      <c r="G153" s="542"/>
      <c r="H153" s="543"/>
      <c r="I153" s="221">
        <f ca="1">I151+I152</f>
        <v>161.5807001</v>
      </c>
      <c r="J153" s="542"/>
      <c r="K153" s="543"/>
      <c r="L153" s="221">
        <f ca="1">L151+L152</f>
        <v>141.58603950927906</v>
      </c>
      <c r="M153" s="221">
        <f ca="1">M151+M152</f>
        <v>-19.99466059072094</v>
      </c>
      <c r="N153" s="223">
        <f t="shared" ca="1" si="11"/>
        <v>-0.12374411410735645</v>
      </c>
      <c r="O153" s="225">
        <f ca="1">SUM(O151:O152)</f>
        <v>0.99999999999999989</v>
      </c>
      <c r="P153" s="147"/>
    </row>
    <row r="154" spans="1:18" ht="18" customHeight="1" thickBot="1">
      <c r="B154" s="148"/>
      <c r="C154" s="160"/>
      <c r="D154" s="160"/>
      <c r="E154" s="160"/>
      <c r="F154" s="161"/>
      <c r="G154" s="162"/>
      <c r="H154" s="163"/>
      <c r="I154" s="164"/>
      <c r="J154" s="162"/>
      <c r="K154" s="165"/>
      <c r="L154" s="164"/>
      <c r="M154" s="169"/>
      <c r="N154" s="167"/>
      <c r="O154" s="168"/>
      <c r="P154" s="149"/>
      <c r="R154" s="25"/>
    </row>
    <row r="155" spans="1:18" ht="18" customHeight="1" thickBot="1">
      <c r="R155" s="25"/>
    </row>
    <row r="156" spans="1:18" ht="18" customHeight="1">
      <c r="B156" s="156"/>
      <c r="C156" s="539"/>
      <c r="D156" s="539"/>
      <c r="E156" s="539"/>
      <c r="F156" s="539"/>
      <c r="G156" s="539"/>
      <c r="H156" s="539"/>
      <c r="I156" s="539"/>
      <c r="J156" s="539"/>
      <c r="K156" s="539"/>
      <c r="L156" s="539"/>
      <c r="M156" s="539"/>
      <c r="N156" s="539"/>
      <c r="O156" s="539"/>
      <c r="P156" s="146"/>
    </row>
    <row r="157" spans="1:18" ht="23.25">
      <c r="B157" s="154"/>
      <c r="C157" s="540" t="s">
        <v>48</v>
      </c>
      <c r="D157" s="540"/>
      <c r="E157" s="540"/>
      <c r="F157" s="540"/>
      <c r="G157" s="540"/>
      <c r="H157" s="540"/>
      <c r="I157" s="540"/>
      <c r="J157" s="540"/>
      <c r="K157" s="540"/>
      <c r="L157" s="540"/>
      <c r="M157" s="540"/>
      <c r="N157" s="540"/>
      <c r="O157" s="540"/>
      <c r="P157" s="147"/>
    </row>
    <row r="158" spans="1:18" ht="18" customHeight="1" thickBot="1">
      <c r="B158" s="154"/>
      <c r="C158" s="541"/>
      <c r="D158" s="541"/>
      <c r="E158" s="541"/>
      <c r="F158" s="541"/>
      <c r="G158" s="541"/>
      <c r="H158" s="541"/>
      <c r="I158" s="541"/>
      <c r="J158" s="541"/>
      <c r="K158" s="541"/>
      <c r="L158" s="541"/>
      <c r="M158" s="541"/>
      <c r="N158" s="541"/>
      <c r="O158" s="541"/>
      <c r="P158" s="147"/>
    </row>
    <row r="159" spans="1:18" ht="18" customHeight="1" thickBot="1">
      <c r="B159" s="154"/>
      <c r="C159" s="155"/>
      <c r="D159" s="155"/>
      <c r="E159" s="31"/>
      <c r="F159" s="37"/>
      <c r="G159" s="534" t="str">
        <f>$G$10</f>
        <v>2011 BILL</v>
      </c>
      <c r="H159" s="535"/>
      <c r="I159" s="536"/>
      <c r="J159" s="534" t="str">
        <f>$J$10</f>
        <v>2012 BILL</v>
      </c>
      <c r="K159" s="535"/>
      <c r="L159" s="536"/>
      <c r="M159" s="534" t="s">
        <v>73</v>
      </c>
      <c r="N159" s="535"/>
      <c r="O159" s="536"/>
      <c r="P159" s="147"/>
    </row>
    <row r="160" spans="1:18" ht="26.25" thickBot="1">
      <c r="B160" s="154"/>
      <c r="C160" s="31"/>
      <c r="D160" s="31"/>
      <c r="E160" s="33"/>
      <c r="F160" s="38"/>
      <c r="G160" s="170" t="s">
        <v>67</v>
      </c>
      <c r="H160" s="171" t="s">
        <v>68</v>
      </c>
      <c r="I160" s="172" t="s">
        <v>69</v>
      </c>
      <c r="J160" s="173" t="s">
        <v>67</v>
      </c>
      <c r="K160" s="171" t="s">
        <v>68</v>
      </c>
      <c r="L160" s="172" t="s">
        <v>69</v>
      </c>
      <c r="M160" s="174" t="s">
        <v>80</v>
      </c>
      <c r="N160" s="175" t="s">
        <v>81</v>
      </c>
      <c r="O160" s="176" t="s">
        <v>76</v>
      </c>
      <c r="P160" s="147"/>
    </row>
    <row r="161" spans="1:16" ht="18" customHeight="1" thickBot="1">
      <c r="B161" s="154"/>
      <c r="C161" s="528" t="s">
        <v>70</v>
      </c>
      <c r="D161" s="529"/>
      <c r="E161" s="31"/>
      <c r="F161" s="180" t="s">
        <v>71</v>
      </c>
      <c r="G161" s="190"/>
      <c r="H161" s="191"/>
      <c r="I161" s="192">
        <f>$I$58</f>
        <v>11.13</v>
      </c>
      <c r="J161" s="190"/>
      <c r="K161" s="191"/>
      <c r="L161" s="195">
        <f>'Rate Schedule (Part 1)'!$E$12</f>
        <v>11.07</v>
      </c>
      <c r="M161" s="204">
        <f t="shared" ref="M161:M168" si="12">+L161-I161</f>
        <v>-6.0000000000000497E-2</v>
      </c>
      <c r="N161" s="205">
        <f>+M161/I161</f>
        <v>-5.3908355795148693E-3</v>
      </c>
      <c r="O161" s="206">
        <f ca="1">L161/L178</f>
        <v>5.2656144137853425E-2</v>
      </c>
      <c r="P161" s="147"/>
    </row>
    <row r="162" spans="1:16" ht="18" customHeight="1" thickBot="1">
      <c r="B162" s="154"/>
      <c r="C162" s="150">
        <v>1500</v>
      </c>
      <c r="D162" s="153" t="s">
        <v>16</v>
      </c>
      <c r="E162" s="31"/>
      <c r="F162" s="181" t="s">
        <v>72</v>
      </c>
      <c r="G162" s="184">
        <f>+C162</f>
        <v>1500</v>
      </c>
      <c r="H162" s="178">
        <f>$H$59</f>
        <v>7.9000000000000008E-3</v>
      </c>
      <c r="I162" s="193">
        <f>+G162*H162</f>
        <v>11.850000000000001</v>
      </c>
      <c r="J162" s="184">
        <f>+C162</f>
        <v>1500</v>
      </c>
      <c r="K162" s="177">
        <f>'Rate Schedule (Part 1)'!$E$13</f>
        <v>7.9000000000000008E-3</v>
      </c>
      <c r="L162" s="197">
        <f>+J162*K162</f>
        <v>11.850000000000001</v>
      </c>
      <c r="M162" s="207">
        <f t="shared" si="12"/>
        <v>0</v>
      </c>
      <c r="N162" s="201">
        <f>+M162/I162</f>
        <v>0</v>
      </c>
      <c r="O162" s="208">
        <f ca="1">L162/L178</f>
        <v>5.6366333155696759E-2</v>
      </c>
      <c r="P162" s="147"/>
    </row>
    <row r="163" spans="1:16" ht="18" customHeight="1" thickBot="1">
      <c r="B163" s="154"/>
      <c r="C163" s="63"/>
      <c r="D163" s="64"/>
      <c r="E163" s="31"/>
      <c r="F163" s="181" t="s">
        <v>222</v>
      </c>
      <c r="G163" s="184">
        <f>G162</f>
        <v>1500</v>
      </c>
      <c r="H163" s="178">
        <f>$H$60</f>
        <v>1.6000000000000001E-3</v>
      </c>
      <c r="I163" s="193">
        <f>+G163*H163</f>
        <v>2.4</v>
      </c>
      <c r="J163" s="184">
        <f>J162</f>
        <v>1500</v>
      </c>
      <c r="K163" s="177">
        <f>'Rate Schedule (Part 1)'!$E$14</f>
        <v>1.1999999999999999E-3</v>
      </c>
      <c r="L163" s="197">
        <f>+J163*K163</f>
        <v>1.7999999999999998</v>
      </c>
      <c r="M163" s="207">
        <f t="shared" si="12"/>
        <v>-0.60000000000000009</v>
      </c>
      <c r="N163" s="201">
        <f>+M163/I163</f>
        <v>-0.25000000000000006</v>
      </c>
      <c r="O163" s="208">
        <f ca="1">L163/L178</f>
        <v>8.5619746565615308E-3</v>
      </c>
      <c r="P163" s="147"/>
    </row>
    <row r="164" spans="1:16" ht="18" customHeight="1">
      <c r="B164" s="154"/>
      <c r="C164" s="63"/>
      <c r="D164" s="64"/>
      <c r="E164" s="31"/>
      <c r="F164" s="181" t="s">
        <v>271</v>
      </c>
      <c r="G164" s="203"/>
      <c r="H164" s="202"/>
      <c r="I164" s="192">
        <f>$I$61</f>
        <v>1.45</v>
      </c>
      <c r="J164" s="203"/>
      <c r="K164" s="202"/>
      <c r="L164" s="197">
        <f>'Rate Schedule (Part 1)'!$E$16</f>
        <v>-0.94395200676048363</v>
      </c>
      <c r="M164" s="207">
        <f t="shared" si="12"/>
        <v>-2.3939520067604834</v>
      </c>
      <c r="N164" s="201">
        <f>+M164/I164</f>
        <v>-1.6510013839727471</v>
      </c>
      <c r="O164" s="208">
        <f ca="1">L164/L178</f>
        <v>-4.4900517549409224E-3</v>
      </c>
      <c r="P164" s="147"/>
    </row>
    <row r="165" spans="1:16" ht="18" customHeight="1" thickBot="1">
      <c r="A165" s="147"/>
      <c r="B165" s="154"/>
      <c r="C165" s="31"/>
      <c r="D165" s="31"/>
      <c r="E165" s="31"/>
      <c r="F165" s="181" t="s">
        <v>160</v>
      </c>
      <c r="G165" s="184">
        <f>C162</f>
        <v>1500</v>
      </c>
      <c r="H165" s="178">
        <f>$H$62</f>
        <v>0</v>
      </c>
      <c r="I165" s="193">
        <f>+G165*H165</f>
        <v>0</v>
      </c>
      <c r="J165" s="184">
        <f>C162</f>
        <v>1500</v>
      </c>
      <c r="K165" s="177">
        <f>'Rate Schedule (Part 1)'!$E$15</f>
        <v>6.9999999999999999E-4</v>
      </c>
      <c r="L165" s="197">
        <f>J165*K165</f>
        <v>1.05</v>
      </c>
      <c r="M165" s="207">
        <f t="shared" si="12"/>
        <v>1.05</v>
      </c>
      <c r="N165" s="201" t="e">
        <f>+M165/I165</f>
        <v>#DIV/0!</v>
      </c>
      <c r="O165" s="208">
        <f ca="1">L165/$L$178</f>
        <v>4.9944852163275608E-3</v>
      </c>
      <c r="P165" s="147"/>
    </row>
    <row r="166" spans="1:16" ht="18" customHeight="1">
      <c r="A166" s="147"/>
      <c r="B166" s="154"/>
      <c r="C166" s="63"/>
      <c r="D166" s="64"/>
      <c r="E166" s="31"/>
      <c r="F166" s="419" t="s">
        <v>270</v>
      </c>
      <c r="G166" s="203"/>
      <c r="H166" s="202"/>
      <c r="I166" s="192">
        <f>$I$63</f>
        <v>0</v>
      </c>
      <c r="J166" s="203"/>
      <c r="K166" s="202"/>
      <c r="L166" s="211">
        <f>$L$63</f>
        <v>1.4742751921547941</v>
      </c>
      <c r="M166" s="207">
        <f t="shared" si="12"/>
        <v>1.4742751921547941</v>
      </c>
      <c r="N166" s="201" t="e">
        <f t="shared" ref="N166:N178" si="13">+M166/I166</f>
        <v>#DIV/0!</v>
      </c>
      <c r="O166" s="208">
        <f ca="1">L166/$L$178</f>
        <v>7.0126149066815167E-3</v>
      </c>
      <c r="P166" s="147"/>
    </row>
    <row r="167" spans="1:16" ht="18" customHeight="1">
      <c r="A167" s="147"/>
      <c r="B167" s="154"/>
      <c r="C167" s="63"/>
      <c r="D167" s="64"/>
      <c r="E167" s="31"/>
      <c r="F167" s="419" t="s">
        <v>272</v>
      </c>
      <c r="G167" s="203"/>
      <c r="H167" s="202"/>
      <c r="I167" s="193">
        <f>I142</f>
        <v>0.13</v>
      </c>
      <c r="J167" s="194">
        <f>G167</f>
        <v>0</v>
      </c>
      <c r="K167" s="420">
        <f>$K$64</f>
        <v>0</v>
      </c>
      <c r="L167" s="193">
        <f>+J167*K167</f>
        <v>0</v>
      </c>
      <c r="M167" s="207">
        <f t="shared" si="12"/>
        <v>-0.13</v>
      </c>
      <c r="N167" s="201">
        <f t="shared" si="13"/>
        <v>-1</v>
      </c>
      <c r="O167" s="208">
        <f ca="1">L167/$L$178</f>
        <v>0</v>
      </c>
      <c r="P167" s="147"/>
    </row>
    <row r="168" spans="1:16" ht="18" customHeight="1" thickBot="1">
      <c r="A168" s="147"/>
      <c r="B168" s="25"/>
      <c r="C168" s="31"/>
      <c r="D168" s="31"/>
      <c r="E168" s="31"/>
      <c r="F168" s="182" t="s">
        <v>221</v>
      </c>
      <c r="G168" s="209">
        <f>+C162</f>
        <v>1500</v>
      </c>
      <c r="H168" s="178">
        <f>$H$65</f>
        <v>8.6E-3</v>
      </c>
      <c r="I168" s="211">
        <f>+G168*H168</f>
        <v>12.9</v>
      </c>
      <c r="J168" s="209">
        <f>+C162</f>
        <v>1500</v>
      </c>
      <c r="K168" s="210">
        <f>K143</f>
        <v>-8.3597076756817754E-3</v>
      </c>
      <c r="L168" s="211">
        <f>+J168*K168</f>
        <v>-12.539561513522663</v>
      </c>
      <c r="M168" s="207">
        <f t="shared" si="12"/>
        <v>-25.439561513522662</v>
      </c>
      <c r="N168" s="201">
        <f t="shared" si="13"/>
        <v>-1.9720590320560203</v>
      </c>
      <c r="O168" s="208">
        <f ca="1">L168/$L$178</f>
        <v>-5.9646337712875225E-2</v>
      </c>
      <c r="P168" s="361"/>
    </row>
    <row r="169" spans="1:16" ht="18" customHeight="1" thickBot="1">
      <c r="A169" s="147"/>
      <c r="F169" s="218" t="s">
        <v>223</v>
      </c>
      <c r="G169" s="530"/>
      <c r="H169" s="531"/>
      <c r="I169" s="220">
        <f>SUM(I161:I168)</f>
        <v>39.86</v>
      </c>
      <c r="J169" s="530"/>
      <c r="K169" s="531"/>
      <c r="L169" s="220">
        <f>SUM(L161:L168)</f>
        <v>13.760761671871652</v>
      </c>
      <c r="M169" s="222">
        <f>SUM(M161:M168)</f>
        <v>-26.099238328128351</v>
      </c>
      <c r="N169" s="223">
        <f t="shared" si="13"/>
        <v>-0.65477266252203592</v>
      </c>
      <c r="O169" s="225">
        <f ca="1">L169/L178</f>
        <v>6.5455162605304651E-2</v>
      </c>
      <c r="P169" s="361"/>
    </row>
    <row r="170" spans="1:16" ht="18" customHeight="1" thickBot="1">
      <c r="A170" s="147"/>
      <c r="F170" s="181" t="s">
        <v>224</v>
      </c>
      <c r="G170" s="348">
        <f>C162*'Other Electriciy Rates'!$L$10</f>
        <v>1618.6499999999999</v>
      </c>
      <c r="H170" s="349">
        <f>'Other Electriciy Rates'!$B$10</f>
        <v>1.0200000000000001E-2</v>
      </c>
      <c r="I170" s="193">
        <f>+G170*H170</f>
        <v>16.51023</v>
      </c>
      <c r="J170" s="348">
        <f>'BILL IMPACTS '!C162*'Other Electriciy Rates'!$L$25</f>
        <v>1620</v>
      </c>
      <c r="K170" s="177">
        <f>'Other Electriciy Rates'!$B$25</f>
        <v>1.0382189432402402E-2</v>
      </c>
      <c r="L170" s="193">
        <f>+J170*K170</f>
        <v>16.819146880491893</v>
      </c>
      <c r="M170" s="350">
        <f>+L170-I170</f>
        <v>0.3089168804918927</v>
      </c>
      <c r="N170" s="205">
        <f t="shared" si="13"/>
        <v>1.8710634587882344E-2</v>
      </c>
      <c r="O170" s="206">
        <f ca="1">L170/L178</f>
        <v>8.0002838519865296E-2</v>
      </c>
      <c r="P170" s="361"/>
    </row>
    <row r="171" spans="1:16" ht="18" customHeight="1" thickBot="1">
      <c r="A171" s="147"/>
      <c r="B171" s="25"/>
      <c r="F171" s="218" t="s">
        <v>225</v>
      </c>
      <c r="G171" s="530"/>
      <c r="H171" s="531"/>
      <c r="I171" s="220">
        <f>I169+I170</f>
        <v>56.370229999999999</v>
      </c>
      <c r="J171" s="530"/>
      <c r="K171" s="531"/>
      <c r="L171" s="220">
        <f>L169+L170</f>
        <v>30.579908552363545</v>
      </c>
      <c r="M171" s="220">
        <f>M169+M170</f>
        <v>-25.790321447636458</v>
      </c>
      <c r="N171" s="223">
        <f t="shared" si="13"/>
        <v>-0.45751669715799381</v>
      </c>
      <c r="O171" s="351">
        <f ca="1">L171/L178</f>
        <v>0.14545800112516996</v>
      </c>
      <c r="P171" s="361"/>
    </row>
    <row r="172" spans="1:16" ht="18" customHeight="1">
      <c r="A172" s="147"/>
      <c r="B172" s="25"/>
      <c r="C172" s="25"/>
      <c r="F172" s="183" t="s">
        <v>77</v>
      </c>
      <c r="G172" s="185">
        <f>+'Other Electriciy Rates'!$L$10*C162</f>
        <v>1618.6499999999999</v>
      </c>
      <c r="H172" s="186">
        <f>'Other Electriciy Rates'!$C$10+'Other Electriciy Rates'!$D$10</f>
        <v>1.2986887220832175E-2</v>
      </c>
      <c r="I172" s="187">
        <f>+G172*H172</f>
        <v>21.021224999999998</v>
      </c>
      <c r="J172" s="185">
        <f>J170</f>
        <v>1620</v>
      </c>
      <c r="K172" s="186">
        <f>'Other Electriciy Rates'!$C$25+'Other Electriciy Rates'!$D$25</f>
        <v>1.278148148148148E-2</v>
      </c>
      <c r="L172" s="214">
        <f>+J172*K172</f>
        <v>20.706</v>
      </c>
      <c r="M172" s="215">
        <f>+L172-I172</f>
        <v>-0.31522499999999809</v>
      </c>
      <c r="N172" s="216">
        <f t="shared" si="13"/>
        <v>-1.4995558060959726E-2</v>
      </c>
      <c r="O172" s="282">
        <f ca="1">L172/L178</f>
        <v>9.8491248465979481E-2</v>
      </c>
      <c r="P172" s="361"/>
    </row>
    <row r="173" spans="1:16" ht="18" customHeight="1">
      <c r="A173" s="147"/>
      <c r="B173" s="25"/>
      <c r="C173" s="31"/>
      <c r="D173" s="31"/>
      <c r="E173" s="31"/>
      <c r="F173" s="179" t="s">
        <v>78</v>
      </c>
      <c r="G173" s="185">
        <v>600</v>
      </c>
      <c r="H173" s="186">
        <f>'Other Electriciy Rates'!$J$11</f>
        <v>7.4999999999999997E-2</v>
      </c>
      <c r="I173" s="187">
        <f>+G173*H173</f>
        <v>45</v>
      </c>
      <c r="J173" s="185">
        <v>600</v>
      </c>
      <c r="K173" s="186">
        <f>'Other Electriciy Rates'!$J$25</f>
        <v>7.4999999999999997E-2</v>
      </c>
      <c r="L173" s="214">
        <f>+J173*K173</f>
        <v>45</v>
      </c>
      <c r="M173" s="215">
        <f>+L173-I173</f>
        <v>0</v>
      </c>
      <c r="N173" s="216">
        <f t="shared" si="13"/>
        <v>0</v>
      </c>
      <c r="O173" s="217">
        <f ca="1">L173/L178</f>
        <v>0.21404936641403829</v>
      </c>
      <c r="P173" s="361"/>
    </row>
    <row r="174" spans="1:16" ht="18" customHeight="1">
      <c r="A174" s="147"/>
      <c r="B174" s="25"/>
      <c r="C174" s="31"/>
      <c r="D174" s="31"/>
      <c r="E174" s="31"/>
      <c r="F174" s="179" t="s">
        <v>78</v>
      </c>
      <c r="G174" s="185">
        <f>G172-G173</f>
        <v>1018.6499999999999</v>
      </c>
      <c r="H174" s="186">
        <f>'Other Electriciy Rates'!$K$10</f>
        <v>8.7999999999999995E-2</v>
      </c>
      <c r="I174" s="187">
        <f>+G174*H174</f>
        <v>89.641199999999984</v>
      </c>
      <c r="J174" s="185">
        <f>J172-J173</f>
        <v>1020</v>
      </c>
      <c r="K174" s="186">
        <f>'Other Electriciy Rates'!$K$25</f>
        <v>8.7999999999999995E-2</v>
      </c>
      <c r="L174" s="214">
        <f>+J174*K174</f>
        <v>89.759999999999991</v>
      </c>
      <c r="M174" s="215">
        <f>+L174-I174</f>
        <v>0.11880000000000734</v>
      </c>
      <c r="N174" s="216">
        <f t="shared" si="13"/>
        <v>1.3252834634075333E-3</v>
      </c>
      <c r="O174" s="217">
        <f ca="1">L174/L178</f>
        <v>0.42695713620720166</v>
      </c>
      <c r="P174" s="147"/>
    </row>
    <row r="175" spans="1:16" ht="18" customHeight="1" thickBot="1">
      <c r="A175" s="147"/>
      <c r="B175" s="25"/>
      <c r="C175" s="31"/>
      <c r="D175" s="31"/>
      <c r="E175" s="31"/>
      <c r="F175" s="181" t="s">
        <v>235</v>
      </c>
      <c r="G175" s="279">
        <f>G172</f>
        <v>1618.6499999999999</v>
      </c>
      <c r="H175" s="186">
        <f>H150</f>
        <v>0</v>
      </c>
      <c r="I175" s="189">
        <f>+G175*H175</f>
        <v>0</v>
      </c>
      <c r="J175" s="279">
        <f>G175</f>
        <v>1618.6499999999999</v>
      </c>
      <c r="K175" s="186">
        <f>K150</f>
        <v>0</v>
      </c>
      <c r="L175" s="211">
        <f>+J175*K175</f>
        <v>0</v>
      </c>
      <c r="M175" s="212">
        <f>+L175-I175</f>
        <v>0</v>
      </c>
      <c r="N175" s="213" t="e">
        <f t="shared" si="13"/>
        <v>#DIV/0!</v>
      </c>
      <c r="O175" s="226">
        <f ca="1">L175/L178</f>
        <v>0</v>
      </c>
      <c r="P175" s="147"/>
    </row>
    <row r="176" spans="1:16" ht="18" customHeight="1" thickBot="1">
      <c r="B176" s="154"/>
      <c r="C176" s="31"/>
      <c r="D176" s="31"/>
      <c r="E176" s="31"/>
      <c r="F176" s="218" t="s">
        <v>192</v>
      </c>
      <c r="G176" s="530"/>
      <c r="H176" s="531"/>
      <c r="I176" s="220">
        <f>SUM(I171:I175)</f>
        <v>212.03265499999998</v>
      </c>
      <c r="J176" s="530"/>
      <c r="K176" s="531"/>
      <c r="L176" s="220">
        <f>SUM(L171:L175)</f>
        <v>186.04590855236353</v>
      </c>
      <c r="M176" s="220">
        <f>SUM(M171:M174)</f>
        <v>-25.986746447636449</v>
      </c>
      <c r="N176" s="223">
        <f t="shared" si="13"/>
        <v>-0.12256011437312074</v>
      </c>
      <c r="O176" s="351">
        <f ca="1">L176/L178</f>
        <v>0.88495575221238942</v>
      </c>
      <c r="P176" s="147"/>
    </row>
    <row r="177" spans="1:16" ht="18" customHeight="1" thickBot="1">
      <c r="B177" s="154"/>
      <c r="C177" s="31"/>
      <c r="D177" s="31"/>
      <c r="E177" s="31"/>
      <c r="F177" s="278" t="s">
        <v>193</v>
      </c>
      <c r="G177" s="279"/>
      <c r="H177" s="283">
        <f ca="1">H152</f>
        <v>0.13</v>
      </c>
      <c r="I177" s="280">
        <f ca="1">I176*H177</f>
        <v>27.564245149999998</v>
      </c>
      <c r="J177" s="279"/>
      <c r="K177" s="283">
        <f ca="1">K152</f>
        <v>0.13</v>
      </c>
      <c r="L177" s="281">
        <f ca="1">L176*K177</f>
        <v>24.185968111807259</v>
      </c>
      <c r="M177" s="212">
        <f ca="1">+L177-I177</f>
        <v>-3.3782770381927385</v>
      </c>
      <c r="N177" s="213">
        <f t="shared" ca="1" si="13"/>
        <v>-0.12256011437312074</v>
      </c>
      <c r="O177" s="226">
        <f ca="1">L177/L178</f>
        <v>0.11504424778761062</v>
      </c>
      <c r="P177" s="147"/>
    </row>
    <row r="178" spans="1:16" ht="18" customHeight="1" thickBot="1">
      <c r="B178" s="154"/>
      <c r="C178" s="31"/>
      <c r="D178" s="31"/>
      <c r="E178" s="35"/>
      <c r="F178" s="219" t="s">
        <v>79</v>
      </c>
      <c r="G178" s="542"/>
      <c r="H178" s="543"/>
      <c r="I178" s="221">
        <f ca="1">I176+I177</f>
        <v>239.59690014999998</v>
      </c>
      <c r="J178" s="542"/>
      <c r="K178" s="543"/>
      <c r="L178" s="221">
        <f ca="1">L176+L177</f>
        <v>210.23187666417078</v>
      </c>
      <c r="M178" s="221">
        <f ca="1">M176+M177</f>
        <v>-29.365023485829187</v>
      </c>
      <c r="N178" s="223">
        <f t="shared" ca="1" si="13"/>
        <v>-0.12256011437312074</v>
      </c>
      <c r="O178" s="225">
        <f ca="1">SUM(O176:O177)</f>
        <v>1</v>
      </c>
      <c r="P178" s="147"/>
    </row>
    <row r="179" spans="1:16" ht="18" customHeight="1" thickBot="1">
      <c r="B179" s="148"/>
      <c r="C179" s="160"/>
      <c r="D179" s="160"/>
      <c r="E179" s="160"/>
      <c r="F179" s="161"/>
      <c r="G179" s="162"/>
      <c r="H179" s="163"/>
      <c r="I179" s="164"/>
      <c r="J179" s="162"/>
      <c r="K179" s="165"/>
      <c r="L179" s="164"/>
      <c r="M179" s="169"/>
      <c r="N179" s="167"/>
      <c r="O179" s="168"/>
      <c r="P179" s="149"/>
    </row>
    <row r="180" spans="1:16" ht="18" customHeight="1" thickBot="1">
      <c r="B180" s="25"/>
      <c r="C180" s="31"/>
      <c r="D180" s="31"/>
      <c r="E180" s="31"/>
      <c r="F180" s="49"/>
      <c r="G180" s="50"/>
      <c r="H180" s="51"/>
      <c r="I180" s="52"/>
      <c r="J180" s="50"/>
      <c r="K180" s="53"/>
      <c r="L180" s="52"/>
      <c r="M180" s="159"/>
      <c r="N180" s="157"/>
      <c r="O180" s="158"/>
      <c r="P180" s="25"/>
    </row>
    <row r="181" spans="1:16" ht="18" customHeight="1">
      <c r="B181" s="156"/>
      <c r="C181" s="539"/>
      <c r="D181" s="539"/>
      <c r="E181" s="539"/>
      <c r="F181" s="539"/>
      <c r="G181" s="539"/>
      <c r="H181" s="539"/>
      <c r="I181" s="539"/>
      <c r="J181" s="539"/>
      <c r="K181" s="539"/>
      <c r="L181" s="539"/>
      <c r="M181" s="539"/>
      <c r="N181" s="539"/>
      <c r="O181" s="539"/>
      <c r="P181" s="146"/>
    </row>
    <row r="182" spans="1:16" ht="23.25">
      <c r="B182" s="154"/>
      <c r="C182" s="540" t="s">
        <v>135</v>
      </c>
      <c r="D182" s="540"/>
      <c r="E182" s="540"/>
      <c r="F182" s="540"/>
      <c r="G182" s="540"/>
      <c r="H182" s="540"/>
      <c r="I182" s="540"/>
      <c r="J182" s="540"/>
      <c r="K182" s="540"/>
      <c r="L182" s="540"/>
      <c r="M182" s="540"/>
      <c r="N182" s="540"/>
      <c r="O182" s="540"/>
      <c r="P182" s="147"/>
    </row>
    <row r="183" spans="1:16" ht="18" customHeight="1" thickBot="1">
      <c r="B183" s="154"/>
      <c r="C183" s="541"/>
      <c r="D183" s="541"/>
      <c r="E183" s="541"/>
      <c r="F183" s="541"/>
      <c r="G183" s="541"/>
      <c r="H183" s="541"/>
      <c r="I183" s="541"/>
      <c r="J183" s="541"/>
      <c r="K183" s="541"/>
      <c r="L183" s="541"/>
      <c r="M183" s="541"/>
      <c r="N183" s="541"/>
      <c r="O183" s="541"/>
      <c r="P183" s="147"/>
    </row>
    <row r="184" spans="1:16" ht="18" customHeight="1" thickBot="1">
      <c r="B184" s="154"/>
      <c r="C184" s="155"/>
      <c r="D184" s="155"/>
      <c r="E184" s="31"/>
      <c r="F184" s="37"/>
      <c r="G184" s="534" t="str">
        <f>$G$10</f>
        <v>2011 BILL</v>
      </c>
      <c r="H184" s="535"/>
      <c r="I184" s="536"/>
      <c r="J184" s="534" t="str">
        <f>$J$10</f>
        <v>2012 BILL</v>
      </c>
      <c r="K184" s="535"/>
      <c r="L184" s="536"/>
      <c r="M184" s="534" t="s">
        <v>73</v>
      </c>
      <c r="N184" s="535"/>
      <c r="O184" s="536"/>
      <c r="P184" s="147"/>
    </row>
    <row r="185" spans="1:16" ht="26.25" thickBot="1">
      <c r="B185" s="154"/>
      <c r="C185" s="31"/>
      <c r="D185" s="31"/>
      <c r="E185" s="33"/>
      <c r="F185" s="38"/>
      <c r="G185" s="170" t="s">
        <v>67</v>
      </c>
      <c r="H185" s="171" t="s">
        <v>68</v>
      </c>
      <c r="I185" s="172" t="s">
        <v>69</v>
      </c>
      <c r="J185" s="173" t="s">
        <v>67</v>
      </c>
      <c r="K185" s="171" t="s">
        <v>68</v>
      </c>
      <c r="L185" s="172" t="s">
        <v>69</v>
      </c>
      <c r="M185" s="174" t="s">
        <v>80</v>
      </c>
      <c r="N185" s="175" t="s">
        <v>81</v>
      </c>
      <c r="O185" s="176" t="s">
        <v>76</v>
      </c>
      <c r="P185" s="147"/>
    </row>
    <row r="186" spans="1:16" ht="18" customHeight="1" thickBot="1">
      <c r="B186" s="154"/>
      <c r="C186" s="528" t="s">
        <v>70</v>
      </c>
      <c r="D186" s="529"/>
      <c r="E186" s="31"/>
      <c r="F186" s="180" t="s">
        <v>71</v>
      </c>
      <c r="G186" s="190"/>
      <c r="H186" s="191"/>
      <c r="I186" s="192">
        <f>'2011 Existing Rates'!$C$9</f>
        <v>11.06</v>
      </c>
      <c r="J186" s="190"/>
      <c r="K186" s="191"/>
      <c r="L186" s="195">
        <f>'Rate Schedule (Part 1)'!$E$20</f>
        <v>14.96</v>
      </c>
      <c r="M186" s="204">
        <f t="shared" ref="M186:M193" si="14">+L186-I186</f>
        <v>3.9000000000000004</v>
      </c>
      <c r="N186" s="205">
        <f t="shared" ref="N186:N204" si="15">+M186/I186</f>
        <v>0.35262206148282099</v>
      </c>
      <c r="O186" s="206">
        <f ca="1">L186/L204</f>
        <v>5.3575455633604128E-2</v>
      </c>
      <c r="P186" s="147"/>
    </row>
    <row r="187" spans="1:16" ht="18" customHeight="1" thickBot="1">
      <c r="B187" s="154"/>
      <c r="C187" s="152">
        <v>2000</v>
      </c>
      <c r="D187" s="153" t="s">
        <v>16</v>
      </c>
      <c r="E187" s="31"/>
      <c r="F187" s="181" t="s">
        <v>72</v>
      </c>
      <c r="G187" s="184">
        <f>+C187</f>
        <v>2000</v>
      </c>
      <c r="H187" s="178">
        <f>'2011 Existing Rates'!$E$9</f>
        <v>1.6999999999999999E-3</v>
      </c>
      <c r="I187" s="193">
        <f>+G187*H187</f>
        <v>3.4</v>
      </c>
      <c r="J187" s="184">
        <f>+C187</f>
        <v>2000</v>
      </c>
      <c r="K187" s="177">
        <f>'Rate Schedule (Part 1)'!$E$21</f>
        <v>4.7000000000000002E-3</v>
      </c>
      <c r="L187" s="197">
        <f>+J187*K187</f>
        <v>9.4</v>
      </c>
      <c r="M187" s="207">
        <f t="shared" si="14"/>
        <v>6</v>
      </c>
      <c r="N187" s="201">
        <f t="shared" si="15"/>
        <v>1.7647058823529411</v>
      </c>
      <c r="O187" s="208">
        <f ca="1">L187/L204</f>
        <v>3.3663722122719168E-2</v>
      </c>
      <c r="P187" s="147"/>
    </row>
    <row r="188" spans="1:16" ht="18" customHeight="1">
      <c r="B188" s="154"/>
      <c r="C188" s="63"/>
      <c r="D188" s="64"/>
      <c r="E188" s="31"/>
      <c r="F188" s="181" t="s">
        <v>222</v>
      </c>
      <c r="G188" s="184">
        <f>G187</f>
        <v>2000</v>
      </c>
      <c r="H188" s="178">
        <f>'2011 Existing Rates'!$B$35</f>
        <v>1.4E-3</v>
      </c>
      <c r="I188" s="193">
        <f>+G188*H188</f>
        <v>2.8</v>
      </c>
      <c r="J188" s="184">
        <f>J187</f>
        <v>2000</v>
      </c>
      <c r="K188" s="177">
        <f>'Rate Schedule (Part 1)'!$E$22</f>
        <v>1.1000000000000001E-3</v>
      </c>
      <c r="L188" s="197">
        <f>+J188*K188</f>
        <v>2.2000000000000002</v>
      </c>
      <c r="M188" s="207">
        <f t="shared" si="14"/>
        <v>-0.59999999999999964</v>
      </c>
      <c r="N188" s="201">
        <f t="shared" si="15"/>
        <v>-0.21428571428571416</v>
      </c>
      <c r="O188" s="208">
        <f ca="1">L188/L204</f>
        <v>7.8787434755300187E-3</v>
      </c>
      <c r="P188" s="147"/>
    </row>
    <row r="189" spans="1:16" ht="18" customHeight="1">
      <c r="B189" s="154"/>
      <c r="C189" s="63"/>
      <c r="D189" s="64"/>
      <c r="E189" s="31"/>
      <c r="F189" s="181" t="s">
        <v>271</v>
      </c>
      <c r="G189" s="203"/>
      <c r="H189" s="202"/>
      <c r="I189" s="193">
        <f>'2011 Existing Rates'!$B$48</f>
        <v>1.45</v>
      </c>
      <c r="J189" s="203"/>
      <c r="K189" s="202"/>
      <c r="L189" s="197">
        <f>'Rate Schedule (Part 1)'!$E$24</f>
        <v>0.94926443265034022</v>
      </c>
      <c r="M189" s="207">
        <f t="shared" si="14"/>
        <v>-0.50073556734965974</v>
      </c>
      <c r="N189" s="201">
        <f t="shared" si="15"/>
        <v>-0.34533487403424812</v>
      </c>
      <c r="O189" s="208">
        <f ca="1">L189/L204</f>
        <v>3.3995504342257147E-3</v>
      </c>
      <c r="P189" s="147"/>
    </row>
    <row r="190" spans="1:16" ht="18" customHeight="1" thickBot="1">
      <c r="A190" s="147"/>
      <c r="B190" s="25"/>
      <c r="C190" s="31"/>
      <c r="D190" s="31"/>
      <c r="E190" s="31"/>
      <c r="F190" s="181" t="s">
        <v>160</v>
      </c>
      <c r="G190" s="184">
        <f>C187</f>
        <v>2000</v>
      </c>
      <c r="H190" s="178"/>
      <c r="I190" s="189">
        <f>+G190*H190</f>
        <v>0</v>
      </c>
      <c r="J190" s="184">
        <f>C187</f>
        <v>2000</v>
      </c>
      <c r="K190" s="177">
        <f>'Rate Schedule (Part 1)'!$E$23</f>
        <v>2.0000000000000001E-4</v>
      </c>
      <c r="L190" s="197">
        <f>J190*K190</f>
        <v>0.4</v>
      </c>
      <c r="M190" s="207">
        <f t="shared" si="14"/>
        <v>0.4</v>
      </c>
      <c r="N190" s="201" t="e">
        <f t="shared" si="15"/>
        <v>#DIV/0!</v>
      </c>
      <c r="O190" s="208">
        <f ca="1">L190/$L$204</f>
        <v>1.4324988137327307E-3</v>
      </c>
      <c r="P190" s="147"/>
    </row>
    <row r="191" spans="1:16" ht="18" customHeight="1">
      <c r="A191" s="147"/>
      <c r="B191" s="25"/>
      <c r="C191" s="31"/>
      <c r="D191" s="31"/>
      <c r="E191" s="31"/>
      <c r="F191" s="419" t="s">
        <v>270</v>
      </c>
      <c r="G191" s="203"/>
      <c r="H191" s="202"/>
      <c r="I191" s="192">
        <f>$I$63</f>
        <v>0</v>
      </c>
      <c r="J191" s="203"/>
      <c r="K191" s="202"/>
      <c r="L191" s="211">
        <f>'2012 Rate Rider'!$E$8</f>
        <v>5.9887322983164735</v>
      </c>
      <c r="M191" s="207">
        <f t="shared" si="14"/>
        <v>5.9887322983164735</v>
      </c>
      <c r="N191" s="201" t="e">
        <f t="shared" si="15"/>
        <v>#DIV/0!</v>
      </c>
      <c r="O191" s="208">
        <f ca="1">L191/$L$204</f>
        <v>2.1447129782753094E-2</v>
      </c>
      <c r="P191" s="147"/>
    </row>
    <row r="192" spans="1:16" ht="18" customHeight="1">
      <c r="A192" s="147"/>
      <c r="B192" s="25"/>
      <c r="C192" s="31"/>
      <c r="D192" s="31"/>
      <c r="E192" s="31"/>
      <c r="F192" s="419" t="s">
        <v>272</v>
      </c>
      <c r="G192" s="203"/>
      <c r="H192" s="202"/>
      <c r="I192" s="193">
        <f>'2011 Existing Rates'!B75</f>
        <v>0.12</v>
      </c>
      <c r="J192" s="194">
        <f>G192</f>
        <v>0</v>
      </c>
      <c r="K192" s="420">
        <f>'2012 Rate Rider'!$F$8</f>
        <v>0</v>
      </c>
      <c r="L192" s="193">
        <f>+J192*K192</f>
        <v>0</v>
      </c>
      <c r="M192" s="207">
        <f t="shared" si="14"/>
        <v>-0.12</v>
      </c>
      <c r="N192" s="201">
        <f t="shared" si="15"/>
        <v>-1</v>
      </c>
      <c r="O192" s="208">
        <f ca="1">L192/$L$204</f>
        <v>0</v>
      </c>
      <c r="P192" s="147"/>
    </row>
    <row r="193" spans="1:16" ht="18" customHeight="1" thickBot="1">
      <c r="A193" s="147"/>
      <c r="B193" s="25"/>
      <c r="C193" s="31"/>
      <c r="D193" s="31"/>
      <c r="E193" s="31"/>
      <c r="F193" s="182" t="s">
        <v>221</v>
      </c>
      <c r="G193" s="209">
        <f>+C187</f>
        <v>2000</v>
      </c>
      <c r="H193" s="210">
        <f>'2011 Existing Rates'!$B$22</f>
        <v>6.7000000000000002E-3</v>
      </c>
      <c r="I193" s="211">
        <f>+G193*H193</f>
        <v>13.4</v>
      </c>
      <c r="J193" s="209">
        <f>+C187</f>
        <v>2000</v>
      </c>
      <c r="K193" s="210">
        <f>'2012 Rate Rider'!B8</f>
        <v>-8.5775741718724392E-3</v>
      </c>
      <c r="L193" s="211">
        <f>+J193*K193</f>
        <v>-17.155148343744877</v>
      </c>
      <c r="M193" s="207">
        <f t="shared" si="14"/>
        <v>-30.555148343744875</v>
      </c>
      <c r="N193" s="201">
        <f t="shared" si="15"/>
        <v>-2.2802349510257369</v>
      </c>
      <c r="O193" s="208">
        <f ca="1">L193/$L$204</f>
        <v>-6.1436824129558885E-2</v>
      </c>
      <c r="P193" s="361"/>
    </row>
    <row r="194" spans="1:16" ht="18" customHeight="1" thickBot="1">
      <c r="A194" s="147"/>
      <c r="F194" s="218" t="s">
        <v>223</v>
      </c>
      <c r="G194" s="530"/>
      <c r="H194" s="531"/>
      <c r="I194" s="220">
        <f>SUM(I186:I193)</f>
        <v>32.230000000000004</v>
      </c>
      <c r="J194" s="530"/>
      <c r="K194" s="531"/>
      <c r="L194" s="220">
        <f>SUM(L186:L193)</f>
        <v>16.742848387221933</v>
      </c>
      <c r="M194" s="222">
        <f>SUM(M186:M193)</f>
        <v>-15.487151612778058</v>
      </c>
      <c r="N194" s="223">
        <f t="shared" si="15"/>
        <v>-0.48051975218051679</v>
      </c>
      <c r="O194" s="225">
        <f ca="1">L194/L204</f>
        <v>5.9960276133005953E-2</v>
      </c>
      <c r="P194" s="361"/>
    </row>
    <row r="195" spans="1:16" ht="18" customHeight="1" thickBot="1">
      <c r="A195" s="147"/>
      <c r="F195" s="181" t="s">
        <v>224</v>
      </c>
      <c r="G195" s="348">
        <f>C187*'Other Electriciy Rates'!$L$11</f>
        <v>2158.1999999999998</v>
      </c>
      <c r="H195" s="349">
        <f>'Other Electriciy Rates'!$B$11</f>
        <v>9.1999999999999998E-3</v>
      </c>
      <c r="I195" s="193">
        <f>+G195*H195</f>
        <v>19.855439999999998</v>
      </c>
      <c r="J195" s="348">
        <f>'BILL IMPACTS '!C187*'Other Electriciy Rates'!$L$26</f>
        <v>2160</v>
      </c>
      <c r="K195" s="177">
        <f>'Other Electriciy Rates'!$B$26</f>
        <v>9.3645461530317241E-3</v>
      </c>
      <c r="L195" s="193">
        <f>+J195*K195</f>
        <v>20.227419690548523</v>
      </c>
      <c r="M195" s="350">
        <f>+L195-I195</f>
        <v>0.37197969054852464</v>
      </c>
      <c r="N195" s="205">
        <f t="shared" si="15"/>
        <v>1.8734396747114378E-2</v>
      </c>
      <c r="O195" s="206">
        <f ca="1">L195/L204</f>
        <v>7.2439386778962084E-2</v>
      </c>
      <c r="P195" s="361"/>
    </row>
    <row r="196" spans="1:16" ht="18" customHeight="1" thickBot="1">
      <c r="A196" s="147"/>
      <c r="F196" s="218" t="s">
        <v>225</v>
      </c>
      <c r="G196" s="530"/>
      <c r="H196" s="531"/>
      <c r="I196" s="220">
        <f>I194+I195</f>
        <v>52.085440000000006</v>
      </c>
      <c r="J196" s="530"/>
      <c r="K196" s="531"/>
      <c r="L196" s="220">
        <f>L194+L195</f>
        <v>36.970268077770456</v>
      </c>
      <c r="M196" s="220">
        <f>M194+M195</f>
        <v>-15.115171922229534</v>
      </c>
      <c r="N196" s="223">
        <f t="shared" si="15"/>
        <v>-0.29019956291488624</v>
      </c>
      <c r="O196" s="351">
        <f ca="1">L196/L204</f>
        <v>0.13239966291196803</v>
      </c>
      <c r="P196" s="361"/>
    </row>
    <row r="197" spans="1:16" ht="18" customHeight="1">
      <c r="A197" s="147"/>
      <c r="F197" s="183" t="s">
        <v>77</v>
      </c>
      <c r="G197" s="185">
        <f>+'Other Electriciy Rates'!$L$10*C187</f>
        <v>2158.1999999999998</v>
      </c>
      <c r="H197" s="186">
        <f>'Other Electriciy Rates'!$C$11+'Other Electriciy Rates'!$D$11</f>
        <v>1.2986887220832175E-2</v>
      </c>
      <c r="I197" s="187">
        <f>+G197*H197</f>
        <v>28.028299999999998</v>
      </c>
      <c r="J197" s="185">
        <f>J195</f>
        <v>2160</v>
      </c>
      <c r="K197" s="186">
        <f>'Other Electriciy Rates'!$C$26+'Other Electriciy Rates'!$D$26</f>
        <v>1.278148148148148E-2</v>
      </c>
      <c r="L197" s="214">
        <f>+J197*K197</f>
        <v>27.607999999999997</v>
      </c>
      <c r="M197" s="215">
        <f>+L197-I197</f>
        <v>-0.42030000000000101</v>
      </c>
      <c r="N197" s="216">
        <f t="shared" si="15"/>
        <v>-1.4995558060959853E-2</v>
      </c>
      <c r="O197" s="282">
        <f ca="1">L197/L204</f>
        <v>9.8871068123833061E-2</v>
      </c>
      <c r="P197" s="361"/>
    </row>
    <row r="198" spans="1:16" ht="18" customHeight="1">
      <c r="A198" s="147"/>
      <c r="B198" s="25"/>
      <c r="C198" s="31"/>
      <c r="D198" s="31"/>
      <c r="E198" s="31"/>
      <c r="F198" s="179" t="s">
        <v>78</v>
      </c>
      <c r="G198" s="185">
        <v>600</v>
      </c>
      <c r="H198" s="186">
        <f>'Other Electriciy Rates'!$J$11</f>
        <v>7.4999999999999997E-2</v>
      </c>
      <c r="I198" s="187">
        <f>+G198*H198</f>
        <v>45</v>
      </c>
      <c r="J198" s="185">
        <v>600</v>
      </c>
      <c r="K198" s="186">
        <f>'Other Electriciy Rates'!$J$26</f>
        <v>7.4999999999999997E-2</v>
      </c>
      <c r="L198" s="214">
        <f>+J198*K198</f>
        <v>45</v>
      </c>
      <c r="M198" s="215">
        <f>+L198-I198</f>
        <v>0</v>
      </c>
      <c r="N198" s="216">
        <f t="shared" si="15"/>
        <v>0</v>
      </c>
      <c r="O198" s="217">
        <f ca="1">L198/L204</f>
        <v>0.1611561165449322</v>
      </c>
      <c r="P198" s="361"/>
    </row>
    <row r="199" spans="1:16" ht="18" customHeight="1">
      <c r="B199" s="154"/>
      <c r="C199" s="31"/>
      <c r="D199" s="31"/>
      <c r="E199" s="31"/>
      <c r="F199" s="179" t="s">
        <v>78</v>
      </c>
      <c r="G199" s="185">
        <f>G197-G198</f>
        <v>1558.1999999999998</v>
      </c>
      <c r="H199" s="186">
        <f>'Other Electriciy Rates'!$K$11</f>
        <v>8.7999999999999995E-2</v>
      </c>
      <c r="I199" s="187">
        <f>+G199*H199</f>
        <v>137.12159999999997</v>
      </c>
      <c r="J199" s="185">
        <f>J197-J198</f>
        <v>1560</v>
      </c>
      <c r="K199" s="186">
        <f>'Other Electriciy Rates'!$K$26</f>
        <v>8.7999999999999995E-2</v>
      </c>
      <c r="L199" s="214">
        <f>+J199*K199</f>
        <v>137.28</v>
      </c>
      <c r="M199" s="215">
        <f>+L199-I199</f>
        <v>0.15840000000002874</v>
      </c>
      <c r="N199" s="216">
        <f t="shared" si="15"/>
        <v>1.1551790527533866E-3</v>
      </c>
      <c r="O199" s="217">
        <f ca="1">L199/L204</f>
        <v>0.49163359287307312</v>
      </c>
      <c r="P199" s="147"/>
    </row>
    <row r="200" spans="1:16" ht="18" customHeight="1" thickBot="1">
      <c r="B200" s="154"/>
      <c r="C200" s="31"/>
      <c r="D200" s="31"/>
      <c r="E200" s="31"/>
      <c r="F200" s="181" t="s">
        <v>235</v>
      </c>
      <c r="G200" s="279">
        <f>G197</f>
        <v>2158.1999999999998</v>
      </c>
      <c r="H200" s="186">
        <f>'2012 Rate Rider'!$G$8</f>
        <v>0</v>
      </c>
      <c r="I200" s="189">
        <f>+G200*H200</f>
        <v>0</v>
      </c>
      <c r="J200" s="279">
        <f>G200</f>
        <v>2158.1999999999998</v>
      </c>
      <c r="K200" s="186">
        <f>'2012 Rate Rider'!$G$8</f>
        <v>0</v>
      </c>
      <c r="L200" s="211">
        <f>+J200*K200</f>
        <v>0</v>
      </c>
      <c r="M200" s="215">
        <f>+L200-I200</f>
        <v>0</v>
      </c>
      <c r="N200" s="213" t="e">
        <f t="shared" si="15"/>
        <v>#DIV/0!</v>
      </c>
      <c r="O200" s="226">
        <f ca="1">L200/L204</f>
        <v>0</v>
      </c>
      <c r="P200" s="147"/>
    </row>
    <row r="201" spans="1:16" ht="18" customHeight="1" thickBot="1">
      <c r="B201" s="154"/>
      <c r="C201" s="31"/>
      <c r="D201" s="31"/>
      <c r="E201" s="31"/>
      <c r="F201" s="278"/>
      <c r="G201" s="279"/>
      <c r="H201" s="421"/>
      <c r="I201" s="280">
        <v>0.25</v>
      </c>
      <c r="J201" s="279"/>
      <c r="K201" s="421"/>
      <c r="L201" s="280">
        <v>0.25</v>
      </c>
      <c r="M201" s="215">
        <f>+L201-I201</f>
        <v>0</v>
      </c>
      <c r="N201" s="456"/>
      <c r="O201" s="457"/>
      <c r="P201" s="147"/>
    </row>
    <row r="202" spans="1:16" ht="13.5" thickBot="1">
      <c r="B202" s="154"/>
      <c r="C202" s="31"/>
      <c r="D202" s="31"/>
      <c r="E202" s="31"/>
      <c r="F202" s="218" t="s">
        <v>192</v>
      </c>
      <c r="G202" s="530"/>
      <c r="H202" s="531"/>
      <c r="I202" s="220">
        <f>SUM(I196:I201)</f>
        <v>262.48533999999995</v>
      </c>
      <c r="J202" s="530"/>
      <c r="K202" s="531"/>
      <c r="L202" s="220">
        <f>SUM(L196:L201)</f>
        <v>247.10826807777045</v>
      </c>
      <c r="M202" s="362">
        <f>SUM(M196:M199)</f>
        <v>-15.377071922229506</v>
      </c>
      <c r="N202" s="223">
        <f t="shared" si="15"/>
        <v>-5.8582593306847189E-2</v>
      </c>
      <c r="O202" s="351">
        <f ca="1">L202/L204</f>
        <v>0.88495575221238931</v>
      </c>
      <c r="P202" s="147"/>
    </row>
    <row r="203" spans="1:16" ht="18" customHeight="1" thickBot="1">
      <c r="B203" s="154"/>
      <c r="C203" s="31"/>
      <c r="D203" s="31"/>
      <c r="E203" s="31"/>
      <c r="F203" s="278" t="s">
        <v>193</v>
      </c>
      <c r="G203" s="279"/>
      <c r="H203" s="283">
        <f ca="1">$H$177</f>
        <v>0.13</v>
      </c>
      <c r="I203" s="280">
        <f ca="1">I202*H203</f>
        <v>34.123094199999997</v>
      </c>
      <c r="J203" s="279"/>
      <c r="K203" s="283">
        <f ca="1">$K$177</f>
        <v>0.13</v>
      </c>
      <c r="L203" s="281">
        <f ca="1">L202*K203</f>
        <v>32.124074850110162</v>
      </c>
      <c r="M203" s="212">
        <f ca="1">+L203-I203</f>
        <v>-1.999019349889835</v>
      </c>
      <c r="N203" s="213">
        <f t="shared" ca="1" si="15"/>
        <v>-5.8582593306847161E-2</v>
      </c>
      <c r="O203" s="226">
        <f ca="1">L203/L204</f>
        <v>0.11504424778761063</v>
      </c>
      <c r="P203" s="147"/>
    </row>
    <row r="204" spans="1:16" ht="18" customHeight="1" thickBot="1">
      <c r="B204" s="154"/>
      <c r="C204" s="31"/>
      <c r="D204" s="31"/>
      <c r="E204" s="35"/>
      <c r="F204" s="219" t="s">
        <v>79</v>
      </c>
      <c r="G204" s="542"/>
      <c r="H204" s="543"/>
      <c r="I204" s="221">
        <f ca="1">I202+I203</f>
        <v>296.60843419999992</v>
      </c>
      <c r="J204" s="542"/>
      <c r="K204" s="543"/>
      <c r="L204" s="221">
        <f ca="1">L202+L203</f>
        <v>279.23234292788061</v>
      </c>
      <c r="M204" s="363">
        <f ca="1">M202+M203</f>
        <v>-17.376091272119339</v>
      </c>
      <c r="N204" s="223">
        <f t="shared" ca="1" si="15"/>
        <v>-5.8582593306847189E-2</v>
      </c>
      <c r="O204" s="225">
        <f ca="1">SUM(O202:O203)</f>
        <v>1</v>
      </c>
      <c r="P204" s="147"/>
    </row>
    <row r="205" spans="1:16" ht="18" customHeight="1" thickBot="1">
      <c r="B205" s="154"/>
      <c r="C205" s="31"/>
      <c r="D205" s="31"/>
      <c r="E205" s="31"/>
      <c r="F205" s="458"/>
      <c r="G205" s="162"/>
      <c r="H205" s="462">
        <v>-0.1</v>
      </c>
      <c r="I205" s="459">
        <f ca="1">H205*I204</f>
        <v>-29.660843419999992</v>
      </c>
      <c r="J205" s="162"/>
      <c r="K205" s="462">
        <v>-0.1</v>
      </c>
      <c r="L205" s="459">
        <f ca="1">K205*L204</f>
        <v>-27.923234292788063</v>
      </c>
      <c r="M205" s="460"/>
      <c r="N205" s="461"/>
      <c r="O205" s="461"/>
      <c r="P205" s="147"/>
    </row>
    <row r="206" spans="1:16" ht="18" customHeight="1" thickBot="1">
      <c r="B206" s="154"/>
      <c r="C206" s="31"/>
      <c r="D206" s="31"/>
      <c r="E206" s="31"/>
      <c r="F206" s="458"/>
      <c r="G206" s="162"/>
      <c r="H206" s="162"/>
      <c r="I206" s="459">
        <f ca="1">SUM(I204:I205)</f>
        <v>266.94759077999993</v>
      </c>
      <c r="J206" s="162"/>
      <c r="K206" s="162"/>
      <c r="L206" s="459">
        <f ca="1">SUM(L204:L205)</f>
        <v>251.30910863509254</v>
      </c>
      <c r="M206" s="460">
        <f ca="1">L206-I206</f>
        <v>-15.638482144907385</v>
      </c>
      <c r="N206" s="461">
        <f ca="1">M206/I206</f>
        <v>-5.8582593306847112E-2</v>
      </c>
      <c r="O206" s="461"/>
      <c r="P206" s="147"/>
    </row>
    <row r="207" spans="1:16" ht="18" customHeight="1" thickBot="1">
      <c r="B207" s="154"/>
      <c r="C207" s="31"/>
      <c r="D207" s="31"/>
      <c r="E207" s="31"/>
      <c r="F207" s="458"/>
      <c r="G207" s="162"/>
      <c r="H207" s="162"/>
      <c r="I207" s="459"/>
      <c r="J207" s="162"/>
      <c r="K207" s="162"/>
      <c r="L207" s="459"/>
      <c r="M207" s="460"/>
      <c r="N207" s="461"/>
      <c r="O207" s="461"/>
      <c r="P207" s="147"/>
    </row>
    <row r="208" spans="1:16" ht="18" customHeight="1" thickBot="1">
      <c r="B208" s="148"/>
      <c r="C208" s="160"/>
      <c r="D208" s="160"/>
      <c r="E208" s="160"/>
      <c r="F208" s="161"/>
      <c r="G208" s="162"/>
      <c r="H208" s="163"/>
      <c r="I208" s="164"/>
      <c r="J208" s="162"/>
      <c r="K208" s="165"/>
      <c r="L208" s="164"/>
      <c r="M208" s="169"/>
      <c r="N208" s="167"/>
      <c r="O208" s="168"/>
      <c r="P208" s="149"/>
    </row>
    <row r="209" spans="1:16" ht="18" customHeight="1" thickBot="1">
      <c r="B209" s="25"/>
      <c r="C209" s="31"/>
      <c r="D209" s="31"/>
      <c r="E209" s="31"/>
      <c r="F209" s="49"/>
      <c r="G209" s="50"/>
      <c r="H209" s="51"/>
      <c r="I209" s="52"/>
      <c r="J209" s="50"/>
      <c r="K209" s="53"/>
      <c r="L209" s="52"/>
      <c r="M209" s="159"/>
      <c r="N209" s="157"/>
      <c r="O209" s="158"/>
      <c r="P209" s="25"/>
    </row>
    <row r="210" spans="1:16" ht="18" customHeight="1">
      <c r="B210" s="156"/>
      <c r="C210" s="539"/>
      <c r="D210" s="539"/>
      <c r="E210" s="539"/>
      <c r="F210" s="539"/>
      <c r="G210" s="539"/>
      <c r="H210" s="539"/>
      <c r="I210" s="539"/>
      <c r="J210" s="539"/>
      <c r="K210" s="539"/>
      <c r="L210" s="539"/>
      <c r="M210" s="539"/>
      <c r="N210" s="539"/>
      <c r="O210" s="539"/>
      <c r="P210" s="146"/>
    </row>
    <row r="211" spans="1:16" ht="23.25">
      <c r="B211" s="154"/>
      <c r="C211" s="540" t="s">
        <v>135</v>
      </c>
      <c r="D211" s="540"/>
      <c r="E211" s="540"/>
      <c r="F211" s="540"/>
      <c r="G211" s="540"/>
      <c r="H211" s="540"/>
      <c r="I211" s="540"/>
      <c r="J211" s="540"/>
      <c r="K211" s="540"/>
      <c r="L211" s="540"/>
      <c r="M211" s="540"/>
      <c r="N211" s="540"/>
      <c r="O211" s="540"/>
      <c r="P211" s="147"/>
    </row>
    <row r="212" spans="1:16" ht="18" customHeight="1" thickBot="1">
      <c r="B212" s="154"/>
      <c r="C212" s="541"/>
      <c r="D212" s="541"/>
      <c r="E212" s="541"/>
      <c r="F212" s="541"/>
      <c r="G212" s="541"/>
      <c r="H212" s="541"/>
      <c r="I212" s="541"/>
      <c r="J212" s="541"/>
      <c r="K212" s="541"/>
      <c r="L212" s="541"/>
      <c r="M212" s="541"/>
      <c r="N212" s="541"/>
      <c r="O212" s="541"/>
      <c r="P212" s="147"/>
    </row>
    <row r="213" spans="1:16" ht="18" customHeight="1" thickBot="1">
      <c r="B213" s="154"/>
      <c r="C213" s="155"/>
      <c r="D213" s="155"/>
      <c r="E213" s="31"/>
      <c r="F213" s="37"/>
      <c r="G213" s="534" t="str">
        <f>$G$10</f>
        <v>2011 BILL</v>
      </c>
      <c r="H213" s="535"/>
      <c r="I213" s="536"/>
      <c r="J213" s="534" t="str">
        <f>$J$10</f>
        <v>2012 BILL</v>
      </c>
      <c r="K213" s="535"/>
      <c r="L213" s="536"/>
      <c r="M213" s="534" t="s">
        <v>73</v>
      </c>
      <c r="N213" s="535"/>
      <c r="O213" s="536"/>
      <c r="P213" s="147"/>
    </row>
    <row r="214" spans="1:16" ht="26.25" thickBot="1">
      <c r="B214" s="154"/>
      <c r="C214" s="31"/>
      <c r="D214" s="31"/>
      <c r="E214" s="33"/>
      <c r="F214" s="38"/>
      <c r="G214" s="170" t="s">
        <v>67</v>
      </c>
      <c r="H214" s="171" t="s">
        <v>68</v>
      </c>
      <c r="I214" s="172" t="s">
        <v>69</v>
      </c>
      <c r="J214" s="173" t="s">
        <v>67</v>
      </c>
      <c r="K214" s="171" t="s">
        <v>68</v>
      </c>
      <c r="L214" s="172" t="s">
        <v>69</v>
      </c>
      <c r="M214" s="174" t="s">
        <v>80</v>
      </c>
      <c r="N214" s="175" t="s">
        <v>81</v>
      </c>
      <c r="O214" s="176" t="s">
        <v>76</v>
      </c>
      <c r="P214" s="147"/>
    </row>
    <row r="215" spans="1:16" ht="18" customHeight="1" thickBot="1">
      <c r="B215" s="154"/>
      <c r="C215" s="528" t="s">
        <v>70</v>
      </c>
      <c r="D215" s="529"/>
      <c r="E215" s="31"/>
      <c r="F215" s="180" t="s">
        <v>71</v>
      </c>
      <c r="G215" s="190"/>
      <c r="H215" s="191"/>
      <c r="I215" s="192">
        <f>'2011 Existing Rates'!$C$9</f>
        <v>11.06</v>
      </c>
      <c r="J215" s="190"/>
      <c r="K215" s="191"/>
      <c r="L215" s="195">
        <f>'Rate Schedule (Part 1)'!$E$20</f>
        <v>14.96</v>
      </c>
      <c r="M215" s="204">
        <f t="shared" ref="M215:M222" si="16">+L215-I215</f>
        <v>3.9000000000000004</v>
      </c>
      <c r="N215" s="205">
        <f t="shared" ref="N215:N232" si="17">+M215/I215</f>
        <v>0.35262206148282099</v>
      </c>
      <c r="O215" s="206">
        <f ca="1">L215/L232</f>
        <v>2.2213032689914963E-2</v>
      </c>
      <c r="P215" s="147"/>
    </row>
    <row r="216" spans="1:16" ht="18" customHeight="1" thickBot="1">
      <c r="B216" s="154"/>
      <c r="C216" s="152">
        <v>5000</v>
      </c>
      <c r="D216" s="153" t="s">
        <v>16</v>
      </c>
      <c r="E216" s="31"/>
      <c r="F216" s="181" t="s">
        <v>72</v>
      </c>
      <c r="G216" s="184">
        <f>+C216</f>
        <v>5000</v>
      </c>
      <c r="H216" s="178">
        <f>'2011 Existing Rates'!$E$9</f>
        <v>1.6999999999999999E-3</v>
      </c>
      <c r="I216" s="193">
        <f>+G216*H216</f>
        <v>8.5</v>
      </c>
      <c r="J216" s="184">
        <f>+C216</f>
        <v>5000</v>
      </c>
      <c r="K216" s="177">
        <f>'Rate Schedule (Part 1)'!$E$21</f>
        <v>4.7000000000000002E-3</v>
      </c>
      <c r="L216" s="197">
        <f>+J216*K216</f>
        <v>23.5</v>
      </c>
      <c r="M216" s="207">
        <f t="shared" si="16"/>
        <v>15</v>
      </c>
      <c r="N216" s="201">
        <f t="shared" si="17"/>
        <v>1.7647058823529411</v>
      </c>
      <c r="O216" s="208">
        <f ca="1">L216/L232</f>
        <v>3.4893467126537542E-2</v>
      </c>
      <c r="P216" s="147"/>
    </row>
    <row r="217" spans="1:16" ht="18" customHeight="1">
      <c r="B217" s="154"/>
      <c r="C217" s="63"/>
      <c r="D217" s="64"/>
      <c r="E217" s="31"/>
      <c r="F217" s="181" t="s">
        <v>222</v>
      </c>
      <c r="G217" s="184">
        <f>G216</f>
        <v>5000</v>
      </c>
      <c r="H217" s="178">
        <f>'2011 Existing Rates'!$B$35</f>
        <v>1.4E-3</v>
      </c>
      <c r="I217" s="193">
        <f>+G217*H217</f>
        <v>7</v>
      </c>
      <c r="J217" s="184">
        <f>J216</f>
        <v>5000</v>
      </c>
      <c r="K217" s="177">
        <f>'Rate Schedule (Part 1)'!$E$22</f>
        <v>1.1000000000000001E-3</v>
      </c>
      <c r="L217" s="197">
        <f>+J217*K217</f>
        <v>5.5</v>
      </c>
      <c r="M217" s="207">
        <f t="shared" si="16"/>
        <v>-1.5</v>
      </c>
      <c r="N217" s="201">
        <f t="shared" si="17"/>
        <v>-0.21428571428571427</v>
      </c>
      <c r="O217" s="208">
        <f ca="1">L217/L232</f>
        <v>8.1665561359981487E-3</v>
      </c>
      <c r="P217" s="147"/>
    </row>
    <row r="218" spans="1:16" ht="18" customHeight="1">
      <c r="B218" s="154"/>
      <c r="C218" s="63"/>
      <c r="D218" s="64"/>
      <c r="E218" s="31"/>
      <c r="F218" s="181" t="s">
        <v>271</v>
      </c>
      <c r="G218" s="203"/>
      <c r="H218" s="202"/>
      <c r="I218" s="193">
        <f>'2011 Existing Rates'!$B$48</f>
        <v>1.45</v>
      </c>
      <c r="J218" s="203"/>
      <c r="K218" s="202"/>
      <c r="L218" s="197">
        <f>'Rate Schedule (Part 1)'!$E$24</f>
        <v>0.94926443265034022</v>
      </c>
      <c r="M218" s="207">
        <f t="shared" si="16"/>
        <v>-0.50073556734965974</v>
      </c>
      <c r="N218" s="201">
        <f t="shared" si="17"/>
        <v>-0.34533487403424812</v>
      </c>
      <c r="O218" s="208">
        <f ca="1">L218/L232</f>
        <v>1.4094947776628066E-3</v>
      </c>
      <c r="P218" s="147"/>
    </row>
    <row r="219" spans="1:16" ht="18" customHeight="1" thickBot="1">
      <c r="A219" s="147"/>
      <c r="B219" s="25"/>
      <c r="C219" s="31"/>
      <c r="D219" s="31"/>
      <c r="E219" s="31"/>
      <c r="F219" s="181" t="s">
        <v>160</v>
      </c>
      <c r="G219" s="184">
        <f>C216</f>
        <v>5000</v>
      </c>
      <c r="H219" s="178">
        <f>H190</f>
        <v>0</v>
      </c>
      <c r="I219" s="189">
        <f>+G219*H219</f>
        <v>0</v>
      </c>
      <c r="J219" s="184">
        <f>C216</f>
        <v>5000</v>
      </c>
      <c r="K219" s="177">
        <f>'Rate Schedule (Part 1)'!$E$23</f>
        <v>2.0000000000000001E-4</v>
      </c>
      <c r="L219" s="197">
        <f>J219*K219</f>
        <v>1</v>
      </c>
      <c r="M219" s="207">
        <f t="shared" si="16"/>
        <v>1</v>
      </c>
      <c r="N219" s="201" t="e">
        <f t="shared" si="17"/>
        <v>#DIV/0!</v>
      </c>
      <c r="O219" s="208">
        <f ca="1">L219/$L$232</f>
        <v>1.4848283883632997E-3</v>
      </c>
      <c r="P219" s="147"/>
    </row>
    <row r="220" spans="1:16" ht="18" customHeight="1">
      <c r="A220" s="147"/>
      <c r="B220" s="25"/>
      <c r="C220" s="31"/>
      <c r="D220" s="31"/>
      <c r="E220" s="31"/>
      <c r="F220" s="419" t="s">
        <v>270</v>
      </c>
      <c r="G220" s="203"/>
      <c r="H220" s="202"/>
      <c r="I220" s="192">
        <f>$I$63</f>
        <v>0</v>
      </c>
      <c r="J220" s="203"/>
      <c r="K220" s="202"/>
      <c r="L220" s="211">
        <f>'2012 Rate Rider'!$E$8</f>
        <v>5.9887322983164735</v>
      </c>
      <c r="M220" s="207">
        <f t="shared" si="16"/>
        <v>5.9887322983164735</v>
      </c>
      <c r="N220" s="201" t="e">
        <f t="shared" si="17"/>
        <v>#DIV/0!</v>
      </c>
      <c r="O220" s="208">
        <f ca="1">L220/$L$232</f>
        <v>8.8922397268484891E-3</v>
      </c>
      <c r="P220" s="147"/>
    </row>
    <row r="221" spans="1:16" ht="18" customHeight="1">
      <c r="A221" s="147"/>
      <c r="B221" s="25"/>
      <c r="C221" s="31"/>
      <c r="D221" s="31"/>
      <c r="E221" s="31"/>
      <c r="F221" s="419" t="s">
        <v>272</v>
      </c>
      <c r="G221" s="203"/>
      <c r="H221" s="202"/>
      <c r="I221" s="193">
        <f>I192</f>
        <v>0.12</v>
      </c>
      <c r="J221" s="194">
        <f>G221</f>
        <v>0</v>
      </c>
      <c r="K221" s="420">
        <f>'2012 Rate Rider'!$F$8</f>
        <v>0</v>
      </c>
      <c r="L221" s="193">
        <f>+J221*K221</f>
        <v>0</v>
      </c>
      <c r="M221" s="207">
        <f t="shared" si="16"/>
        <v>-0.12</v>
      </c>
      <c r="N221" s="201">
        <f t="shared" si="17"/>
        <v>-1</v>
      </c>
      <c r="O221" s="208">
        <f ca="1">L221/$L$232</f>
        <v>0</v>
      </c>
      <c r="P221" s="147"/>
    </row>
    <row r="222" spans="1:16" ht="18" customHeight="1" thickBot="1">
      <c r="A222" s="147"/>
      <c r="B222" s="25"/>
      <c r="C222" s="31"/>
      <c r="D222" s="31"/>
      <c r="E222" s="31"/>
      <c r="F222" s="182" t="s">
        <v>221</v>
      </c>
      <c r="G222" s="209">
        <f>+C216</f>
        <v>5000</v>
      </c>
      <c r="H222" s="210">
        <f>'2011 Existing Rates'!$B$22</f>
        <v>6.7000000000000002E-3</v>
      </c>
      <c r="I222" s="211">
        <f>+G222*H222</f>
        <v>33.5</v>
      </c>
      <c r="J222" s="209">
        <f>+C216</f>
        <v>5000</v>
      </c>
      <c r="K222" s="210">
        <f>K193</f>
        <v>-8.5775741718724392E-3</v>
      </c>
      <c r="L222" s="211">
        <f>+J222*K222</f>
        <v>-42.887870859362195</v>
      </c>
      <c r="M222" s="207">
        <f t="shared" si="16"/>
        <v>-76.387870859362195</v>
      </c>
      <c r="N222" s="201">
        <f t="shared" si="17"/>
        <v>-2.2802349510257374</v>
      </c>
      <c r="O222" s="208">
        <f ca="1">L222/$L$232</f>
        <v>-6.3681128168440085E-2</v>
      </c>
      <c r="P222" s="361"/>
    </row>
    <row r="223" spans="1:16" ht="18" customHeight="1" thickBot="1">
      <c r="A223" s="147"/>
      <c r="F223" s="218" t="s">
        <v>223</v>
      </c>
      <c r="G223" s="530"/>
      <c r="H223" s="531"/>
      <c r="I223" s="220">
        <f>SUM(I215:I222)</f>
        <v>61.63</v>
      </c>
      <c r="J223" s="530"/>
      <c r="K223" s="531"/>
      <c r="L223" s="220">
        <f>SUM(L215:L222)</f>
        <v>9.0101258716046146</v>
      </c>
      <c r="M223" s="222">
        <f>SUM(M215:M222)</f>
        <v>-52.619874128395381</v>
      </c>
      <c r="N223" s="223">
        <f t="shared" si="17"/>
        <v>-0.85380292273885083</v>
      </c>
      <c r="O223" s="225">
        <f ca="1">L223/L232</f>
        <v>1.337849067688515E-2</v>
      </c>
      <c r="P223" s="361"/>
    </row>
    <row r="224" spans="1:16" ht="18" customHeight="1" thickBot="1">
      <c r="A224" s="147"/>
      <c r="F224" s="181" t="s">
        <v>224</v>
      </c>
      <c r="G224" s="348">
        <f>C216*'Other Electriciy Rates'!$L$11</f>
        <v>5395.5</v>
      </c>
      <c r="H224" s="349">
        <f>'Other Electriciy Rates'!$B$11</f>
        <v>9.1999999999999998E-3</v>
      </c>
      <c r="I224" s="193">
        <f>+G224*H224</f>
        <v>49.638599999999997</v>
      </c>
      <c r="J224" s="348">
        <f>'BILL IMPACTS '!C216*'Other Electriciy Rates'!$L$26</f>
        <v>5400</v>
      </c>
      <c r="K224" s="349">
        <f>'Other Electriciy Rates'!$B$26</f>
        <v>9.3645461530317241E-3</v>
      </c>
      <c r="L224" s="193">
        <f>+J224*K224</f>
        <v>50.56854922637131</v>
      </c>
      <c r="M224" s="350">
        <f>+L224-I224</f>
        <v>0.92994922637131339</v>
      </c>
      <c r="N224" s="205">
        <f t="shared" si="17"/>
        <v>1.8734396747114412E-2</v>
      </c>
      <c r="O224" s="206">
        <f ca="1">L224/L232</f>
        <v>7.5085617449663092E-2</v>
      </c>
      <c r="P224" s="361"/>
    </row>
    <row r="225" spans="1:16" ht="18" customHeight="1" thickBot="1">
      <c r="A225" s="147"/>
      <c r="F225" s="218" t="s">
        <v>225</v>
      </c>
      <c r="G225" s="530"/>
      <c r="H225" s="531"/>
      <c r="I225" s="220">
        <f>I223+I224</f>
        <v>111.26859999999999</v>
      </c>
      <c r="J225" s="530"/>
      <c r="K225" s="531"/>
      <c r="L225" s="220">
        <f>L223+L224</f>
        <v>59.578675097975925</v>
      </c>
      <c r="M225" s="220">
        <f>M223+M224</f>
        <v>-51.689924902024067</v>
      </c>
      <c r="N225" s="223">
        <f t="shared" si="17"/>
        <v>-0.46455086971548193</v>
      </c>
      <c r="O225" s="351">
        <f ca="1">L225/L232</f>
        <v>8.8464108126548244E-2</v>
      </c>
      <c r="P225" s="361"/>
    </row>
    <row r="226" spans="1:16" ht="18" customHeight="1">
      <c r="A226" s="147"/>
      <c r="F226" s="183" t="s">
        <v>77</v>
      </c>
      <c r="G226" s="185">
        <f>+'Other Electriciy Rates'!$L$10*C216</f>
        <v>5395.5</v>
      </c>
      <c r="H226" s="186">
        <f>'Other Electriciy Rates'!$C$11+'Other Electriciy Rates'!$D$11</f>
        <v>1.2986887220832175E-2</v>
      </c>
      <c r="I226" s="187">
        <f>+G226*H226</f>
        <v>70.070750000000004</v>
      </c>
      <c r="J226" s="185">
        <f>J224</f>
        <v>5400</v>
      </c>
      <c r="K226" s="186">
        <f>'Other Electriciy Rates'!$C$26+'Other Electriciy Rates'!$D$26</f>
        <v>1.278148148148148E-2</v>
      </c>
      <c r="L226" s="214">
        <f>+J226*K226</f>
        <v>69.02</v>
      </c>
      <c r="M226" s="215">
        <f>+L226-I226</f>
        <v>-1.0507500000000078</v>
      </c>
      <c r="N226" s="216">
        <f t="shared" si="17"/>
        <v>-1.4995558060959927E-2</v>
      </c>
      <c r="O226" s="282">
        <f ca="1">L226/L232</f>
        <v>0.10248285536483494</v>
      </c>
      <c r="P226" s="361"/>
    </row>
    <row r="227" spans="1:16" ht="18" customHeight="1">
      <c r="A227" s="147"/>
      <c r="B227" s="25"/>
      <c r="C227" s="31"/>
      <c r="D227" s="31"/>
      <c r="E227" s="31"/>
      <c r="F227" s="179" t="s">
        <v>78</v>
      </c>
      <c r="G227" s="185">
        <v>600</v>
      </c>
      <c r="H227" s="186">
        <f>'Other Electriciy Rates'!$J$11</f>
        <v>7.4999999999999997E-2</v>
      </c>
      <c r="I227" s="187">
        <f>+G227*H227</f>
        <v>45</v>
      </c>
      <c r="J227" s="185">
        <v>600</v>
      </c>
      <c r="K227" s="186">
        <f>'Other Electriciy Rates'!$J$26</f>
        <v>7.4999999999999997E-2</v>
      </c>
      <c r="L227" s="214">
        <f>+J227*K227</f>
        <v>45</v>
      </c>
      <c r="M227" s="215">
        <f>+L227-I227</f>
        <v>0</v>
      </c>
      <c r="N227" s="216">
        <f t="shared" si="17"/>
        <v>0</v>
      </c>
      <c r="O227" s="217">
        <f ca="1">L227/L232</f>
        <v>6.6817277476348483E-2</v>
      </c>
      <c r="P227" s="361"/>
    </row>
    <row r="228" spans="1:16" ht="18" customHeight="1">
      <c r="B228" s="154"/>
      <c r="C228" s="31"/>
      <c r="D228" s="31"/>
      <c r="E228" s="31"/>
      <c r="F228" s="179" t="s">
        <v>78</v>
      </c>
      <c r="G228" s="185">
        <f>G226-G227</f>
        <v>4795.5</v>
      </c>
      <c r="H228" s="186">
        <f>'Other Electriciy Rates'!$K$11</f>
        <v>8.7999999999999995E-2</v>
      </c>
      <c r="I228" s="187">
        <f>+G228*H228</f>
        <v>422.00399999999996</v>
      </c>
      <c r="J228" s="185">
        <f>J226-J227</f>
        <v>4800</v>
      </c>
      <c r="K228" s="186">
        <f>'Other Electriciy Rates'!$K$26</f>
        <v>8.7999999999999995E-2</v>
      </c>
      <c r="L228" s="214">
        <f>+J228*K228</f>
        <v>422.4</v>
      </c>
      <c r="M228" s="215">
        <f>+L228-I228</f>
        <v>0.39600000000001501</v>
      </c>
      <c r="N228" s="216">
        <f t="shared" si="17"/>
        <v>9.3837973099784606E-4</v>
      </c>
      <c r="O228" s="217">
        <f ca="1">L228/L232</f>
        <v>0.62719151124465777</v>
      </c>
      <c r="P228" s="147"/>
    </row>
    <row r="229" spans="1:16" ht="18" customHeight="1" thickBot="1">
      <c r="B229" s="154"/>
      <c r="C229" s="31"/>
      <c r="D229" s="31"/>
      <c r="E229" s="31"/>
      <c r="F229" s="181" t="s">
        <v>235</v>
      </c>
      <c r="G229" s="279">
        <f>G226</f>
        <v>5395.5</v>
      </c>
      <c r="H229" s="186">
        <f>'2012 Rate Rider'!$G$8</f>
        <v>0</v>
      </c>
      <c r="I229" s="189">
        <f>+G229*H229</f>
        <v>0</v>
      </c>
      <c r="J229" s="279">
        <f>G229</f>
        <v>5395.5</v>
      </c>
      <c r="K229" s="186">
        <f>'2012 Rate Rider'!$G$8</f>
        <v>0</v>
      </c>
      <c r="L229" s="211">
        <f>+J229*K229</f>
        <v>0</v>
      </c>
      <c r="M229" s="212">
        <f>+L229-I229</f>
        <v>0</v>
      </c>
      <c r="N229" s="213" t="e">
        <f t="shared" si="17"/>
        <v>#DIV/0!</v>
      </c>
      <c r="O229" s="226">
        <f ca="1">L229/L232</f>
        <v>0</v>
      </c>
      <c r="P229" s="147"/>
    </row>
    <row r="230" spans="1:16" ht="18" customHeight="1" thickBot="1">
      <c r="B230" s="154"/>
      <c r="C230" s="31"/>
      <c r="D230" s="31"/>
      <c r="E230" s="31"/>
      <c r="F230" s="218" t="s">
        <v>192</v>
      </c>
      <c r="G230" s="530"/>
      <c r="H230" s="531"/>
      <c r="I230" s="220">
        <f>SUM(I225:I229)</f>
        <v>648.34334999999999</v>
      </c>
      <c r="J230" s="530"/>
      <c r="K230" s="531"/>
      <c r="L230" s="220">
        <f>SUM(L225:L229)</f>
        <v>595.99867509797593</v>
      </c>
      <c r="M230" s="362">
        <f>SUM(M225:M228)</f>
        <v>-52.34467490202406</v>
      </c>
      <c r="N230" s="223">
        <f t="shared" si="17"/>
        <v>-8.0736040405171211E-2</v>
      </c>
      <c r="O230" s="351">
        <f ca="1">L230/L232</f>
        <v>0.88495575221238942</v>
      </c>
      <c r="P230" s="147"/>
    </row>
    <row r="231" spans="1:16" ht="18" customHeight="1" thickBot="1">
      <c r="B231" s="154"/>
      <c r="C231" s="31"/>
      <c r="D231" s="31"/>
      <c r="E231" s="31"/>
      <c r="F231" s="278" t="s">
        <v>193</v>
      </c>
      <c r="G231" s="279"/>
      <c r="H231" s="283">
        <f ca="1">$H$177</f>
        <v>0.13</v>
      </c>
      <c r="I231" s="280">
        <f ca="1">I230*H231</f>
        <v>84.284635500000007</v>
      </c>
      <c r="J231" s="279"/>
      <c r="K231" s="283">
        <f ca="1">$K$177</f>
        <v>0.13</v>
      </c>
      <c r="L231" s="281">
        <f ca="1">L230*K231</f>
        <v>77.479827762736875</v>
      </c>
      <c r="M231" s="212">
        <f ca="1">+L231-I231</f>
        <v>-6.8048077372631326</v>
      </c>
      <c r="N231" s="213">
        <f t="shared" ca="1" si="17"/>
        <v>-8.0736040405171267E-2</v>
      </c>
      <c r="O231" s="226">
        <f ca="1">L231/L232</f>
        <v>0.11504424778761063</v>
      </c>
      <c r="P231" s="147"/>
    </row>
    <row r="232" spans="1:16" ht="18" customHeight="1" thickBot="1">
      <c r="B232" s="154"/>
      <c r="C232" s="31"/>
      <c r="D232" s="31"/>
      <c r="E232" s="35"/>
      <c r="F232" s="219" t="s">
        <v>79</v>
      </c>
      <c r="G232" s="542"/>
      <c r="H232" s="543"/>
      <c r="I232" s="221">
        <f ca="1">I230+I231</f>
        <v>732.62798550000002</v>
      </c>
      <c r="J232" s="542"/>
      <c r="K232" s="543"/>
      <c r="L232" s="221">
        <f ca="1">L230+L231</f>
        <v>673.47850286071275</v>
      </c>
      <c r="M232" s="363">
        <f ca="1">M230+M231</f>
        <v>-59.149482639287193</v>
      </c>
      <c r="N232" s="223">
        <f t="shared" ca="1" si="17"/>
        <v>-8.0736040405171211E-2</v>
      </c>
      <c r="O232" s="225">
        <f ca="1">SUM(O230:O231)</f>
        <v>1</v>
      </c>
      <c r="P232" s="147"/>
    </row>
    <row r="233" spans="1:16" ht="18" customHeight="1" thickBot="1">
      <c r="B233" s="148"/>
      <c r="C233" s="160"/>
      <c r="D233" s="160"/>
      <c r="E233" s="160"/>
      <c r="F233" s="161"/>
      <c r="G233" s="162"/>
      <c r="H233" s="163"/>
      <c r="I233" s="164"/>
      <c r="J233" s="162"/>
      <c r="K233" s="165"/>
      <c r="L233" s="164"/>
      <c r="M233" s="169"/>
      <c r="N233" s="167"/>
      <c r="O233" s="168"/>
      <c r="P233" s="149"/>
    </row>
    <row r="234" spans="1:16" ht="18" customHeight="1" thickBot="1">
      <c r="B234" s="25"/>
      <c r="C234" s="31"/>
      <c r="D234" s="31"/>
      <c r="E234" s="31"/>
      <c r="F234" s="49"/>
      <c r="G234" s="50"/>
      <c r="H234" s="51"/>
      <c r="I234" s="52"/>
      <c r="J234" s="50"/>
      <c r="K234" s="53"/>
      <c r="L234" s="52"/>
      <c r="M234" s="159"/>
      <c r="N234" s="157"/>
      <c r="O234" s="158"/>
      <c r="P234" s="25"/>
    </row>
    <row r="235" spans="1:16" ht="18" customHeight="1">
      <c r="B235" s="156"/>
      <c r="C235" s="539"/>
      <c r="D235" s="539"/>
      <c r="E235" s="539"/>
      <c r="F235" s="539"/>
      <c r="G235" s="539"/>
      <c r="H235" s="539"/>
      <c r="I235" s="539"/>
      <c r="J235" s="539"/>
      <c r="K235" s="539"/>
      <c r="L235" s="539"/>
      <c r="M235" s="539"/>
      <c r="N235" s="539"/>
      <c r="O235" s="539"/>
      <c r="P235" s="146"/>
    </row>
    <row r="236" spans="1:16" ht="23.25">
      <c r="B236" s="154"/>
      <c r="C236" s="540" t="s">
        <v>135</v>
      </c>
      <c r="D236" s="540"/>
      <c r="E236" s="540"/>
      <c r="F236" s="540"/>
      <c r="G236" s="540"/>
      <c r="H236" s="540"/>
      <c r="I236" s="540"/>
      <c r="J236" s="540"/>
      <c r="K236" s="540"/>
      <c r="L236" s="540"/>
      <c r="M236" s="540"/>
      <c r="N236" s="540"/>
      <c r="O236" s="540"/>
      <c r="P236" s="147"/>
    </row>
    <row r="237" spans="1:16" ht="18" customHeight="1" thickBot="1">
      <c r="B237" s="154"/>
      <c r="C237" s="541"/>
      <c r="D237" s="541"/>
      <c r="E237" s="541"/>
      <c r="F237" s="541"/>
      <c r="G237" s="541"/>
      <c r="H237" s="541"/>
      <c r="I237" s="541"/>
      <c r="J237" s="541"/>
      <c r="K237" s="541"/>
      <c r="L237" s="541"/>
      <c r="M237" s="541"/>
      <c r="N237" s="541"/>
      <c r="O237" s="541"/>
      <c r="P237" s="147"/>
    </row>
    <row r="238" spans="1:16" ht="18" customHeight="1" thickBot="1">
      <c r="B238" s="154"/>
      <c r="C238" s="155"/>
      <c r="D238" s="155"/>
      <c r="E238" s="31"/>
      <c r="F238" s="37"/>
      <c r="G238" s="534" t="str">
        <f>$G$10</f>
        <v>2011 BILL</v>
      </c>
      <c r="H238" s="535"/>
      <c r="I238" s="536"/>
      <c r="J238" s="534" t="str">
        <f>$J$10</f>
        <v>2012 BILL</v>
      </c>
      <c r="K238" s="535"/>
      <c r="L238" s="536"/>
      <c r="M238" s="534" t="s">
        <v>73</v>
      </c>
      <c r="N238" s="535"/>
      <c r="O238" s="536"/>
      <c r="P238" s="147"/>
    </row>
    <row r="239" spans="1:16" ht="26.25" thickBot="1">
      <c r="B239" s="154"/>
      <c r="C239" s="31"/>
      <c r="D239" s="31"/>
      <c r="E239" s="33"/>
      <c r="F239" s="38"/>
      <c r="G239" s="170" t="s">
        <v>67</v>
      </c>
      <c r="H239" s="171" t="s">
        <v>68</v>
      </c>
      <c r="I239" s="172" t="s">
        <v>69</v>
      </c>
      <c r="J239" s="173" t="s">
        <v>67</v>
      </c>
      <c r="K239" s="171" t="s">
        <v>68</v>
      </c>
      <c r="L239" s="172" t="s">
        <v>69</v>
      </c>
      <c r="M239" s="174" t="s">
        <v>80</v>
      </c>
      <c r="N239" s="175" t="s">
        <v>81</v>
      </c>
      <c r="O239" s="176" t="s">
        <v>76</v>
      </c>
      <c r="P239" s="147"/>
    </row>
    <row r="240" spans="1:16" ht="18" customHeight="1" thickBot="1">
      <c r="B240" s="154"/>
      <c r="C240" s="528" t="s">
        <v>70</v>
      </c>
      <c r="D240" s="529"/>
      <c r="E240" s="31"/>
      <c r="F240" s="180" t="s">
        <v>71</v>
      </c>
      <c r="G240" s="190"/>
      <c r="H240" s="191"/>
      <c r="I240" s="192">
        <f>'2011 Existing Rates'!$C$9</f>
        <v>11.06</v>
      </c>
      <c r="J240" s="190"/>
      <c r="K240" s="191"/>
      <c r="L240" s="195">
        <f>'Rate Schedule (Part 1)'!$E$20</f>
        <v>14.96</v>
      </c>
      <c r="M240" s="204">
        <f t="shared" ref="M240:M247" si="18">+L240-I240</f>
        <v>3.9000000000000004</v>
      </c>
      <c r="N240" s="205">
        <f t="shared" ref="N240:N257" si="19">+M240/I240</f>
        <v>0.35262206148282099</v>
      </c>
      <c r="O240" s="206">
        <f ca="1">L240/L257</f>
        <v>1.1239447592999205E-2</v>
      </c>
      <c r="P240" s="147"/>
    </row>
    <row r="241" spans="1:16" ht="18" customHeight="1" thickBot="1">
      <c r="B241" s="154"/>
      <c r="C241" s="152">
        <v>10000</v>
      </c>
      <c r="D241" s="153" t="s">
        <v>16</v>
      </c>
      <c r="E241" s="31"/>
      <c r="F241" s="181" t="s">
        <v>72</v>
      </c>
      <c r="G241" s="184">
        <f>+C241</f>
        <v>10000</v>
      </c>
      <c r="H241" s="178">
        <f>'2011 Existing Rates'!$E$9</f>
        <v>1.6999999999999999E-3</v>
      </c>
      <c r="I241" s="193">
        <f>+G241*H241</f>
        <v>17</v>
      </c>
      <c r="J241" s="184">
        <f>+C241</f>
        <v>10000</v>
      </c>
      <c r="K241" s="177">
        <f>'Rate Schedule (Part 1)'!$E$21</f>
        <v>4.7000000000000002E-3</v>
      </c>
      <c r="L241" s="197">
        <f>+J241*K241</f>
        <v>47</v>
      </c>
      <c r="M241" s="207">
        <f t="shared" si="18"/>
        <v>30</v>
      </c>
      <c r="N241" s="201">
        <f t="shared" si="19"/>
        <v>1.7647058823529411</v>
      </c>
      <c r="O241" s="208">
        <f ca="1">L241/L257</f>
        <v>3.531109872132103E-2</v>
      </c>
      <c r="P241" s="147"/>
    </row>
    <row r="242" spans="1:16" ht="18" customHeight="1">
      <c r="B242" s="154"/>
      <c r="C242" s="63"/>
      <c r="D242" s="64"/>
      <c r="E242" s="31"/>
      <c r="F242" s="181" t="s">
        <v>222</v>
      </c>
      <c r="G242" s="184">
        <f>G241</f>
        <v>10000</v>
      </c>
      <c r="H242" s="178">
        <f>'2011 Existing Rates'!$B$35</f>
        <v>1.4E-3</v>
      </c>
      <c r="I242" s="193">
        <f>+G242*H242</f>
        <v>14</v>
      </c>
      <c r="J242" s="184">
        <f>J241</f>
        <v>10000</v>
      </c>
      <c r="K242" s="177">
        <f>'Rate Schedule (Part 1)'!$E$22</f>
        <v>1.1000000000000001E-3</v>
      </c>
      <c r="L242" s="197">
        <f>+J242*K242</f>
        <v>11</v>
      </c>
      <c r="M242" s="207">
        <f t="shared" si="18"/>
        <v>-3</v>
      </c>
      <c r="N242" s="201">
        <f t="shared" si="19"/>
        <v>-0.21428571428571427</v>
      </c>
      <c r="O242" s="208">
        <f ca="1">L242/L257</f>
        <v>8.2642997007347091E-3</v>
      </c>
      <c r="P242" s="147"/>
    </row>
    <row r="243" spans="1:16" ht="18" customHeight="1">
      <c r="B243" s="154"/>
      <c r="C243" s="63"/>
      <c r="D243" s="64"/>
      <c r="E243" s="31"/>
      <c r="F243" s="181" t="s">
        <v>271</v>
      </c>
      <c r="G243" s="203"/>
      <c r="H243" s="202"/>
      <c r="I243" s="193">
        <f>'2011 Existing Rates'!$B$48</f>
        <v>1.45</v>
      </c>
      <c r="J243" s="203"/>
      <c r="K243" s="202"/>
      <c r="L243" s="197">
        <f>'Rate Schedule (Part 1)'!$E$24</f>
        <v>0.94926443265034022</v>
      </c>
      <c r="M243" s="207">
        <f t="shared" si="18"/>
        <v>-0.50073556734965974</v>
      </c>
      <c r="N243" s="201">
        <f t="shared" si="19"/>
        <v>-0.34533487403424812</v>
      </c>
      <c r="O243" s="208">
        <f ca="1">L243/L257</f>
        <v>7.1318234242457364E-4</v>
      </c>
      <c r="P243" s="147"/>
    </row>
    <row r="244" spans="1:16" ht="18" customHeight="1" thickBot="1">
      <c r="A244" s="147"/>
      <c r="B244" s="25"/>
      <c r="C244" s="31"/>
      <c r="D244" s="31"/>
      <c r="E244" s="31"/>
      <c r="F244" s="181" t="s">
        <v>160</v>
      </c>
      <c r="G244" s="184">
        <f>C241</f>
        <v>10000</v>
      </c>
      <c r="H244" s="178">
        <f>H190</f>
        <v>0</v>
      </c>
      <c r="I244" s="189">
        <f>+G244*H244</f>
        <v>0</v>
      </c>
      <c r="J244" s="184">
        <f>C241</f>
        <v>10000</v>
      </c>
      <c r="K244" s="177">
        <f>'Rate Schedule (Part 1)'!$E$23</f>
        <v>2.0000000000000001E-4</v>
      </c>
      <c r="L244" s="197">
        <f>J244*K244</f>
        <v>2</v>
      </c>
      <c r="M244" s="207">
        <f t="shared" si="18"/>
        <v>2</v>
      </c>
      <c r="N244" s="201" t="e">
        <f t="shared" si="19"/>
        <v>#DIV/0!</v>
      </c>
      <c r="O244" s="208">
        <f ca="1">L244/$L$257</f>
        <v>1.5025999455881289E-3</v>
      </c>
      <c r="P244" s="147"/>
    </row>
    <row r="245" spans="1:16" ht="18" customHeight="1">
      <c r="A245" s="147"/>
      <c r="B245" s="25"/>
      <c r="C245" s="31"/>
      <c r="D245" s="31"/>
      <c r="E245" s="31"/>
      <c r="F245" s="419" t="s">
        <v>270</v>
      </c>
      <c r="G245" s="203"/>
      <c r="H245" s="202"/>
      <c r="I245" s="192">
        <f>$I$63</f>
        <v>0</v>
      </c>
      <c r="J245" s="203"/>
      <c r="K245" s="202"/>
      <c r="L245" s="211">
        <f>'2012 Rate Rider'!$E$8</f>
        <v>5.9887322983164735</v>
      </c>
      <c r="M245" s="207">
        <f t="shared" si="18"/>
        <v>5.9887322983164735</v>
      </c>
      <c r="N245" s="201" t="e">
        <f t="shared" si="19"/>
        <v>#DIV/0!</v>
      </c>
      <c r="O245" s="208">
        <f ca="1">L245/$L$257</f>
        <v>4.4993344127961018E-3</v>
      </c>
      <c r="P245" s="147"/>
    </row>
    <row r="246" spans="1:16" ht="18" customHeight="1">
      <c r="A246" s="147"/>
      <c r="B246" s="25"/>
      <c r="C246" s="31"/>
      <c r="D246" s="31"/>
      <c r="E246" s="31"/>
      <c r="F246" s="419" t="s">
        <v>272</v>
      </c>
      <c r="G246" s="203"/>
      <c r="H246" s="202"/>
      <c r="I246" s="193">
        <f>I192</f>
        <v>0.12</v>
      </c>
      <c r="J246" s="194">
        <f>G246</f>
        <v>0</v>
      </c>
      <c r="K246" s="420">
        <f>'2012 Rate Rider'!$F$8</f>
        <v>0</v>
      </c>
      <c r="L246" s="193">
        <f>+J246*K246</f>
        <v>0</v>
      </c>
      <c r="M246" s="207">
        <f t="shared" si="18"/>
        <v>-0.12</v>
      </c>
      <c r="N246" s="201">
        <f t="shared" si="19"/>
        <v>-1</v>
      </c>
      <c r="O246" s="208">
        <f ca="1">L246/$L$257</f>
        <v>0</v>
      </c>
      <c r="P246" s="147"/>
    </row>
    <row r="247" spans="1:16" ht="18" customHeight="1" thickBot="1">
      <c r="A247" s="147"/>
      <c r="B247" s="25"/>
      <c r="C247" s="31"/>
      <c r="D247" s="31"/>
      <c r="E247" s="31"/>
      <c r="F247" s="182" t="s">
        <v>221</v>
      </c>
      <c r="G247" s="209">
        <f>+C241</f>
        <v>10000</v>
      </c>
      <c r="H247" s="210">
        <f>'2011 Existing Rates'!$B$22</f>
        <v>6.7000000000000002E-3</v>
      </c>
      <c r="I247" s="211">
        <f>+G247*H247</f>
        <v>67</v>
      </c>
      <c r="J247" s="209">
        <f>+C241</f>
        <v>10000</v>
      </c>
      <c r="K247" s="210">
        <f>K193</f>
        <v>-8.5775741718724392E-3</v>
      </c>
      <c r="L247" s="211">
        <f>+J247*K247</f>
        <v>-85.77574171872439</v>
      </c>
      <c r="M247" s="207">
        <f t="shared" si="18"/>
        <v>-152.77574171872439</v>
      </c>
      <c r="N247" s="201">
        <f t="shared" si="19"/>
        <v>-2.2802349510257374</v>
      </c>
      <c r="O247" s="208">
        <f ca="1">L247/$L$257</f>
        <v>-6.4443312419668344E-2</v>
      </c>
      <c r="P247" s="361"/>
    </row>
    <row r="248" spans="1:16" ht="18" customHeight="1" thickBot="1">
      <c r="A248" s="147"/>
      <c r="F248" s="218" t="s">
        <v>223</v>
      </c>
      <c r="G248" s="530"/>
      <c r="H248" s="531"/>
      <c r="I248" s="220">
        <f>SUM(I240:I247)</f>
        <v>110.63</v>
      </c>
      <c r="J248" s="530"/>
      <c r="K248" s="531"/>
      <c r="L248" s="220">
        <f>SUM(L240:L247)</f>
        <v>-3.8777449877575663</v>
      </c>
      <c r="M248" s="222">
        <f>SUM(M240:M247)</f>
        <v>-114.50774498775758</v>
      </c>
      <c r="N248" s="223">
        <f t="shared" si="19"/>
        <v>-1.035051477788643</v>
      </c>
      <c r="O248" s="225">
        <f ca="1">L248/L257</f>
        <v>-2.9133497038045797E-3</v>
      </c>
      <c r="P248" s="361"/>
    </row>
    <row r="249" spans="1:16" ht="18" customHeight="1" thickBot="1">
      <c r="A249" s="147"/>
      <c r="F249" s="181" t="s">
        <v>224</v>
      </c>
      <c r="G249" s="348">
        <f>C241*'Other Electriciy Rates'!$L$11</f>
        <v>10791</v>
      </c>
      <c r="H249" s="349">
        <f>'Other Electriciy Rates'!$B$11</f>
        <v>9.1999999999999998E-3</v>
      </c>
      <c r="I249" s="193">
        <f>+G249*H249</f>
        <v>99.277199999999993</v>
      </c>
      <c r="J249" s="348">
        <f>'BILL IMPACTS '!C241*'Other Electriciy Rates'!$L$26</f>
        <v>10800</v>
      </c>
      <c r="K249" s="349">
        <f>'Other Electriciy Rates'!$B$26</f>
        <v>9.3645461530317241E-3</v>
      </c>
      <c r="L249" s="193">
        <f>+J249*K249</f>
        <v>101.13709845274262</v>
      </c>
      <c r="M249" s="350">
        <f>+L249-I249</f>
        <v>1.8598984527426268</v>
      </c>
      <c r="N249" s="205">
        <f t="shared" si="19"/>
        <v>1.8734396747114412E-2</v>
      </c>
      <c r="O249" s="206">
        <f ca="1">L249/L257</f>
        <v>7.5984299316016149E-2</v>
      </c>
      <c r="P249" s="361"/>
    </row>
    <row r="250" spans="1:16" ht="18" customHeight="1" thickBot="1">
      <c r="A250" s="147"/>
      <c r="F250" s="218" t="s">
        <v>225</v>
      </c>
      <c r="G250" s="530"/>
      <c r="H250" s="531"/>
      <c r="I250" s="220">
        <f>I248+I249</f>
        <v>209.90719999999999</v>
      </c>
      <c r="J250" s="530"/>
      <c r="K250" s="531"/>
      <c r="L250" s="220">
        <f>L248+L249</f>
        <v>97.259353464985054</v>
      </c>
      <c r="M250" s="220">
        <f>M248+M249</f>
        <v>-112.64784653501495</v>
      </c>
      <c r="N250" s="223">
        <f t="shared" si="19"/>
        <v>-0.5366554674399685</v>
      </c>
      <c r="O250" s="351">
        <f ca="1">L250/L257</f>
        <v>7.3070949612211569E-2</v>
      </c>
      <c r="P250" s="361"/>
    </row>
    <row r="251" spans="1:16" ht="18" customHeight="1">
      <c r="A251" s="147"/>
      <c r="F251" s="183" t="s">
        <v>77</v>
      </c>
      <c r="G251" s="185">
        <f>+'Other Electriciy Rates'!$L$10*C241</f>
        <v>10791</v>
      </c>
      <c r="H251" s="186">
        <f>'Other Electriciy Rates'!$C$11+'Other Electriciy Rates'!$D$11</f>
        <v>1.2986887220832175E-2</v>
      </c>
      <c r="I251" s="187">
        <f>+G251*H251</f>
        <v>140.14150000000001</v>
      </c>
      <c r="J251" s="185">
        <f>J249</f>
        <v>10800</v>
      </c>
      <c r="K251" s="186">
        <f>'Other Electriciy Rates'!$C$26+'Other Electriciy Rates'!$D$26</f>
        <v>1.278148148148148E-2</v>
      </c>
      <c r="L251" s="214">
        <f>+J251*K251</f>
        <v>138.04</v>
      </c>
      <c r="M251" s="215">
        <f>+L251-I251</f>
        <v>-2.1015000000000157</v>
      </c>
      <c r="N251" s="216">
        <f t="shared" si="19"/>
        <v>-1.4995558060959927E-2</v>
      </c>
      <c r="O251" s="282">
        <f ca="1">L251/L257</f>
        <v>0.10370944824449266</v>
      </c>
      <c r="P251" s="361"/>
    </row>
    <row r="252" spans="1:16" ht="18" customHeight="1">
      <c r="A252" s="147"/>
      <c r="B252" s="25"/>
      <c r="C252" s="31"/>
      <c r="D252" s="31"/>
      <c r="E252" s="31"/>
      <c r="F252" s="179" t="s">
        <v>78</v>
      </c>
      <c r="G252" s="185">
        <v>600</v>
      </c>
      <c r="H252" s="186">
        <f>'Other Electriciy Rates'!$J$11</f>
        <v>7.4999999999999997E-2</v>
      </c>
      <c r="I252" s="187">
        <f>+G252*H252</f>
        <v>45</v>
      </c>
      <c r="J252" s="185">
        <v>600</v>
      </c>
      <c r="K252" s="186">
        <f>'Other Electriciy Rates'!$J$26</f>
        <v>7.4999999999999997E-2</v>
      </c>
      <c r="L252" s="214">
        <f>+J252*K252</f>
        <v>45</v>
      </c>
      <c r="M252" s="215">
        <f>+L252-I252</f>
        <v>0</v>
      </c>
      <c r="N252" s="216">
        <f t="shared" si="19"/>
        <v>0</v>
      </c>
      <c r="O252" s="217">
        <f ca="1">L252/L257</f>
        <v>3.3808498775732901E-2</v>
      </c>
      <c r="P252" s="361"/>
    </row>
    <row r="253" spans="1:16" ht="18" customHeight="1">
      <c r="B253" s="154"/>
      <c r="C253" s="31"/>
      <c r="D253" s="31"/>
      <c r="E253" s="31"/>
      <c r="F253" s="179" t="s">
        <v>78</v>
      </c>
      <c r="G253" s="185">
        <f>G251-G252</f>
        <v>10191</v>
      </c>
      <c r="H253" s="186">
        <f>'Other Electriciy Rates'!$K$11</f>
        <v>8.7999999999999995E-2</v>
      </c>
      <c r="I253" s="187">
        <f>+G253*H253</f>
        <v>896.80799999999999</v>
      </c>
      <c r="J253" s="185">
        <f>J251-J252</f>
        <v>10200</v>
      </c>
      <c r="K253" s="186">
        <f>'Other Electriciy Rates'!$K$26</f>
        <v>8.7999999999999995E-2</v>
      </c>
      <c r="L253" s="214">
        <f>+J253*K253</f>
        <v>897.59999999999991</v>
      </c>
      <c r="M253" s="215">
        <f>+L253-I253</f>
        <v>0.79199999999991633</v>
      </c>
      <c r="N253" s="216">
        <f t="shared" si="19"/>
        <v>8.8313217544883223E-4</v>
      </c>
      <c r="O253" s="217">
        <f ca="1">L253/L257</f>
        <v>0.67436685557995224</v>
      </c>
      <c r="P253" s="147"/>
    </row>
    <row r="254" spans="1:16" ht="18" customHeight="1" thickBot="1">
      <c r="B254" s="154"/>
      <c r="C254" s="31"/>
      <c r="D254" s="31"/>
      <c r="E254" s="31"/>
      <c r="F254" s="181" t="s">
        <v>235</v>
      </c>
      <c r="G254" s="279">
        <f>G251</f>
        <v>10791</v>
      </c>
      <c r="H254" s="186">
        <f>'2012 Rate Rider'!$G$8</f>
        <v>0</v>
      </c>
      <c r="I254" s="189">
        <f>+G254*H254</f>
        <v>0</v>
      </c>
      <c r="J254" s="279">
        <f>G254</f>
        <v>10791</v>
      </c>
      <c r="K254" s="186">
        <f>'2012 Rate Rider'!$G$8</f>
        <v>0</v>
      </c>
      <c r="L254" s="211">
        <f>+J254*K254</f>
        <v>0</v>
      </c>
      <c r="M254" s="212">
        <f>+L254-I254</f>
        <v>0</v>
      </c>
      <c r="N254" s="213" t="e">
        <f t="shared" si="19"/>
        <v>#DIV/0!</v>
      </c>
      <c r="O254" s="226">
        <f ca="1">L254/L257</f>
        <v>0</v>
      </c>
      <c r="P254" s="147"/>
    </row>
    <row r="255" spans="1:16" ht="18" customHeight="1" thickBot="1">
      <c r="B255" s="154"/>
      <c r="C255" s="31"/>
      <c r="D255" s="31"/>
      <c r="E255" s="31"/>
      <c r="F255" s="218" t="s">
        <v>192</v>
      </c>
      <c r="G255" s="530"/>
      <c r="H255" s="531"/>
      <c r="I255" s="220">
        <f>SUM(I250:I254)</f>
        <v>1291.8567</v>
      </c>
      <c r="J255" s="530"/>
      <c r="K255" s="531"/>
      <c r="L255" s="220">
        <f>SUM(L250:L254)</f>
        <v>1177.8993534649849</v>
      </c>
      <c r="M255" s="362">
        <f>SUM(M250:M253)</f>
        <v>-113.95734653501505</v>
      </c>
      <c r="N255" s="223">
        <f t="shared" si="19"/>
        <v>-8.8212064492149203E-2</v>
      </c>
      <c r="O255" s="351">
        <f ca="1">L255/L257</f>
        <v>0.88495575221238931</v>
      </c>
      <c r="P255" s="147"/>
    </row>
    <row r="256" spans="1:16" ht="18" customHeight="1" thickBot="1">
      <c r="B256" s="154"/>
      <c r="C256" s="31"/>
      <c r="D256" s="31"/>
      <c r="E256" s="31"/>
      <c r="F256" s="278" t="s">
        <v>193</v>
      </c>
      <c r="G256" s="279"/>
      <c r="H256" s="283">
        <f ca="1">$H$177</f>
        <v>0.13</v>
      </c>
      <c r="I256" s="280">
        <f ca="1">I255*H256</f>
        <v>167.941371</v>
      </c>
      <c r="J256" s="279"/>
      <c r="K256" s="283">
        <f ca="1">$K$177</f>
        <v>0.13</v>
      </c>
      <c r="L256" s="281">
        <f ca="1">L255*K256</f>
        <v>153.12691595044805</v>
      </c>
      <c r="M256" s="212">
        <f ca="1">+L256-I256</f>
        <v>-14.814455049551952</v>
      </c>
      <c r="N256" s="213">
        <f t="shared" ca="1" si="19"/>
        <v>-8.8212064492149175E-2</v>
      </c>
      <c r="O256" s="226">
        <f ca="1">L256/L257</f>
        <v>0.11504424778761062</v>
      </c>
      <c r="P256" s="147"/>
    </row>
    <row r="257" spans="1:16" ht="18" customHeight="1" thickBot="1">
      <c r="B257" s="154"/>
      <c r="C257" s="31"/>
      <c r="D257" s="31"/>
      <c r="E257" s="35"/>
      <c r="F257" s="219" t="s">
        <v>79</v>
      </c>
      <c r="G257" s="542"/>
      <c r="H257" s="543"/>
      <c r="I257" s="221">
        <f ca="1">I255+I256</f>
        <v>1459.7980710000002</v>
      </c>
      <c r="J257" s="542"/>
      <c r="K257" s="543"/>
      <c r="L257" s="221">
        <f ca="1">L255+L256</f>
        <v>1331.026269415433</v>
      </c>
      <c r="M257" s="363">
        <f ca="1">M255+M256</f>
        <v>-128.77180158456702</v>
      </c>
      <c r="N257" s="223">
        <f t="shared" ca="1" si="19"/>
        <v>-8.8212064492149203E-2</v>
      </c>
      <c r="O257" s="225">
        <f ca="1">SUM(O255:O256)</f>
        <v>0.99999999999999989</v>
      </c>
      <c r="P257" s="147"/>
    </row>
    <row r="258" spans="1:16" ht="18" customHeight="1" thickBot="1">
      <c r="B258" s="148"/>
      <c r="C258" s="160"/>
      <c r="D258" s="160"/>
      <c r="E258" s="160"/>
      <c r="F258" s="161"/>
      <c r="G258" s="162"/>
      <c r="H258" s="163"/>
      <c r="I258" s="164"/>
      <c r="J258" s="162"/>
      <c r="K258" s="165"/>
      <c r="L258" s="164"/>
      <c r="M258" s="169"/>
      <c r="N258" s="167"/>
      <c r="O258" s="168"/>
      <c r="P258" s="149"/>
    </row>
    <row r="259" spans="1:16" ht="18" customHeight="1" thickBot="1">
      <c r="A259" s="25"/>
      <c r="B259" s="25"/>
      <c r="C259" s="31"/>
      <c r="D259" s="31"/>
      <c r="E259" s="31"/>
      <c r="F259" s="49"/>
      <c r="G259" s="50"/>
      <c r="H259" s="51"/>
      <c r="I259" s="52"/>
      <c r="J259" s="50"/>
      <c r="K259" s="53"/>
      <c r="L259" s="52"/>
      <c r="M259" s="159"/>
      <c r="N259" s="157"/>
      <c r="O259" s="158"/>
      <c r="P259" s="423"/>
    </row>
    <row r="260" spans="1:16" ht="18" customHeight="1">
      <c r="B260" s="156"/>
      <c r="C260" s="539"/>
      <c r="D260" s="539"/>
      <c r="E260" s="539"/>
      <c r="F260" s="539"/>
      <c r="G260" s="539"/>
      <c r="H260" s="539"/>
      <c r="I260" s="539"/>
      <c r="J260" s="539"/>
      <c r="K260" s="539"/>
      <c r="L260" s="539"/>
      <c r="M260" s="539"/>
      <c r="N260" s="539"/>
      <c r="O260" s="539"/>
      <c r="P260" s="146"/>
    </row>
    <row r="261" spans="1:16" ht="23.25">
      <c r="B261" s="154"/>
      <c r="C261" s="540" t="s">
        <v>135</v>
      </c>
      <c r="D261" s="540"/>
      <c r="E261" s="540"/>
      <c r="F261" s="540"/>
      <c r="G261" s="540"/>
      <c r="H261" s="540"/>
      <c r="I261" s="540"/>
      <c r="J261" s="540"/>
      <c r="K261" s="540"/>
      <c r="L261" s="540"/>
      <c r="M261" s="540"/>
      <c r="N261" s="540"/>
      <c r="O261" s="540"/>
      <c r="P261" s="147"/>
    </row>
    <row r="262" spans="1:16" ht="18" customHeight="1" thickBot="1">
      <c r="B262" s="154"/>
      <c r="C262" s="541"/>
      <c r="D262" s="541"/>
      <c r="E262" s="541"/>
      <c r="F262" s="541"/>
      <c r="G262" s="541"/>
      <c r="H262" s="541"/>
      <c r="I262" s="541"/>
      <c r="J262" s="541"/>
      <c r="K262" s="541"/>
      <c r="L262" s="541"/>
      <c r="M262" s="541"/>
      <c r="N262" s="541"/>
      <c r="O262" s="541"/>
      <c r="P262" s="147"/>
    </row>
    <row r="263" spans="1:16" ht="18" customHeight="1" thickBot="1">
      <c r="B263" s="154"/>
      <c r="C263" s="155"/>
      <c r="D263" s="155"/>
      <c r="E263" s="31"/>
      <c r="F263" s="37"/>
      <c r="G263" s="534" t="str">
        <f>$G$10</f>
        <v>2011 BILL</v>
      </c>
      <c r="H263" s="535"/>
      <c r="I263" s="536"/>
      <c r="J263" s="534" t="str">
        <f>$J$10</f>
        <v>2012 BILL</v>
      </c>
      <c r="K263" s="535"/>
      <c r="L263" s="536"/>
      <c r="M263" s="534" t="s">
        <v>73</v>
      </c>
      <c r="N263" s="535"/>
      <c r="O263" s="536"/>
      <c r="P263" s="147"/>
    </row>
    <row r="264" spans="1:16" ht="26.25" thickBot="1">
      <c r="B264" s="154"/>
      <c r="C264" s="31"/>
      <c r="D264" s="31"/>
      <c r="E264" s="33"/>
      <c r="F264" s="38"/>
      <c r="G264" s="170" t="s">
        <v>67</v>
      </c>
      <c r="H264" s="171" t="s">
        <v>68</v>
      </c>
      <c r="I264" s="172" t="s">
        <v>69</v>
      </c>
      <c r="J264" s="173" t="s">
        <v>67</v>
      </c>
      <c r="K264" s="171" t="s">
        <v>68</v>
      </c>
      <c r="L264" s="172" t="s">
        <v>69</v>
      </c>
      <c r="M264" s="174" t="s">
        <v>80</v>
      </c>
      <c r="N264" s="175" t="s">
        <v>81</v>
      </c>
      <c r="O264" s="176" t="s">
        <v>76</v>
      </c>
      <c r="P264" s="147"/>
    </row>
    <row r="265" spans="1:16" ht="18" customHeight="1" thickBot="1">
      <c r="B265" s="154"/>
      <c r="C265" s="528" t="s">
        <v>70</v>
      </c>
      <c r="D265" s="529"/>
      <c r="E265" s="31"/>
      <c r="F265" s="180" t="s">
        <v>71</v>
      </c>
      <c r="G265" s="190"/>
      <c r="H265" s="191"/>
      <c r="I265" s="192">
        <f>'2011 Existing Rates'!$C$9</f>
        <v>11.06</v>
      </c>
      <c r="J265" s="190"/>
      <c r="K265" s="191"/>
      <c r="L265" s="195">
        <f>'Rate Schedule (Part 1)'!$E$20</f>
        <v>14.96</v>
      </c>
      <c r="M265" s="204">
        <f t="shared" ref="M265:M272" si="20">+L265-I265</f>
        <v>3.9000000000000004</v>
      </c>
      <c r="N265" s="205">
        <f t="shared" ref="N265:N282" si="21">+M265/I265</f>
        <v>0.35262206148282099</v>
      </c>
      <c r="O265" s="206">
        <f ca="1">L265/L282</f>
        <v>9.0131332833832418E-3</v>
      </c>
      <c r="P265" s="147"/>
    </row>
    <row r="266" spans="1:16" ht="18" customHeight="1" thickBot="1">
      <c r="B266" s="154"/>
      <c r="C266" s="152">
        <v>12500</v>
      </c>
      <c r="D266" s="153" t="s">
        <v>16</v>
      </c>
      <c r="E266" s="31"/>
      <c r="F266" s="181" t="s">
        <v>72</v>
      </c>
      <c r="G266" s="184">
        <f>+C266</f>
        <v>12500</v>
      </c>
      <c r="H266" s="178">
        <f>'2011 Existing Rates'!$E$9</f>
        <v>1.6999999999999999E-3</v>
      </c>
      <c r="I266" s="193">
        <f>+G266*H266</f>
        <v>21.25</v>
      </c>
      <c r="J266" s="184">
        <f>+C266</f>
        <v>12500</v>
      </c>
      <c r="K266" s="177">
        <f>'Rate Schedule (Part 1)'!$E$21</f>
        <v>4.7000000000000002E-3</v>
      </c>
      <c r="L266" s="197">
        <f>+J266*K266</f>
        <v>58.75</v>
      </c>
      <c r="M266" s="207">
        <f t="shared" si="20"/>
        <v>37.5</v>
      </c>
      <c r="N266" s="201">
        <f t="shared" si="21"/>
        <v>1.7647058823529411</v>
      </c>
      <c r="O266" s="208">
        <f ca="1">L266/L282</f>
        <v>3.5395827566762399E-2</v>
      </c>
      <c r="P266" s="147"/>
    </row>
    <row r="267" spans="1:16" ht="18" customHeight="1">
      <c r="B267" s="154"/>
      <c r="C267" s="63"/>
      <c r="D267" s="64"/>
      <c r="E267" s="31"/>
      <c r="F267" s="181" t="s">
        <v>222</v>
      </c>
      <c r="G267" s="184">
        <f>G266</f>
        <v>12500</v>
      </c>
      <c r="H267" s="178">
        <f>'2011 Existing Rates'!$B$35</f>
        <v>1.4E-3</v>
      </c>
      <c r="I267" s="193">
        <f>+G267*H267</f>
        <v>17.5</v>
      </c>
      <c r="J267" s="184">
        <f>J266</f>
        <v>12500</v>
      </c>
      <c r="K267" s="177">
        <f>'Rate Schedule (Part 1)'!$E$22</f>
        <v>1.1000000000000001E-3</v>
      </c>
      <c r="L267" s="197">
        <f>+J267*K267</f>
        <v>13.75</v>
      </c>
      <c r="M267" s="207">
        <f t="shared" si="20"/>
        <v>-3.75</v>
      </c>
      <c r="N267" s="201">
        <f t="shared" si="21"/>
        <v>-0.21428571428571427</v>
      </c>
      <c r="O267" s="208">
        <f ca="1">L267/L282</f>
        <v>8.2841298560507731E-3</v>
      </c>
      <c r="P267" s="147"/>
    </row>
    <row r="268" spans="1:16" ht="18" customHeight="1">
      <c r="B268" s="154"/>
      <c r="C268" s="63"/>
      <c r="D268" s="64"/>
      <c r="E268" s="31"/>
      <c r="F268" s="181" t="s">
        <v>271</v>
      </c>
      <c r="G268" s="203"/>
      <c r="H268" s="202"/>
      <c r="I268" s="193">
        <f>'2011 Existing Rates'!$B$48</f>
        <v>1.45</v>
      </c>
      <c r="J268" s="203"/>
      <c r="K268" s="202"/>
      <c r="L268" s="197">
        <f>'Rate Schedule (Part 1)'!$E$24</f>
        <v>0.94926443265034022</v>
      </c>
      <c r="M268" s="207">
        <f t="shared" si="20"/>
        <v>-0.50073556734965974</v>
      </c>
      <c r="N268" s="201">
        <f t="shared" si="21"/>
        <v>-0.34533487403424812</v>
      </c>
      <c r="O268" s="208">
        <f ca="1">L268/L282</f>
        <v>5.7191489656769322E-4</v>
      </c>
      <c r="P268" s="147"/>
    </row>
    <row r="269" spans="1:16" ht="18" customHeight="1" thickBot="1">
      <c r="A269" s="147"/>
      <c r="B269" s="25"/>
      <c r="C269" s="31"/>
      <c r="D269" s="31"/>
      <c r="E269" s="31"/>
      <c r="F269" s="181" t="s">
        <v>160</v>
      </c>
      <c r="G269" s="184">
        <f>C266</f>
        <v>12500</v>
      </c>
      <c r="H269" s="178">
        <f>H190</f>
        <v>0</v>
      </c>
      <c r="I269" s="189">
        <f>+G269*H269</f>
        <v>0</v>
      </c>
      <c r="J269" s="184">
        <f>C266</f>
        <v>12500</v>
      </c>
      <c r="K269" s="177">
        <f>'Rate Schedule (Part 1)'!$E$23</f>
        <v>2.0000000000000001E-4</v>
      </c>
      <c r="L269" s="197">
        <f>J269*K269</f>
        <v>2.5</v>
      </c>
      <c r="M269" s="207">
        <f t="shared" si="20"/>
        <v>2.5</v>
      </c>
      <c r="N269" s="201" t="e">
        <f t="shared" si="21"/>
        <v>#DIV/0!</v>
      </c>
      <c r="O269" s="208">
        <f ca="1">L269/$L$282</f>
        <v>1.506205428372868E-3</v>
      </c>
      <c r="P269" s="147"/>
    </row>
    <row r="270" spans="1:16" ht="18" customHeight="1">
      <c r="A270" s="147"/>
      <c r="B270" s="25"/>
      <c r="C270" s="31"/>
      <c r="D270" s="31"/>
      <c r="E270" s="31"/>
      <c r="F270" s="419" t="s">
        <v>270</v>
      </c>
      <c r="G270" s="203"/>
      <c r="H270" s="202"/>
      <c r="I270" s="192">
        <f>$I$63</f>
        <v>0</v>
      </c>
      <c r="J270" s="203"/>
      <c r="K270" s="202"/>
      <c r="L270" s="211">
        <f>'2012 Rate Rider'!$E$8</f>
        <v>5.9887322983164735</v>
      </c>
      <c r="M270" s="207">
        <f t="shared" si="20"/>
        <v>5.9887322983164735</v>
      </c>
      <c r="N270" s="201" t="e">
        <f t="shared" si="21"/>
        <v>#DIV/0!</v>
      </c>
      <c r="O270" s="208">
        <f ca="1">L270/$L$282</f>
        <v>3.6081044387184778E-3</v>
      </c>
      <c r="P270" s="147"/>
    </row>
    <row r="271" spans="1:16" ht="18" customHeight="1">
      <c r="A271" s="147"/>
      <c r="B271" s="25"/>
      <c r="C271" s="31"/>
      <c r="D271" s="31"/>
      <c r="E271" s="31"/>
      <c r="F271" s="419" t="s">
        <v>272</v>
      </c>
      <c r="G271" s="203"/>
      <c r="H271" s="202"/>
      <c r="I271" s="193">
        <f>I192</f>
        <v>0.12</v>
      </c>
      <c r="J271" s="194">
        <f>G271</f>
        <v>0</v>
      </c>
      <c r="K271" s="420">
        <f>'2012 Rate Rider'!$F$8</f>
        <v>0</v>
      </c>
      <c r="L271" s="193">
        <f>+J271*K271</f>
        <v>0</v>
      </c>
      <c r="M271" s="207">
        <f t="shared" si="20"/>
        <v>-0.12</v>
      </c>
      <c r="N271" s="201">
        <f t="shared" si="21"/>
        <v>-1</v>
      </c>
      <c r="O271" s="208">
        <f ca="1">L271/$L$282</f>
        <v>0</v>
      </c>
      <c r="P271" s="147"/>
    </row>
    <row r="272" spans="1:16" ht="18" customHeight="1" thickBot="1">
      <c r="A272" s="147"/>
      <c r="B272" s="25"/>
      <c r="C272" s="31"/>
      <c r="D272" s="31"/>
      <c r="E272" s="31"/>
      <c r="F272" s="182" t="s">
        <v>221</v>
      </c>
      <c r="G272" s="209">
        <f>+C266</f>
        <v>12500</v>
      </c>
      <c r="H272" s="210">
        <f>'2011 Existing Rates'!$B$22</f>
        <v>6.7000000000000002E-3</v>
      </c>
      <c r="I272" s="211">
        <f>+G272*H272</f>
        <v>83.75</v>
      </c>
      <c r="J272" s="209">
        <f>+C266</f>
        <v>12500</v>
      </c>
      <c r="K272" s="210">
        <f>K193</f>
        <v>-8.5775741718724392E-3</v>
      </c>
      <c r="L272" s="211">
        <f>+J272*K272</f>
        <v>-107.21967714840549</v>
      </c>
      <c r="M272" s="207">
        <f t="shared" si="20"/>
        <v>-190.96967714840548</v>
      </c>
      <c r="N272" s="201">
        <f t="shared" si="21"/>
        <v>-2.2802349510257369</v>
      </c>
      <c r="O272" s="208">
        <f ca="1">L272/$L$282</f>
        <v>-6.4597943899725882E-2</v>
      </c>
      <c r="P272" s="361"/>
    </row>
    <row r="273" spans="1:16" ht="18" customHeight="1" thickBot="1">
      <c r="A273" s="147"/>
      <c r="F273" s="218" t="s">
        <v>223</v>
      </c>
      <c r="G273" s="530"/>
      <c r="H273" s="531"/>
      <c r="I273" s="220">
        <f>SUM(I265:I272)</f>
        <v>135.13</v>
      </c>
      <c r="J273" s="530"/>
      <c r="K273" s="531"/>
      <c r="L273" s="220">
        <f>SUM(L265:L272)</f>
        <v>-10.321680417438671</v>
      </c>
      <c r="M273" s="222">
        <f>SUM(M265:M272)</f>
        <v>-145.45168041743867</v>
      </c>
      <c r="N273" s="223">
        <f t="shared" si="21"/>
        <v>-1.0763833376558771</v>
      </c>
      <c r="O273" s="225">
        <f ca="1">L273/L282</f>
        <v>-6.2186284298704226E-3</v>
      </c>
      <c r="P273" s="361"/>
    </row>
    <row r="274" spans="1:16" ht="18" customHeight="1" thickBot="1">
      <c r="A274" s="147"/>
      <c r="F274" s="181" t="s">
        <v>224</v>
      </c>
      <c r="G274" s="348">
        <f>C266*'Other Electriciy Rates'!$L$11</f>
        <v>13488.75</v>
      </c>
      <c r="H274" s="349">
        <f>'Other Electriciy Rates'!$B$11</f>
        <v>9.1999999999999998E-3</v>
      </c>
      <c r="I274" s="193">
        <f>+G274*H274</f>
        <v>124.09649999999999</v>
      </c>
      <c r="J274" s="348">
        <f>'BILL IMPACTS '!C266*'Other Electriciy Rates'!$L$26</f>
        <v>13500</v>
      </c>
      <c r="K274" s="349">
        <f>'Other Electriciy Rates'!$B$26</f>
        <v>9.3645461530317241E-3</v>
      </c>
      <c r="L274" s="193">
        <f>+J274*K274</f>
        <v>126.42137306592828</v>
      </c>
      <c r="M274" s="350">
        <f>+L274-I274</f>
        <v>2.324873065928287</v>
      </c>
      <c r="N274" s="205">
        <f t="shared" si="21"/>
        <v>1.873439674711444E-2</v>
      </c>
      <c r="O274" s="206">
        <f ca="1">L274/L282</f>
        <v>7.6166623349701063E-2</v>
      </c>
      <c r="P274" s="361"/>
    </row>
    <row r="275" spans="1:16" ht="18" customHeight="1" thickBot="1">
      <c r="A275" s="147"/>
      <c r="F275" s="218" t="s">
        <v>225</v>
      </c>
      <c r="G275" s="530"/>
      <c r="H275" s="531"/>
      <c r="I275" s="220">
        <f>I273+I274</f>
        <v>259.22649999999999</v>
      </c>
      <c r="J275" s="530"/>
      <c r="K275" s="531"/>
      <c r="L275" s="220">
        <f>L273+L274</f>
        <v>116.09969264848961</v>
      </c>
      <c r="M275" s="220">
        <f>M273+M274</f>
        <v>-143.12680735151037</v>
      </c>
      <c r="N275" s="223">
        <f t="shared" si="21"/>
        <v>-0.55213030824977527</v>
      </c>
      <c r="O275" s="351">
        <f ca="1">L275/L282</f>
        <v>6.9947994919830642E-2</v>
      </c>
      <c r="P275" s="361"/>
    </row>
    <row r="276" spans="1:16" ht="18" customHeight="1">
      <c r="A276" s="147"/>
      <c r="F276" s="183" t="s">
        <v>77</v>
      </c>
      <c r="G276" s="185">
        <f>+'Other Electriciy Rates'!$L$10*C266</f>
        <v>13488.75</v>
      </c>
      <c r="H276" s="186">
        <f>'Other Electriciy Rates'!$C$11+'Other Electriciy Rates'!$D$11</f>
        <v>1.2986887220832175E-2</v>
      </c>
      <c r="I276" s="187">
        <f>+G276*H276</f>
        <v>175.176875</v>
      </c>
      <c r="J276" s="185">
        <f>J274</f>
        <v>13500</v>
      </c>
      <c r="K276" s="186">
        <f>'Other Electriciy Rates'!$C$26+'Other Electriciy Rates'!$D$26</f>
        <v>1.278148148148148E-2</v>
      </c>
      <c r="L276" s="214">
        <f>+J276*K276</f>
        <v>172.54999999999998</v>
      </c>
      <c r="M276" s="215">
        <f>+L276-I276</f>
        <v>-2.6268750000000125</v>
      </c>
      <c r="N276" s="216">
        <f t="shared" si="21"/>
        <v>-1.4995558060959887E-2</v>
      </c>
      <c r="O276" s="282">
        <f ca="1">L276/L282</f>
        <v>0.10395829866629533</v>
      </c>
      <c r="P276" s="361"/>
    </row>
    <row r="277" spans="1:16" ht="18" customHeight="1">
      <c r="A277" s="147"/>
      <c r="B277" s="25"/>
      <c r="C277" s="31"/>
      <c r="D277" s="31"/>
      <c r="E277" s="31"/>
      <c r="F277" s="179" t="s">
        <v>78</v>
      </c>
      <c r="G277" s="185">
        <v>600</v>
      </c>
      <c r="H277" s="186">
        <f>'Other Electriciy Rates'!$J$11</f>
        <v>7.4999999999999997E-2</v>
      </c>
      <c r="I277" s="187">
        <f>+G277*H277</f>
        <v>45</v>
      </c>
      <c r="J277" s="185">
        <v>600</v>
      </c>
      <c r="K277" s="186">
        <f>'Other Electriciy Rates'!$J$26</f>
        <v>7.4999999999999997E-2</v>
      </c>
      <c r="L277" s="214">
        <f>+J277*K277</f>
        <v>45</v>
      </c>
      <c r="M277" s="215">
        <f>+L277-I277</f>
        <v>0</v>
      </c>
      <c r="N277" s="216">
        <f t="shared" si="21"/>
        <v>0</v>
      </c>
      <c r="O277" s="217">
        <f ca="1">L277/L282</f>
        <v>2.7111697710711622E-2</v>
      </c>
      <c r="P277" s="361"/>
    </row>
    <row r="278" spans="1:16" ht="18" customHeight="1">
      <c r="B278" s="154"/>
      <c r="C278" s="31"/>
      <c r="D278" s="31"/>
      <c r="E278" s="31"/>
      <c r="F278" s="179" t="s">
        <v>78</v>
      </c>
      <c r="G278" s="185">
        <f>G276-G277</f>
        <v>12888.75</v>
      </c>
      <c r="H278" s="186">
        <f>'Other Electriciy Rates'!$K$11</f>
        <v>8.7999999999999995E-2</v>
      </c>
      <c r="I278" s="187">
        <f>+G278*H278</f>
        <v>1134.21</v>
      </c>
      <c r="J278" s="185">
        <f>J276-J277</f>
        <v>12900</v>
      </c>
      <c r="K278" s="186">
        <f>'Other Electriciy Rates'!$K$26</f>
        <v>8.7999999999999995E-2</v>
      </c>
      <c r="L278" s="214">
        <f>+J278*K278</f>
        <v>1135.2</v>
      </c>
      <c r="M278" s="215">
        <f>+L278-I278</f>
        <v>0.99000000000000909</v>
      </c>
      <c r="N278" s="216">
        <f t="shared" si="21"/>
        <v>8.7285423334303972E-4</v>
      </c>
      <c r="O278" s="217">
        <f ca="1">L278/L282</f>
        <v>0.68393776091555192</v>
      </c>
      <c r="P278" s="147"/>
    </row>
    <row r="279" spans="1:16" ht="18" customHeight="1" thickBot="1">
      <c r="B279" s="154"/>
      <c r="C279" s="31"/>
      <c r="D279" s="31"/>
      <c r="E279" s="31"/>
      <c r="F279" s="181" t="s">
        <v>235</v>
      </c>
      <c r="G279" s="279">
        <f>G276</f>
        <v>13488.75</v>
      </c>
      <c r="H279" s="186">
        <f>'2012 Rate Rider'!$G$8</f>
        <v>0</v>
      </c>
      <c r="I279" s="189">
        <f>+G279*H279</f>
        <v>0</v>
      </c>
      <c r="J279" s="279">
        <f>G279</f>
        <v>13488.75</v>
      </c>
      <c r="K279" s="186">
        <f>'2012 Rate Rider'!$G$8</f>
        <v>0</v>
      </c>
      <c r="L279" s="211">
        <f>+J279*K279</f>
        <v>0</v>
      </c>
      <c r="M279" s="212">
        <f>+L279-I279</f>
        <v>0</v>
      </c>
      <c r="N279" s="213" t="e">
        <f t="shared" si="21"/>
        <v>#DIV/0!</v>
      </c>
      <c r="O279" s="226">
        <f ca="1">L279/L282</f>
        <v>0</v>
      </c>
      <c r="P279" s="147"/>
    </row>
    <row r="280" spans="1:16" ht="18" customHeight="1" thickBot="1">
      <c r="B280" s="154"/>
      <c r="C280" s="31"/>
      <c r="D280" s="31"/>
      <c r="E280" s="31"/>
      <c r="F280" s="218" t="s">
        <v>192</v>
      </c>
      <c r="G280" s="530"/>
      <c r="H280" s="531"/>
      <c r="I280" s="220">
        <f>SUM(I275:I279)</f>
        <v>1613.6133749999999</v>
      </c>
      <c r="J280" s="530"/>
      <c r="K280" s="531"/>
      <c r="L280" s="220">
        <f>SUM(L275:L279)</f>
        <v>1468.8496926484895</v>
      </c>
      <c r="M280" s="362">
        <f>SUM(M275:M278)</f>
        <v>-144.76368235151037</v>
      </c>
      <c r="N280" s="223">
        <f t="shared" si="21"/>
        <v>-8.9713982664224243E-2</v>
      </c>
      <c r="O280" s="351">
        <f ca="1">L280/L282</f>
        <v>0.88495575221238942</v>
      </c>
      <c r="P280" s="147"/>
    </row>
    <row r="281" spans="1:16" ht="18" customHeight="1" thickBot="1">
      <c r="B281" s="154"/>
      <c r="C281" s="31"/>
      <c r="D281" s="31"/>
      <c r="E281" s="31"/>
      <c r="F281" s="278" t="s">
        <v>193</v>
      </c>
      <c r="G281" s="279"/>
      <c r="H281" s="283">
        <f ca="1">$H$177</f>
        <v>0.13</v>
      </c>
      <c r="I281" s="280">
        <f ca="1">I280*H281</f>
        <v>209.76973874999999</v>
      </c>
      <c r="J281" s="279"/>
      <c r="K281" s="283">
        <f ca="1">$K$177</f>
        <v>0.13</v>
      </c>
      <c r="L281" s="281">
        <f ca="1">L280*K281</f>
        <v>190.95046004430364</v>
      </c>
      <c r="M281" s="212">
        <f ca="1">+L281-I281</f>
        <v>-18.819278705696348</v>
      </c>
      <c r="N281" s="213">
        <f t="shared" ca="1" si="21"/>
        <v>-8.9713982664224243E-2</v>
      </c>
      <c r="O281" s="226">
        <f ca="1">L281/L282</f>
        <v>0.11504424778761063</v>
      </c>
      <c r="P281" s="147"/>
    </row>
    <row r="282" spans="1:16" ht="18" customHeight="1" thickBot="1">
      <c r="B282" s="154"/>
      <c r="C282" s="31"/>
      <c r="D282" s="31"/>
      <c r="E282" s="35"/>
      <c r="F282" s="219" t="s">
        <v>79</v>
      </c>
      <c r="G282" s="542"/>
      <c r="H282" s="543"/>
      <c r="I282" s="221">
        <f ca="1">I280+I281</f>
        <v>1823.3831137499999</v>
      </c>
      <c r="J282" s="542"/>
      <c r="K282" s="543"/>
      <c r="L282" s="221">
        <f ca="1">L280+L281</f>
        <v>1659.8001526927931</v>
      </c>
      <c r="M282" s="363">
        <f ca="1">M280+M281</f>
        <v>-163.58296105720672</v>
      </c>
      <c r="N282" s="223">
        <f t="shared" ca="1" si="21"/>
        <v>-8.9713982664224243E-2</v>
      </c>
      <c r="O282" s="225">
        <f ca="1">SUM(O280:O281)</f>
        <v>1</v>
      </c>
      <c r="P282" s="147"/>
    </row>
    <row r="283" spans="1:16" ht="18" customHeight="1" thickBot="1">
      <c r="B283" s="148"/>
      <c r="C283" s="160"/>
      <c r="D283" s="160"/>
      <c r="E283" s="160"/>
      <c r="F283" s="161"/>
      <c r="G283" s="162"/>
      <c r="H283" s="163"/>
      <c r="I283" s="164"/>
      <c r="J283" s="162"/>
      <c r="K283" s="165"/>
      <c r="L283" s="164"/>
      <c r="M283" s="169"/>
      <c r="N283" s="167"/>
      <c r="O283" s="168"/>
      <c r="P283" s="149"/>
    </row>
    <row r="284" spans="1:16" ht="18" customHeight="1" thickBot="1">
      <c r="B284" s="25"/>
      <c r="C284" s="31"/>
      <c r="D284" s="31"/>
      <c r="E284" s="31"/>
      <c r="F284" s="49"/>
      <c r="G284" s="50"/>
      <c r="H284" s="51"/>
      <c r="I284" s="52"/>
      <c r="J284" s="50"/>
      <c r="K284" s="53"/>
      <c r="L284" s="52"/>
      <c r="M284" s="159"/>
      <c r="N284" s="157"/>
      <c r="O284" s="158"/>
      <c r="P284" s="25"/>
    </row>
    <row r="285" spans="1:16" ht="18" customHeight="1">
      <c r="B285" s="156"/>
      <c r="C285" s="539"/>
      <c r="D285" s="539"/>
      <c r="E285" s="539"/>
      <c r="F285" s="539"/>
      <c r="G285" s="539"/>
      <c r="H285" s="539"/>
      <c r="I285" s="539"/>
      <c r="J285" s="539"/>
      <c r="K285" s="539"/>
      <c r="L285" s="539"/>
      <c r="M285" s="539"/>
      <c r="N285" s="539"/>
      <c r="O285" s="539"/>
      <c r="P285" s="146"/>
    </row>
    <row r="286" spans="1:16" ht="23.25">
      <c r="B286" s="154"/>
      <c r="C286" s="540" t="s">
        <v>135</v>
      </c>
      <c r="D286" s="540"/>
      <c r="E286" s="540"/>
      <c r="F286" s="540"/>
      <c r="G286" s="540"/>
      <c r="H286" s="540"/>
      <c r="I286" s="540"/>
      <c r="J286" s="540"/>
      <c r="K286" s="540"/>
      <c r="L286" s="540"/>
      <c r="M286" s="540"/>
      <c r="N286" s="540"/>
      <c r="O286" s="540"/>
      <c r="P286" s="147"/>
    </row>
    <row r="287" spans="1:16" ht="18" customHeight="1" thickBot="1">
      <c r="B287" s="154"/>
      <c r="C287" s="541"/>
      <c r="D287" s="541"/>
      <c r="E287" s="541"/>
      <c r="F287" s="541"/>
      <c r="G287" s="541"/>
      <c r="H287" s="541"/>
      <c r="I287" s="541"/>
      <c r="J287" s="541"/>
      <c r="K287" s="541"/>
      <c r="L287" s="541"/>
      <c r="M287" s="541"/>
      <c r="N287" s="541"/>
      <c r="O287" s="541"/>
      <c r="P287" s="147"/>
    </row>
    <row r="288" spans="1:16" ht="18" customHeight="1" thickBot="1">
      <c r="B288" s="154"/>
      <c r="C288" s="155"/>
      <c r="D288" s="155"/>
      <c r="E288" s="31"/>
      <c r="F288" s="37"/>
      <c r="G288" s="534" t="str">
        <f>$G$10</f>
        <v>2011 BILL</v>
      </c>
      <c r="H288" s="535"/>
      <c r="I288" s="536"/>
      <c r="J288" s="534" t="str">
        <f>$J$10</f>
        <v>2012 BILL</v>
      </c>
      <c r="K288" s="535"/>
      <c r="L288" s="536"/>
      <c r="M288" s="534" t="s">
        <v>73</v>
      </c>
      <c r="N288" s="535"/>
      <c r="O288" s="536"/>
      <c r="P288" s="147"/>
    </row>
    <row r="289" spans="1:16" ht="26.25" thickBot="1">
      <c r="B289" s="154"/>
      <c r="C289" s="31"/>
      <c r="D289" s="31"/>
      <c r="E289" s="33"/>
      <c r="F289" s="38"/>
      <c r="G289" s="170" t="s">
        <v>67</v>
      </c>
      <c r="H289" s="171" t="s">
        <v>68</v>
      </c>
      <c r="I289" s="172" t="s">
        <v>69</v>
      </c>
      <c r="J289" s="173" t="s">
        <v>67</v>
      </c>
      <c r="K289" s="171" t="s">
        <v>68</v>
      </c>
      <c r="L289" s="172" t="s">
        <v>69</v>
      </c>
      <c r="M289" s="174" t="s">
        <v>80</v>
      </c>
      <c r="N289" s="175" t="s">
        <v>81</v>
      </c>
      <c r="O289" s="176" t="s">
        <v>76</v>
      </c>
      <c r="P289" s="147"/>
    </row>
    <row r="290" spans="1:16" ht="18" customHeight="1" thickBot="1">
      <c r="B290" s="154"/>
      <c r="C290" s="528" t="s">
        <v>70</v>
      </c>
      <c r="D290" s="529"/>
      <c r="E290" s="31"/>
      <c r="F290" s="180" t="s">
        <v>71</v>
      </c>
      <c r="G290" s="190"/>
      <c r="H290" s="191"/>
      <c r="I290" s="192">
        <f>'2011 Existing Rates'!$C$9</f>
        <v>11.06</v>
      </c>
      <c r="J290" s="190"/>
      <c r="K290" s="191"/>
      <c r="L290" s="195">
        <f>'Rate Schedule (Part 1)'!$E$20</f>
        <v>14.96</v>
      </c>
      <c r="M290" s="204">
        <f t="shared" ref="M290:M297" si="22">+L290-I290</f>
        <v>3.9000000000000004</v>
      </c>
      <c r="N290" s="205">
        <f t="shared" ref="N290:N307" si="23">+M290/I290</f>
        <v>0.35262206148282099</v>
      </c>
      <c r="O290" s="206">
        <f ca="1">L290/L307</f>
        <v>7.5229786416785615E-3</v>
      </c>
      <c r="P290" s="147"/>
    </row>
    <row r="291" spans="1:16" ht="18" customHeight="1" thickBot="1">
      <c r="B291" s="154"/>
      <c r="C291" s="152">
        <v>15000</v>
      </c>
      <c r="D291" s="153" t="s">
        <v>16</v>
      </c>
      <c r="E291" s="31"/>
      <c r="F291" s="181" t="s">
        <v>72</v>
      </c>
      <c r="G291" s="184">
        <f>+C291</f>
        <v>15000</v>
      </c>
      <c r="H291" s="178">
        <f>'2011 Existing Rates'!$E$9</f>
        <v>1.6999999999999999E-3</v>
      </c>
      <c r="I291" s="193">
        <f>+G291*H291</f>
        <v>25.5</v>
      </c>
      <c r="J291" s="184">
        <f>+C291</f>
        <v>15000</v>
      </c>
      <c r="K291" s="177">
        <f>'Rate Schedule (Part 1)'!$E$21</f>
        <v>4.7000000000000002E-3</v>
      </c>
      <c r="L291" s="197">
        <f>+J291*K291</f>
        <v>70.5</v>
      </c>
      <c r="M291" s="207">
        <f t="shared" si="22"/>
        <v>45</v>
      </c>
      <c r="N291" s="201">
        <f t="shared" si="23"/>
        <v>1.7647058823529411</v>
      </c>
      <c r="O291" s="208">
        <f ca="1">L291/L307</f>
        <v>3.5452539721814072E-2</v>
      </c>
      <c r="P291" s="147"/>
    </row>
    <row r="292" spans="1:16" ht="18" customHeight="1">
      <c r="B292" s="154"/>
      <c r="C292" s="63"/>
      <c r="D292" s="64"/>
      <c r="E292" s="31"/>
      <c r="F292" s="181" t="s">
        <v>222</v>
      </c>
      <c r="G292" s="184">
        <f>G291</f>
        <v>15000</v>
      </c>
      <c r="H292" s="178">
        <f>'2011 Existing Rates'!$B$35</f>
        <v>1.4E-3</v>
      </c>
      <c r="I292" s="193">
        <f>+G292*H292</f>
        <v>21</v>
      </c>
      <c r="J292" s="184">
        <f>J291</f>
        <v>15000</v>
      </c>
      <c r="K292" s="177">
        <f>'Rate Schedule (Part 1)'!$E$22</f>
        <v>1.1000000000000001E-3</v>
      </c>
      <c r="L292" s="197">
        <f>+J292*K292</f>
        <v>16.5</v>
      </c>
      <c r="M292" s="207">
        <f t="shared" si="22"/>
        <v>-4.5</v>
      </c>
      <c r="N292" s="201">
        <f t="shared" si="23"/>
        <v>-0.21428571428571427</v>
      </c>
      <c r="O292" s="208">
        <f ca="1">L292/L307</f>
        <v>8.2974029136160601E-3</v>
      </c>
      <c r="P292" s="147"/>
    </row>
    <row r="293" spans="1:16" ht="18" customHeight="1">
      <c r="B293" s="154"/>
      <c r="C293" s="63"/>
      <c r="D293" s="64"/>
      <c r="E293" s="31"/>
      <c r="F293" s="181" t="s">
        <v>271</v>
      </c>
      <c r="G293" s="203"/>
      <c r="H293" s="202"/>
      <c r="I293" s="193">
        <f>'2011 Existing Rates'!$B$48</f>
        <v>1.45</v>
      </c>
      <c r="J293" s="203"/>
      <c r="K293" s="202"/>
      <c r="L293" s="197">
        <f>'Rate Schedule (Part 1)'!$E$24</f>
        <v>0.94926443265034022</v>
      </c>
      <c r="M293" s="207">
        <f t="shared" si="22"/>
        <v>-0.50073556734965974</v>
      </c>
      <c r="N293" s="201">
        <f t="shared" si="23"/>
        <v>-0.34533487403424812</v>
      </c>
      <c r="O293" s="208">
        <f ca="1">L293/L307</f>
        <v>4.7735936177363813E-4</v>
      </c>
      <c r="P293" s="147"/>
    </row>
    <row r="294" spans="1:16" ht="18" customHeight="1" thickBot="1">
      <c r="A294" s="147"/>
      <c r="B294" s="25"/>
      <c r="C294" s="31"/>
      <c r="D294" s="31"/>
      <c r="E294" s="31"/>
      <c r="F294" s="181" t="s">
        <v>160</v>
      </c>
      <c r="G294" s="184">
        <f>C291</f>
        <v>15000</v>
      </c>
      <c r="H294" s="178">
        <f>H190</f>
        <v>0</v>
      </c>
      <c r="I294" s="189">
        <f>+G294*H294</f>
        <v>0</v>
      </c>
      <c r="J294" s="184">
        <f>C291</f>
        <v>15000</v>
      </c>
      <c r="K294" s="177">
        <f>'Rate Schedule (Part 1)'!$E$23</f>
        <v>2.0000000000000001E-4</v>
      </c>
      <c r="L294" s="197">
        <f>J294*K294</f>
        <v>3</v>
      </c>
      <c r="M294" s="207">
        <f t="shared" si="22"/>
        <v>3</v>
      </c>
      <c r="N294" s="201" t="e">
        <f t="shared" si="23"/>
        <v>#DIV/0!</v>
      </c>
      <c r="O294" s="208">
        <f ca="1">L294/$L$307</f>
        <v>1.5086187115665563E-3</v>
      </c>
      <c r="P294" s="147"/>
    </row>
    <row r="295" spans="1:16" ht="18" customHeight="1">
      <c r="A295" s="147"/>
      <c r="B295" s="25"/>
      <c r="C295" s="31"/>
      <c r="D295" s="31"/>
      <c r="E295" s="31"/>
      <c r="F295" s="419" t="s">
        <v>270</v>
      </c>
      <c r="G295" s="203"/>
      <c r="H295" s="202"/>
      <c r="I295" s="192">
        <f>$I$63</f>
        <v>0</v>
      </c>
      <c r="J295" s="203"/>
      <c r="K295" s="202"/>
      <c r="L295" s="211">
        <f>'2012 Rate Rider'!$E$8</f>
        <v>5.9887322983164735</v>
      </c>
      <c r="M295" s="207">
        <f t="shared" si="22"/>
        <v>5.9887322983164735</v>
      </c>
      <c r="N295" s="201" t="e">
        <f t="shared" si="23"/>
        <v>#DIV/0!</v>
      </c>
      <c r="O295" s="208">
        <f ca="1">L295/$L$307</f>
        <v>3.0115712012677401E-3</v>
      </c>
      <c r="P295" s="147"/>
    </row>
    <row r="296" spans="1:16" ht="18" customHeight="1">
      <c r="A296" s="147"/>
      <c r="B296" s="25"/>
      <c r="C296" s="31"/>
      <c r="D296" s="31"/>
      <c r="E296" s="31"/>
      <c r="F296" s="419" t="s">
        <v>272</v>
      </c>
      <c r="G296" s="203"/>
      <c r="H296" s="202"/>
      <c r="I296" s="193">
        <f>I192</f>
        <v>0.12</v>
      </c>
      <c r="J296" s="194">
        <f>G296</f>
        <v>0</v>
      </c>
      <c r="K296" s="420">
        <f>'2012 Rate Rider'!$F$8</f>
        <v>0</v>
      </c>
      <c r="L296" s="193">
        <f>+J296*K296</f>
        <v>0</v>
      </c>
      <c r="M296" s="207">
        <f t="shared" si="22"/>
        <v>-0.12</v>
      </c>
      <c r="N296" s="201">
        <f t="shared" si="23"/>
        <v>-1</v>
      </c>
      <c r="O296" s="208">
        <f ca="1">L296/$L$307</f>
        <v>0</v>
      </c>
      <c r="P296" s="147"/>
    </row>
    <row r="297" spans="1:16" ht="18" customHeight="1" thickBot="1">
      <c r="A297" s="147"/>
      <c r="B297" s="25"/>
      <c r="C297" s="31"/>
      <c r="D297" s="31"/>
      <c r="E297" s="31"/>
      <c r="F297" s="182" t="s">
        <v>221</v>
      </c>
      <c r="G297" s="209">
        <f>+C291</f>
        <v>15000</v>
      </c>
      <c r="H297" s="210">
        <f>'2011 Existing Rates'!$B$22</f>
        <v>6.7000000000000002E-3</v>
      </c>
      <c r="I297" s="211">
        <f>+G297*H297</f>
        <v>100.5</v>
      </c>
      <c r="J297" s="209">
        <f>+C291</f>
        <v>15000</v>
      </c>
      <c r="K297" s="210">
        <f>K193</f>
        <v>-8.5775741718724392E-3</v>
      </c>
      <c r="L297" s="211">
        <f>+J297*K297</f>
        <v>-128.6636125780866</v>
      </c>
      <c r="M297" s="207">
        <f t="shared" si="22"/>
        <v>-229.1636125780866</v>
      </c>
      <c r="N297" s="201">
        <f t="shared" si="23"/>
        <v>-2.2802349510257374</v>
      </c>
      <c r="O297" s="208">
        <f ca="1">L297/$L$307</f>
        <v>-6.4701444477683862E-2</v>
      </c>
      <c r="P297" s="361"/>
    </row>
    <row r="298" spans="1:16" ht="18" customHeight="1" thickBot="1">
      <c r="A298" s="147"/>
      <c r="F298" s="218" t="s">
        <v>223</v>
      </c>
      <c r="G298" s="530"/>
      <c r="H298" s="531"/>
      <c r="I298" s="220">
        <f>SUM(I290:I297)</f>
        <v>159.63</v>
      </c>
      <c r="J298" s="530"/>
      <c r="K298" s="531"/>
      <c r="L298" s="220">
        <f>SUM(L290:L297)</f>
        <v>-16.765615847119776</v>
      </c>
      <c r="M298" s="222">
        <f>SUM(M290:M297)</f>
        <v>-176.39561584711979</v>
      </c>
      <c r="N298" s="223">
        <f t="shared" si="23"/>
        <v>-1.1050279762395527</v>
      </c>
      <c r="O298" s="225">
        <f ca="1">L298/L307</f>
        <v>-8.4309739259672244E-3</v>
      </c>
      <c r="P298" s="361"/>
    </row>
    <row r="299" spans="1:16" ht="18" customHeight="1" thickBot="1">
      <c r="A299" s="147"/>
      <c r="F299" s="181" t="s">
        <v>224</v>
      </c>
      <c r="G299" s="348">
        <f>C291*'Other Electriciy Rates'!$L$11</f>
        <v>16186.5</v>
      </c>
      <c r="H299" s="349">
        <f>'Other Electriciy Rates'!$B$11</f>
        <v>9.1999999999999998E-3</v>
      </c>
      <c r="I299" s="193">
        <f>+G299*H299</f>
        <v>148.91579999999999</v>
      </c>
      <c r="J299" s="348">
        <f>'BILL IMPACTS '!C291*'Other Electriciy Rates'!$L$26</f>
        <v>16200.000000000002</v>
      </c>
      <c r="K299" s="177">
        <f>'Other Electriciy Rates'!$B$26</f>
        <v>9.3645461530317241E-3</v>
      </c>
      <c r="L299" s="193">
        <f>+J299*K299</f>
        <v>151.70564767911395</v>
      </c>
      <c r="M299" s="350">
        <f>+L299-I299</f>
        <v>2.7898476791139615</v>
      </c>
      <c r="N299" s="205">
        <f t="shared" si="23"/>
        <v>1.8734396747114555E-2</v>
      </c>
      <c r="O299" s="206">
        <f ca="1">L299/L307</f>
        <v>7.6288659579678272E-2</v>
      </c>
      <c r="P299" s="361"/>
    </row>
    <row r="300" spans="1:16" ht="18" customHeight="1" thickBot="1">
      <c r="A300" s="147"/>
      <c r="F300" s="218" t="s">
        <v>225</v>
      </c>
      <c r="G300" s="530"/>
      <c r="H300" s="531"/>
      <c r="I300" s="220">
        <f>I298+I299</f>
        <v>308.54579999999999</v>
      </c>
      <c r="J300" s="530"/>
      <c r="K300" s="531"/>
      <c r="L300" s="220">
        <f>L298+L299</f>
        <v>134.94003183199419</v>
      </c>
      <c r="M300" s="220">
        <f>M298+M299</f>
        <v>-173.60576816800582</v>
      </c>
      <c r="N300" s="223">
        <f t="shared" si="23"/>
        <v>-0.56265801760388845</v>
      </c>
      <c r="O300" s="351">
        <f ca="1">L300/L307</f>
        <v>6.7857685653711058E-2</v>
      </c>
      <c r="P300" s="361"/>
    </row>
    <row r="301" spans="1:16" ht="18" customHeight="1">
      <c r="A301" s="147"/>
      <c r="F301" s="183" t="s">
        <v>77</v>
      </c>
      <c r="G301" s="185">
        <f>+'Other Electriciy Rates'!$L$10*C291</f>
        <v>16186.5</v>
      </c>
      <c r="H301" s="186">
        <f>'Other Electriciy Rates'!$C$11+'Other Electriciy Rates'!$D$11</f>
        <v>1.2986887220832175E-2</v>
      </c>
      <c r="I301" s="187">
        <f>+G301*H301</f>
        <v>210.21224999999998</v>
      </c>
      <c r="J301" s="185">
        <f>J299</f>
        <v>16200.000000000002</v>
      </c>
      <c r="K301" s="186">
        <f>'Other Electriciy Rates'!$C$26+'Other Electriciy Rates'!$D$26</f>
        <v>1.278148148148148E-2</v>
      </c>
      <c r="L301" s="214">
        <f>+J301*K301</f>
        <v>207.06</v>
      </c>
      <c r="M301" s="215">
        <f>+L301-I301</f>
        <v>-3.1522499999999809</v>
      </c>
      <c r="N301" s="216">
        <f t="shared" si="23"/>
        <v>-1.4995558060959726E-2</v>
      </c>
      <c r="O301" s="282">
        <f ca="1">L301/L307</f>
        <v>0.10412486347232372</v>
      </c>
      <c r="P301" s="361"/>
    </row>
    <row r="302" spans="1:16" ht="18" customHeight="1">
      <c r="A302" s="147"/>
      <c r="B302" s="25"/>
      <c r="C302" s="31"/>
      <c r="D302" s="31"/>
      <c r="E302" s="31"/>
      <c r="F302" s="179" t="s">
        <v>78</v>
      </c>
      <c r="G302" s="185">
        <v>600</v>
      </c>
      <c r="H302" s="186">
        <f>'Other Electriciy Rates'!$J$11</f>
        <v>7.4999999999999997E-2</v>
      </c>
      <c r="I302" s="187">
        <f>+G302*H302</f>
        <v>45</v>
      </c>
      <c r="J302" s="185">
        <v>600</v>
      </c>
      <c r="K302" s="186">
        <f>'Other Electriciy Rates'!$J$26</f>
        <v>7.4999999999999997E-2</v>
      </c>
      <c r="L302" s="214">
        <f>+J302*K302</f>
        <v>45</v>
      </c>
      <c r="M302" s="215">
        <f>+L302-I302</f>
        <v>0</v>
      </c>
      <c r="N302" s="216">
        <f t="shared" si="23"/>
        <v>0</v>
      </c>
      <c r="O302" s="217">
        <f ca="1">L302/L307</f>
        <v>2.2629280673498346E-2</v>
      </c>
      <c r="P302" s="361"/>
    </row>
    <row r="303" spans="1:16" ht="18" customHeight="1">
      <c r="B303" s="154"/>
      <c r="C303" s="31"/>
      <c r="D303" s="31"/>
      <c r="E303" s="31"/>
      <c r="F303" s="179" t="s">
        <v>78</v>
      </c>
      <c r="G303" s="185">
        <f>G301-G302</f>
        <v>15586.5</v>
      </c>
      <c r="H303" s="186">
        <f>'Other Electriciy Rates'!$K$11</f>
        <v>8.7999999999999995E-2</v>
      </c>
      <c r="I303" s="187">
        <f>+G303*H303</f>
        <v>1371.6119999999999</v>
      </c>
      <c r="J303" s="185">
        <f>J301-J302</f>
        <v>15600.000000000002</v>
      </c>
      <c r="K303" s="186">
        <f>'Other Electriciy Rates'!$K$26</f>
        <v>8.7999999999999995E-2</v>
      </c>
      <c r="L303" s="214">
        <f>+J303*K303</f>
        <v>1372.8000000000002</v>
      </c>
      <c r="M303" s="215">
        <f>+L303-I303</f>
        <v>1.1880000000003292</v>
      </c>
      <c r="N303" s="216">
        <f t="shared" si="23"/>
        <v>8.6613415455706816E-4</v>
      </c>
      <c r="O303" s="217">
        <f ca="1">L303/L307</f>
        <v>0.69034392241285625</v>
      </c>
      <c r="P303" s="147"/>
    </row>
    <row r="304" spans="1:16" ht="18" customHeight="1" thickBot="1">
      <c r="B304" s="154"/>
      <c r="C304" s="31"/>
      <c r="D304" s="31"/>
      <c r="E304" s="31"/>
      <c r="F304" s="181" t="s">
        <v>235</v>
      </c>
      <c r="G304" s="279">
        <f>G301</f>
        <v>16186.5</v>
      </c>
      <c r="H304" s="186">
        <f>'2012 Rate Rider'!$G$8</f>
        <v>0</v>
      </c>
      <c r="I304" s="189">
        <f>+G304*H304</f>
        <v>0</v>
      </c>
      <c r="J304" s="279">
        <f>G304</f>
        <v>16186.5</v>
      </c>
      <c r="K304" s="186">
        <f>'2012 Rate Rider'!$G$8</f>
        <v>0</v>
      </c>
      <c r="L304" s="211">
        <f>+J304*K304</f>
        <v>0</v>
      </c>
      <c r="M304" s="212">
        <f>+L304-I304</f>
        <v>0</v>
      </c>
      <c r="N304" s="213" t="e">
        <f t="shared" si="23"/>
        <v>#DIV/0!</v>
      </c>
      <c r="O304" s="226">
        <f ca="1">L304/L307</f>
        <v>0</v>
      </c>
      <c r="P304" s="147"/>
    </row>
    <row r="305" spans="2:17" ht="18" customHeight="1" thickBot="1">
      <c r="B305" s="154"/>
      <c r="C305" s="31"/>
      <c r="D305" s="31"/>
      <c r="E305" s="31"/>
      <c r="F305" s="218" t="s">
        <v>192</v>
      </c>
      <c r="G305" s="530"/>
      <c r="H305" s="531"/>
      <c r="I305" s="220">
        <f>SUM(I300:I304)</f>
        <v>1935.3700499999998</v>
      </c>
      <c r="J305" s="530"/>
      <c r="K305" s="531"/>
      <c r="L305" s="220">
        <f>SUM(L300:L304)</f>
        <v>1759.8000318319944</v>
      </c>
      <c r="M305" s="362">
        <f>SUM(M300:M303)</f>
        <v>-175.57001816800548</v>
      </c>
      <c r="N305" s="223">
        <f t="shared" si="23"/>
        <v>-9.0716510864682187E-2</v>
      </c>
      <c r="O305" s="351">
        <f ca="1">L305/L307</f>
        <v>0.88495575221238942</v>
      </c>
      <c r="P305" s="147"/>
    </row>
    <row r="306" spans="2:17" ht="18" customHeight="1" thickBot="1">
      <c r="B306" s="154"/>
      <c r="C306" s="31"/>
      <c r="D306" s="31"/>
      <c r="E306" s="31"/>
      <c r="F306" s="278" t="s">
        <v>193</v>
      </c>
      <c r="G306" s="279"/>
      <c r="H306" s="283">
        <f ca="1">$H$177</f>
        <v>0.13</v>
      </c>
      <c r="I306" s="280">
        <f ca="1">I305*H306</f>
        <v>251.59810649999997</v>
      </c>
      <c r="J306" s="279"/>
      <c r="K306" s="283">
        <f ca="1">$K$177</f>
        <v>0.13</v>
      </c>
      <c r="L306" s="281">
        <f ca="1">L305*K306</f>
        <v>228.77400413815928</v>
      </c>
      <c r="M306" s="212">
        <f ca="1">+L306-I306</f>
        <v>-22.824102361840687</v>
      </c>
      <c r="N306" s="213">
        <f t="shared" ca="1" si="23"/>
        <v>-9.0716510864682076E-2</v>
      </c>
      <c r="O306" s="226">
        <f ca="1">L306/L307</f>
        <v>0.11504424778761063</v>
      </c>
      <c r="P306" s="147"/>
    </row>
    <row r="307" spans="2:17" ht="18" customHeight="1" thickBot="1">
      <c r="B307" s="154"/>
      <c r="C307" s="31"/>
      <c r="D307" s="31"/>
      <c r="E307" s="35"/>
      <c r="F307" s="219" t="s">
        <v>79</v>
      </c>
      <c r="G307" s="542"/>
      <c r="H307" s="543"/>
      <c r="I307" s="221">
        <f ca="1">I305+I306</f>
        <v>2186.9681564999996</v>
      </c>
      <c r="J307" s="542"/>
      <c r="K307" s="543"/>
      <c r="L307" s="221">
        <f ca="1">L305+L306</f>
        <v>1988.5740359701535</v>
      </c>
      <c r="M307" s="363">
        <f ca="1">M305+M306</f>
        <v>-198.39412052984616</v>
      </c>
      <c r="N307" s="223">
        <f t="shared" ca="1" si="23"/>
        <v>-9.0716510864682173E-2</v>
      </c>
      <c r="O307" s="225">
        <f ca="1">SUM(O305:O306)</f>
        <v>1</v>
      </c>
      <c r="P307" s="147"/>
    </row>
    <row r="308" spans="2:17" ht="18" customHeight="1" thickBot="1">
      <c r="B308" s="148"/>
      <c r="C308" s="160"/>
      <c r="D308" s="160"/>
      <c r="E308" s="160"/>
      <c r="F308" s="161"/>
      <c r="G308" s="162"/>
      <c r="H308" s="163"/>
      <c r="I308" s="164"/>
      <c r="J308" s="162"/>
      <c r="K308" s="165"/>
      <c r="L308" s="164"/>
      <c r="M308" s="169"/>
      <c r="N308" s="167"/>
      <c r="O308" s="168"/>
      <c r="P308" s="149"/>
    </row>
    <row r="309" spans="2:17" ht="18" customHeight="1" thickBot="1">
      <c r="B309" s="25"/>
      <c r="C309" s="31"/>
      <c r="D309" s="31"/>
      <c r="E309" s="31"/>
      <c r="F309" s="49"/>
      <c r="G309" s="50"/>
      <c r="H309" s="51"/>
      <c r="I309" s="52"/>
      <c r="J309" s="50"/>
      <c r="K309" s="53"/>
      <c r="L309" s="52"/>
      <c r="M309" s="159"/>
      <c r="N309" s="157"/>
      <c r="O309" s="158"/>
      <c r="P309" s="25"/>
    </row>
    <row r="310" spans="2:17" ht="17.25" customHeight="1">
      <c r="B310" s="156"/>
      <c r="C310" s="539"/>
      <c r="D310" s="539"/>
      <c r="E310" s="539"/>
      <c r="F310" s="539"/>
      <c r="G310" s="539"/>
      <c r="H310" s="539"/>
      <c r="I310" s="539"/>
      <c r="J310" s="539"/>
      <c r="K310" s="539"/>
      <c r="L310" s="539"/>
      <c r="M310" s="539"/>
      <c r="N310" s="539"/>
      <c r="O310" s="539"/>
      <c r="P310" s="146"/>
    </row>
    <row r="311" spans="2:17" ht="23.25">
      <c r="B311" s="154"/>
      <c r="C311" s="540" t="s">
        <v>91</v>
      </c>
      <c r="D311" s="540"/>
      <c r="E311" s="540"/>
      <c r="F311" s="540"/>
      <c r="G311" s="540"/>
      <c r="H311" s="540"/>
      <c r="I311" s="540"/>
      <c r="J311" s="540"/>
      <c r="K311" s="540"/>
      <c r="L311" s="540"/>
      <c r="M311" s="540"/>
      <c r="N311" s="540"/>
      <c r="O311" s="540"/>
      <c r="P311" s="147"/>
    </row>
    <row r="312" spans="2:17" ht="17.25" customHeight="1" thickBot="1">
      <c r="B312" s="154"/>
      <c r="C312" s="541"/>
      <c r="D312" s="541"/>
      <c r="E312" s="541"/>
      <c r="F312" s="541"/>
      <c r="G312" s="541"/>
      <c r="H312" s="541"/>
      <c r="I312" s="541"/>
      <c r="J312" s="541"/>
      <c r="K312" s="541"/>
      <c r="L312" s="541"/>
      <c r="M312" s="541"/>
      <c r="N312" s="541"/>
      <c r="O312" s="541"/>
      <c r="P312" s="147"/>
    </row>
    <row r="313" spans="2:17" ht="17.25" customHeight="1" thickBot="1">
      <c r="B313" s="154"/>
      <c r="C313" s="155"/>
      <c r="D313" s="155"/>
      <c r="E313" s="31"/>
      <c r="F313" s="32"/>
      <c r="G313" s="534" t="str">
        <f>$G$10</f>
        <v>2011 BILL</v>
      </c>
      <c r="H313" s="535"/>
      <c r="I313" s="536"/>
      <c r="J313" s="534" t="str">
        <f>$J$10</f>
        <v>2012 BILL</v>
      </c>
      <c r="K313" s="535"/>
      <c r="L313" s="536"/>
      <c r="M313" s="534" t="s">
        <v>73</v>
      </c>
      <c r="N313" s="535"/>
      <c r="O313" s="536"/>
      <c r="P313" s="147"/>
    </row>
    <row r="314" spans="2:17" ht="26.25" thickBot="1">
      <c r="B314" s="154"/>
      <c r="C314" s="31"/>
      <c r="D314" s="31"/>
      <c r="E314" s="33"/>
      <c r="F314" s="34"/>
      <c r="G314" s="366" t="s">
        <v>67</v>
      </c>
      <c r="H314" s="367" t="s">
        <v>68</v>
      </c>
      <c r="I314" s="368" t="s">
        <v>69</v>
      </c>
      <c r="J314" s="369" t="s">
        <v>67</v>
      </c>
      <c r="K314" s="367" t="s">
        <v>68</v>
      </c>
      <c r="L314" s="368" t="s">
        <v>69</v>
      </c>
      <c r="M314" s="174" t="s">
        <v>74</v>
      </c>
      <c r="N314" s="175" t="s">
        <v>75</v>
      </c>
      <c r="O314" s="176" t="s">
        <v>76</v>
      </c>
      <c r="P314" s="147"/>
    </row>
    <row r="315" spans="2:17" ht="17.25" customHeight="1" thickBot="1">
      <c r="B315" s="154"/>
      <c r="C315" s="528" t="s">
        <v>70</v>
      </c>
      <c r="D315" s="529"/>
      <c r="E315" s="31"/>
      <c r="F315" s="372" t="s">
        <v>71</v>
      </c>
      <c r="G315" s="370"/>
      <c r="H315" s="364"/>
      <c r="I315" s="187">
        <f>+'2011 Existing Rates'!$C$10</f>
        <v>436.99</v>
      </c>
      <c r="J315" s="185"/>
      <c r="K315" s="365"/>
      <c r="L315" s="214">
        <f>+'Distribution Rate Schedule'!$C$37</f>
        <v>177.32</v>
      </c>
      <c r="M315" s="215">
        <f t="shared" ref="M315:M322" si="24">+L315-I315</f>
        <v>-259.67</v>
      </c>
      <c r="N315" s="216">
        <f t="shared" ref="N315:N331" si="25">+M315/I315</f>
        <v>-0.59422412412183345</v>
      </c>
      <c r="O315" s="208">
        <f ca="1">L315/L331</f>
        <v>4.5962709113761338E-2</v>
      </c>
      <c r="P315" s="361"/>
      <c r="Q315" s="25"/>
    </row>
    <row r="316" spans="2:17" ht="17.25" customHeight="1" thickBot="1">
      <c r="B316" s="154"/>
      <c r="C316" s="152">
        <v>30000</v>
      </c>
      <c r="D316" s="153" t="s">
        <v>16</v>
      </c>
      <c r="E316" s="31"/>
      <c r="F316" s="373" t="s">
        <v>82</v>
      </c>
      <c r="G316" s="371">
        <f>+C317</f>
        <v>100</v>
      </c>
      <c r="H316" s="178">
        <f>'2011 Existing Rates'!$D$62</f>
        <v>2.8308</v>
      </c>
      <c r="I316" s="193">
        <f>+G316*H316</f>
        <v>283.08</v>
      </c>
      <c r="J316" s="184">
        <f>G316</f>
        <v>100</v>
      </c>
      <c r="K316" s="177">
        <f>'Rate Schedule (Part 1)'!$E$29</f>
        <v>1.5002</v>
      </c>
      <c r="L316" s="197">
        <f>+J316*K316</f>
        <v>150.02000000000001</v>
      </c>
      <c r="M316" s="215">
        <f t="shared" si="24"/>
        <v>-133.05999999999997</v>
      </c>
      <c r="N316" s="216">
        <f t="shared" si="25"/>
        <v>-0.47004380387169697</v>
      </c>
      <c r="O316" s="208">
        <f ca="1">L316/L331</f>
        <v>3.8886338942287817E-2</v>
      </c>
      <c r="P316" s="147"/>
    </row>
    <row r="317" spans="2:17" ht="17.25" customHeight="1" thickBot="1">
      <c r="B317" s="154"/>
      <c r="C317" s="152">
        <v>100</v>
      </c>
      <c r="D317" s="153" t="s">
        <v>17</v>
      </c>
      <c r="E317" s="31"/>
      <c r="F317" s="373" t="s">
        <v>226</v>
      </c>
      <c r="G317" s="310">
        <f>G316</f>
        <v>100</v>
      </c>
      <c r="H317" s="374">
        <f>'2011 Existing Rates'!$D$36</f>
        <v>0.58220000000000005</v>
      </c>
      <c r="I317" s="193">
        <f>+G317*H317</f>
        <v>58.220000000000006</v>
      </c>
      <c r="J317" s="184">
        <f>+C317</f>
        <v>100</v>
      </c>
      <c r="K317" s="177">
        <f>'Rate Schedule (Part 1)'!$E$30</f>
        <v>0.43319999999999997</v>
      </c>
      <c r="L317" s="197">
        <f>+J317*K317</f>
        <v>43.32</v>
      </c>
      <c r="M317" s="215">
        <f t="shared" si="24"/>
        <v>-14.900000000000006</v>
      </c>
      <c r="N317" s="216">
        <f t="shared" si="25"/>
        <v>-0.25592579869460674</v>
      </c>
      <c r="O317" s="208">
        <f ca="1">L317/L331</f>
        <v>1.1228877502865673E-2</v>
      </c>
      <c r="P317" s="147"/>
    </row>
    <row r="318" spans="2:17" ht="17.25" customHeight="1">
      <c r="B318" s="154"/>
      <c r="C318" s="63"/>
      <c r="D318" s="64"/>
      <c r="E318" s="31"/>
      <c r="F318" s="181" t="s">
        <v>271</v>
      </c>
      <c r="G318" s="203"/>
      <c r="H318" s="202"/>
      <c r="I318" s="193">
        <f>'2011 Existing Rates'!$B$48</f>
        <v>1.45</v>
      </c>
      <c r="J318" s="203"/>
      <c r="K318" s="202"/>
      <c r="L318" s="193"/>
      <c r="M318" s="215">
        <f t="shared" si="24"/>
        <v>-1.45</v>
      </c>
      <c r="N318" s="216">
        <f t="shared" si="25"/>
        <v>-1</v>
      </c>
      <c r="O318" s="208">
        <f ca="1">L318/L331</f>
        <v>0</v>
      </c>
      <c r="P318" s="147"/>
    </row>
    <row r="319" spans="2:17" ht="17.25" customHeight="1" thickBot="1">
      <c r="B319" s="154"/>
      <c r="C319" s="63"/>
      <c r="D319" s="64"/>
      <c r="E319" s="31"/>
      <c r="F319" s="181" t="s">
        <v>227</v>
      </c>
      <c r="G319" s="184">
        <f>G317</f>
        <v>100</v>
      </c>
      <c r="H319" s="178"/>
      <c r="I319" s="193">
        <f>+G319*H319</f>
        <v>0</v>
      </c>
      <c r="J319" s="184">
        <f>G319</f>
        <v>100</v>
      </c>
      <c r="K319" s="177">
        <f>'Rate Schedule (Part 1)'!$E$31</f>
        <v>5.3499999999999999E-2</v>
      </c>
      <c r="L319" s="197">
        <f>+J319*K319</f>
        <v>5.35</v>
      </c>
      <c r="M319" s="215">
        <f t="shared" si="24"/>
        <v>5.35</v>
      </c>
      <c r="N319" s="216" t="e">
        <f t="shared" si="25"/>
        <v>#DIV/0!</v>
      </c>
      <c r="O319" s="208">
        <f ca="1">L319/$L$331</f>
        <v>1.3867611874499386E-3</v>
      </c>
      <c r="P319" s="147"/>
    </row>
    <row r="320" spans="2:17" ht="17.25" customHeight="1">
      <c r="B320" s="154"/>
      <c r="C320" s="63"/>
      <c r="D320" s="64"/>
      <c r="E320" s="31"/>
      <c r="F320" s="419" t="s">
        <v>270</v>
      </c>
      <c r="G320" s="203"/>
      <c r="H320" s="202"/>
      <c r="I320" s="192">
        <v>0</v>
      </c>
      <c r="J320" s="203"/>
      <c r="K320" s="202"/>
      <c r="L320" s="211">
        <f>'2012 Rate Rider'!E9</f>
        <v>0</v>
      </c>
      <c r="M320" s="207">
        <f t="shared" si="24"/>
        <v>0</v>
      </c>
      <c r="N320" s="201" t="e">
        <f t="shared" si="25"/>
        <v>#DIV/0!</v>
      </c>
      <c r="O320" s="208">
        <f ca="1">L320/$L$331</f>
        <v>0</v>
      </c>
      <c r="P320" s="147"/>
    </row>
    <row r="321" spans="2:16" ht="17.25" customHeight="1">
      <c r="B321" s="154"/>
      <c r="C321" s="63"/>
      <c r="D321" s="64"/>
      <c r="E321" s="31"/>
      <c r="F321" s="419" t="s">
        <v>272</v>
      </c>
      <c r="G321" s="203"/>
      <c r="H321" s="202"/>
      <c r="I321" s="193">
        <f>'2011 Existing Rates'!B76</f>
        <v>7.59</v>
      </c>
      <c r="J321" s="194">
        <f>G321</f>
        <v>0</v>
      </c>
      <c r="K321" s="420">
        <f>'2012 Rate Rider'!F9</f>
        <v>0</v>
      </c>
      <c r="L321" s="193">
        <f>+J321*K321</f>
        <v>0</v>
      </c>
      <c r="M321" s="207">
        <f t="shared" si="24"/>
        <v>-7.59</v>
      </c>
      <c r="N321" s="201">
        <f t="shared" si="25"/>
        <v>-1</v>
      </c>
      <c r="O321" s="208">
        <f ca="1">L321/$L$331</f>
        <v>0</v>
      </c>
      <c r="P321" s="147"/>
    </row>
    <row r="322" spans="2:16" ht="17.25" customHeight="1" thickBot="1">
      <c r="B322" s="154"/>
      <c r="C322" s="31"/>
      <c r="D322" s="31"/>
      <c r="E322" s="31"/>
      <c r="F322" s="182" t="s">
        <v>228</v>
      </c>
      <c r="G322" s="184">
        <f>+C317</f>
        <v>100</v>
      </c>
      <c r="H322" s="178">
        <f>'2011 Existing Rates'!$D$23</f>
        <v>5.9561999999999999</v>
      </c>
      <c r="I322" s="197">
        <f>+G322*H322</f>
        <v>595.62</v>
      </c>
      <c r="J322" s="184">
        <f>+C317</f>
        <v>100</v>
      </c>
      <c r="K322" s="177">
        <f>'2012 Rate Rider'!C9</f>
        <v>-3.0967732313535978</v>
      </c>
      <c r="L322" s="197">
        <f>+J322*K322</f>
        <v>-309.67732313535976</v>
      </c>
      <c r="M322" s="215">
        <f t="shared" si="24"/>
        <v>-905.29732313535976</v>
      </c>
      <c r="N322" s="216">
        <f t="shared" si="25"/>
        <v>-1.5199243194240619</v>
      </c>
      <c r="O322" s="208">
        <f ca="1">L322/$L$331</f>
        <v>-8.0270746235048582E-2</v>
      </c>
      <c r="P322" s="147"/>
    </row>
    <row r="323" spans="2:16" ht="17.25" customHeight="1" thickBot="1">
      <c r="B323" s="154"/>
      <c r="C323" s="31"/>
      <c r="D323" s="31"/>
      <c r="E323" s="31"/>
      <c r="F323" s="218" t="s">
        <v>223</v>
      </c>
      <c r="G323" s="530"/>
      <c r="H323" s="531"/>
      <c r="I323" s="220">
        <f>SUM(I315:I322)</f>
        <v>1382.95</v>
      </c>
      <c r="J323" s="530"/>
      <c r="K323" s="531"/>
      <c r="L323" s="220">
        <f>SUM(L315:L322)</f>
        <v>66.332676864640291</v>
      </c>
      <c r="M323" s="222">
        <f>SUM(M315:M322)</f>
        <v>-1316.6173231353596</v>
      </c>
      <c r="N323" s="223">
        <f t="shared" si="25"/>
        <v>-0.95203537592491383</v>
      </c>
      <c r="O323" s="225">
        <f ca="1">SUM(O315:O322)</f>
        <v>1.7193940511316189E-2</v>
      </c>
      <c r="P323" s="147"/>
    </row>
    <row r="324" spans="2:16" ht="17.25" customHeight="1" thickBot="1">
      <c r="B324" s="154"/>
      <c r="C324" s="31"/>
      <c r="D324" s="31"/>
      <c r="E324" s="31"/>
      <c r="F324" s="181" t="s">
        <v>229</v>
      </c>
      <c r="G324" s="348">
        <f>C317</f>
        <v>100</v>
      </c>
      <c r="H324" s="349">
        <f>'Other Electriciy Rates'!$F$12</f>
        <v>3.7480000000000002</v>
      </c>
      <c r="I324" s="193">
        <f>+G324*H324</f>
        <v>374.8</v>
      </c>
      <c r="J324" s="348">
        <f>C317</f>
        <v>100</v>
      </c>
      <c r="K324" s="177">
        <f>'Other Electriciy Rates'!$F$27</f>
        <v>3.814790631678846</v>
      </c>
      <c r="L324" s="193">
        <f>+J324*K324</f>
        <v>381.47906316788459</v>
      </c>
      <c r="M324" s="350">
        <f>+L324-I324</f>
        <v>6.6790631678845784</v>
      </c>
      <c r="N324" s="205">
        <f t="shared" si="25"/>
        <v>1.7820339295316377E-2</v>
      </c>
      <c r="O324" s="208">
        <f ca="1">L324/L331</f>
        <v>9.8882310023548761E-2</v>
      </c>
      <c r="P324" s="147"/>
    </row>
    <row r="325" spans="2:16" ht="17.25" customHeight="1" thickBot="1">
      <c r="B325" s="154"/>
      <c r="C325" s="31"/>
      <c r="D325" s="31"/>
      <c r="E325" s="31"/>
      <c r="F325" s="218" t="s">
        <v>225</v>
      </c>
      <c r="G325" s="530"/>
      <c r="H325" s="531"/>
      <c r="I325" s="220">
        <f>I323+I324</f>
        <v>1757.75</v>
      </c>
      <c r="J325" s="530"/>
      <c r="K325" s="531"/>
      <c r="L325" s="220">
        <f>L323+L324</f>
        <v>447.81174003252488</v>
      </c>
      <c r="M325" s="220">
        <f>M323+M324</f>
        <v>-1309.938259967475</v>
      </c>
      <c r="N325" s="223">
        <f t="shared" si="25"/>
        <v>-0.74523581849948795</v>
      </c>
      <c r="O325" s="351">
        <f ca="1">L325/L331</f>
        <v>0.11607625053486495</v>
      </c>
      <c r="P325" s="147"/>
    </row>
    <row r="326" spans="2:16" ht="17.25" customHeight="1">
      <c r="B326" s="154"/>
      <c r="C326" s="31"/>
      <c r="D326" s="31"/>
      <c r="E326" s="31"/>
      <c r="F326" s="179" t="s">
        <v>77</v>
      </c>
      <c r="G326" s="185">
        <f>C316*'Other Electriciy Rates'!$L$12</f>
        <v>32373</v>
      </c>
      <c r="H326" s="186">
        <f>'Other Electriciy Rates'!$C$12+'Other Electriciy Rates'!$D$12</f>
        <v>1.2986887220832175E-2</v>
      </c>
      <c r="I326" s="187">
        <f>+G326*H326</f>
        <v>420.42449999999997</v>
      </c>
      <c r="J326" s="185">
        <f>C316*'Other Electriciy Rates'!$L$27</f>
        <v>32400.000000000004</v>
      </c>
      <c r="K326" s="186">
        <f>'Other Electriciy Rates'!$C$27+'Other Electriciy Rates'!$D$27</f>
        <v>1.278148148148148E-2</v>
      </c>
      <c r="L326" s="214">
        <f>+J326*K326</f>
        <v>414.12</v>
      </c>
      <c r="M326" s="215">
        <f>+L326-I326</f>
        <v>-6.3044999999999618</v>
      </c>
      <c r="N326" s="216">
        <f t="shared" si="25"/>
        <v>-1.4995558060959726E-2</v>
      </c>
      <c r="O326" s="208">
        <f ca="1">L326/L331</f>
        <v>0.10734309213958293</v>
      </c>
      <c r="P326" s="147"/>
    </row>
    <row r="327" spans="2:16" ht="17.25" customHeight="1">
      <c r="B327" s="154"/>
      <c r="C327" s="31"/>
      <c r="D327" s="31"/>
      <c r="E327" s="31"/>
      <c r="F327" s="179" t="s">
        <v>78</v>
      </c>
      <c r="G327" s="185">
        <f>G326</f>
        <v>32373</v>
      </c>
      <c r="H327" s="186">
        <f>+'Other Electriciy Rates'!$J$12</f>
        <v>7.8770000000000007E-2</v>
      </c>
      <c r="I327" s="187">
        <f>+G327*H327</f>
        <v>2550.0212100000003</v>
      </c>
      <c r="J327" s="185">
        <f>J326</f>
        <v>32400.000000000004</v>
      </c>
      <c r="K327" s="186">
        <f>'Other Electriciy Rates'!$J$27</f>
        <v>7.8770000000000007E-2</v>
      </c>
      <c r="L327" s="214">
        <f>+J327*K327</f>
        <v>2552.1480000000006</v>
      </c>
      <c r="M327" s="215">
        <f>+L327-I327</f>
        <v>2.1267900000002555</v>
      </c>
      <c r="N327" s="216">
        <f t="shared" si="25"/>
        <v>8.3402835696423693E-4</v>
      </c>
      <c r="O327" s="208">
        <f ca="1">L327/L331</f>
        <v>0.66153640953794157</v>
      </c>
      <c r="P327" s="147"/>
    </row>
    <row r="328" spans="2:16" ht="18" customHeight="1" thickBot="1">
      <c r="B328" s="154"/>
      <c r="C328" s="31"/>
      <c r="D328" s="31"/>
      <c r="E328" s="31"/>
      <c r="F328" s="181" t="s">
        <v>235</v>
      </c>
      <c r="G328" s="279">
        <f>G327</f>
        <v>32373</v>
      </c>
      <c r="H328" s="186">
        <f>'2012 Rate Rider'!$G$9</f>
        <v>0</v>
      </c>
      <c r="I328" s="189">
        <f>+G328*H328</f>
        <v>0</v>
      </c>
      <c r="J328" s="279">
        <f>G328</f>
        <v>32373</v>
      </c>
      <c r="K328" s="186">
        <f>'2012 Rate Rider'!$G$9</f>
        <v>0</v>
      </c>
      <c r="L328" s="211">
        <f>+J328*K328</f>
        <v>0</v>
      </c>
      <c r="M328" s="212">
        <f>+L328-I328</f>
        <v>0</v>
      </c>
      <c r="N328" s="213" t="e">
        <f t="shared" si="25"/>
        <v>#DIV/0!</v>
      </c>
      <c r="O328" s="226">
        <f ca="1">L328/L331</f>
        <v>0</v>
      </c>
      <c r="P328" s="147"/>
    </row>
    <row r="329" spans="2:16" ht="17.25" customHeight="1" thickBot="1">
      <c r="B329" s="154"/>
      <c r="C329" s="31"/>
      <c r="D329" s="31"/>
      <c r="E329" s="31"/>
      <c r="F329" s="218" t="s">
        <v>192</v>
      </c>
      <c r="G329" s="530"/>
      <c r="H329" s="531"/>
      <c r="I329" s="220">
        <f>SUM(I325:I328)</f>
        <v>4728.19571</v>
      </c>
      <c r="J329" s="530"/>
      <c r="K329" s="531"/>
      <c r="L329" s="220">
        <f>SUM(L325:L328)</f>
        <v>3414.0797400325255</v>
      </c>
      <c r="M329" s="220">
        <f>SUM(M325:M328)</f>
        <v>-1314.1159699674747</v>
      </c>
      <c r="N329" s="223">
        <f t="shared" si="25"/>
        <v>-0.27793180540055834</v>
      </c>
      <c r="O329" s="351">
        <f ca="1">L329/L331</f>
        <v>0.88495575221238942</v>
      </c>
      <c r="P329" s="147"/>
    </row>
    <row r="330" spans="2:16" ht="17.25" customHeight="1" thickBot="1">
      <c r="B330" s="154"/>
      <c r="C330" s="31"/>
      <c r="D330" s="31"/>
      <c r="E330" s="31"/>
      <c r="F330" s="278" t="s">
        <v>193</v>
      </c>
      <c r="G330" s="279"/>
      <c r="H330" s="283">
        <f ca="1">H306</f>
        <v>0.13</v>
      </c>
      <c r="I330" s="280">
        <f ca="1">I329*H330</f>
        <v>614.6654423</v>
      </c>
      <c r="J330" s="279"/>
      <c r="K330" s="283">
        <f ca="1">K306</f>
        <v>0.13</v>
      </c>
      <c r="L330" s="281">
        <f ca="1">L329*K330</f>
        <v>443.83036620422831</v>
      </c>
      <c r="M330" s="212">
        <f ca="1">+L330-I330</f>
        <v>-170.83507609577168</v>
      </c>
      <c r="N330" s="213">
        <f t="shared" ca="1" si="25"/>
        <v>-0.27793180540055828</v>
      </c>
      <c r="O330" s="226">
        <f ca="1">L330/L331</f>
        <v>0.11504424778761063</v>
      </c>
      <c r="P330" s="147"/>
    </row>
    <row r="331" spans="2:16" ht="17.25" customHeight="1" thickBot="1">
      <c r="B331" s="154"/>
      <c r="C331" s="31"/>
      <c r="D331" s="31"/>
      <c r="E331" s="35"/>
      <c r="F331" s="224" t="s">
        <v>79</v>
      </c>
      <c r="G331" s="530"/>
      <c r="H331" s="531"/>
      <c r="I331" s="220">
        <f ca="1">I329+I330</f>
        <v>5342.8611523</v>
      </c>
      <c r="J331" s="530"/>
      <c r="K331" s="531"/>
      <c r="L331" s="220">
        <f ca="1">L329+L330</f>
        <v>3857.9101062367536</v>
      </c>
      <c r="M331" s="220">
        <f ca="1">M329+M330</f>
        <v>-1484.9510460632464</v>
      </c>
      <c r="N331" s="223">
        <f t="shared" ca="1" si="25"/>
        <v>-0.27793180540055834</v>
      </c>
      <c r="O331" s="225">
        <f ca="1">O329+O330</f>
        <v>1</v>
      </c>
      <c r="P331" s="147"/>
    </row>
    <row r="332" spans="2:16" ht="17.25" customHeight="1" thickBot="1">
      <c r="B332" s="148"/>
      <c r="C332" s="160"/>
      <c r="D332" s="160"/>
      <c r="E332" s="160"/>
      <c r="F332" s="161"/>
      <c r="G332" s="162"/>
      <c r="H332" s="163"/>
      <c r="I332" s="164"/>
      <c r="J332" s="162"/>
      <c r="K332" s="165"/>
      <c r="L332" s="164"/>
      <c r="M332" s="166"/>
      <c r="N332" s="167"/>
      <c r="O332" s="168"/>
      <c r="P332" s="149"/>
    </row>
    <row r="333" spans="2:16" ht="17.25" customHeight="1" thickBot="1">
      <c r="B333" s="25"/>
      <c r="C333" s="31"/>
      <c r="D333" s="31"/>
      <c r="E333" s="31"/>
      <c r="F333" s="49"/>
      <c r="G333" s="50"/>
      <c r="H333" s="51"/>
      <c r="I333" s="52"/>
      <c r="J333" s="50"/>
      <c r="K333" s="53"/>
      <c r="L333" s="52"/>
      <c r="M333" s="54"/>
      <c r="N333" s="157"/>
      <c r="O333" s="158"/>
      <c r="P333" s="25"/>
    </row>
    <row r="334" spans="2:16" ht="17.25" customHeight="1">
      <c r="B334" s="156"/>
      <c r="C334" s="539"/>
      <c r="D334" s="539"/>
      <c r="E334" s="539"/>
      <c r="F334" s="539"/>
      <c r="G334" s="539"/>
      <c r="H334" s="539"/>
      <c r="I334" s="539"/>
      <c r="J334" s="539"/>
      <c r="K334" s="539"/>
      <c r="L334" s="539"/>
      <c r="M334" s="539"/>
      <c r="N334" s="539"/>
      <c r="O334" s="539"/>
      <c r="P334" s="146"/>
    </row>
    <row r="335" spans="2:16" ht="23.25">
      <c r="B335" s="154"/>
      <c r="C335" s="540" t="s">
        <v>91</v>
      </c>
      <c r="D335" s="540"/>
      <c r="E335" s="540"/>
      <c r="F335" s="540"/>
      <c r="G335" s="540"/>
      <c r="H335" s="540"/>
      <c r="I335" s="540"/>
      <c r="J335" s="540"/>
      <c r="K335" s="540"/>
      <c r="L335" s="540"/>
      <c r="M335" s="540"/>
      <c r="N335" s="540"/>
      <c r="O335" s="540"/>
      <c r="P335" s="147"/>
    </row>
    <row r="336" spans="2:16" ht="17.25" customHeight="1" thickBot="1">
      <c r="B336" s="154"/>
      <c r="C336" s="541"/>
      <c r="D336" s="541"/>
      <c r="E336" s="541"/>
      <c r="F336" s="541"/>
      <c r="G336" s="541"/>
      <c r="H336" s="541"/>
      <c r="I336" s="541"/>
      <c r="J336" s="541"/>
      <c r="K336" s="541"/>
      <c r="L336" s="541"/>
      <c r="M336" s="541"/>
      <c r="N336" s="541"/>
      <c r="O336" s="541"/>
      <c r="P336" s="147"/>
    </row>
    <row r="337" spans="2:17" ht="17.25" customHeight="1" thickBot="1">
      <c r="B337" s="154"/>
      <c r="C337" s="155"/>
      <c r="D337" s="155"/>
      <c r="E337" s="31"/>
      <c r="F337" s="32"/>
      <c r="G337" s="534" t="str">
        <f>$G$10</f>
        <v>2011 BILL</v>
      </c>
      <c r="H337" s="535"/>
      <c r="I337" s="536"/>
      <c r="J337" s="534" t="str">
        <f>$J$10</f>
        <v>2012 BILL</v>
      </c>
      <c r="K337" s="535"/>
      <c r="L337" s="536"/>
      <c r="M337" s="534" t="s">
        <v>73</v>
      </c>
      <c r="N337" s="535"/>
      <c r="O337" s="536"/>
      <c r="P337" s="147"/>
    </row>
    <row r="338" spans="2:17" ht="26.25" thickBot="1">
      <c r="B338" s="154"/>
      <c r="C338" s="31"/>
      <c r="D338" s="31"/>
      <c r="E338" s="33"/>
      <c r="F338" s="34"/>
      <c r="G338" s="366" t="s">
        <v>67</v>
      </c>
      <c r="H338" s="367" t="s">
        <v>68</v>
      </c>
      <c r="I338" s="368" t="s">
        <v>69</v>
      </c>
      <c r="J338" s="369" t="s">
        <v>67</v>
      </c>
      <c r="K338" s="367" t="s">
        <v>68</v>
      </c>
      <c r="L338" s="368" t="s">
        <v>69</v>
      </c>
      <c r="M338" s="174" t="s">
        <v>74</v>
      </c>
      <c r="N338" s="175" t="s">
        <v>75</v>
      </c>
      <c r="O338" s="176" t="s">
        <v>76</v>
      </c>
      <c r="P338" s="147"/>
    </row>
    <row r="339" spans="2:17" ht="17.25" customHeight="1" thickBot="1">
      <c r="B339" s="154"/>
      <c r="C339" s="528" t="s">
        <v>70</v>
      </c>
      <c r="D339" s="529"/>
      <c r="E339" s="31"/>
      <c r="F339" s="372" t="s">
        <v>71</v>
      </c>
      <c r="G339" s="370"/>
      <c r="H339" s="364"/>
      <c r="I339" s="187">
        <f>+'2011 Existing Rates'!$C$10</f>
        <v>436.99</v>
      </c>
      <c r="J339" s="185"/>
      <c r="K339" s="365"/>
      <c r="L339" s="214">
        <f>+'Distribution Rate Schedule'!$C$37</f>
        <v>177.32</v>
      </c>
      <c r="M339" s="215">
        <f t="shared" ref="M339:M346" si="26">+L339-I339</f>
        <v>-259.67</v>
      </c>
      <c r="N339" s="216">
        <f t="shared" ref="N339:N355" si="27">+M339/I339</f>
        <v>-0.59422412412183345</v>
      </c>
      <c r="O339" s="208">
        <f ca="1">L339/L355</f>
        <v>1.8976441105139852E-2</v>
      </c>
      <c r="P339" s="361"/>
      <c r="Q339" s="25"/>
    </row>
    <row r="340" spans="2:17" ht="17.25" customHeight="1" thickBot="1">
      <c r="B340" s="154"/>
      <c r="C340" s="152">
        <v>75000</v>
      </c>
      <c r="D340" s="153" t="s">
        <v>16</v>
      </c>
      <c r="E340" s="31"/>
      <c r="F340" s="373" t="s">
        <v>82</v>
      </c>
      <c r="G340" s="371">
        <f>+C341</f>
        <v>250</v>
      </c>
      <c r="H340" s="178">
        <f>'2011 Existing Rates'!$D$62</f>
        <v>2.8308</v>
      </c>
      <c r="I340" s="193">
        <f>+G340*H340</f>
        <v>707.7</v>
      </c>
      <c r="J340" s="184">
        <f>G340</f>
        <v>250</v>
      </c>
      <c r="K340" s="177">
        <f>'Rate Schedule (Part 1)'!$E$29</f>
        <v>1.5002</v>
      </c>
      <c r="L340" s="197">
        <f>+J340*K340</f>
        <v>375.05</v>
      </c>
      <c r="M340" s="215">
        <f t="shared" si="26"/>
        <v>-332.65000000000003</v>
      </c>
      <c r="N340" s="216">
        <f t="shared" si="27"/>
        <v>-0.47004380387169709</v>
      </c>
      <c r="O340" s="208">
        <f ca="1">L340/L355</f>
        <v>4.0137120665929969E-2</v>
      </c>
      <c r="P340" s="147"/>
    </row>
    <row r="341" spans="2:17" ht="17.25" customHeight="1" thickBot="1">
      <c r="B341" s="154"/>
      <c r="C341" s="152">
        <v>250</v>
      </c>
      <c r="D341" s="153" t="s">
        <v>17</v>
      </c>
      <c r="E341" s="31"/>
      <c r="F341" s="373" t="s">
        <v>226</v>
      </c>
      <c r="G341" s="310">
        <f>G340</f>
        <v>250</v>
      </c>
      <c r="H341" s="374">
        <f>'2011 Existing Rates'!$D$36</f>
        <v>0.58220000000000005</v>
      </c>
      <c r="I341" s="193">
        <f>+G341*H341</f>
        <v>145.55000000000001</v>
      </c>
      <c r="J341" s="184">
        <f>+C341</f>
        <v>250</v>
      </c>
      <c r="K341" s="177">
        <f>'Rate Schedule (Part 1)'!$E$30</f>
        <v>0.43319999999999997</v>
      </c>
      <c r="L341" s="197">
        <f>+J341*K341</f>
        <v>108.3</v>
      </c>
      <c r="M341" s="215">
        <f t="shared" si="26"/>
        <v>-37.250000000000014</v>
      </c>
      <c r="N341" s="216">
        <f t="shared" si="27"/>
        <v>-0.25592579869460674</v>
      </c>
      <c r="O341" s="208">
        <f ca="1">L341/L355</f>
        <v>1.1590055107639555E-2</v>
      </c>
      <c r="P341" s="147"/>
    </row>
    <row r="342" spans="2:17" ht="17.25" customHeight="1">
      <c r="B342" s="154"/>
      <c r="C342" s="63"/>
      <c r="D342" s="64"/>
      <c r="E342" s="31"/>
      <c r="F342" s="181" t="s">
        <v>271</v>
      </c>
      <c r="G342" s="203"/>
      <c r="H342" s="202"/>
      <c r="I342" s="193">
        <f>'2011 Existing Rates'!$B$48</f>
        <v>1.45</v>
      </c>
      <c r="J342" s="203"/>
      <c r="K342" s="202"/>
      <c r="L342" s="193">
        <f>L318</f>
        <v>0</v>
      </c>
      <c r="M342" s="215">
        <f t="shared" si="26"/>
        <v>-1.45</v>
      </c>
      <c r="N342" s="216">
        <f t="shared" si="27"/>
        <v>-1</v>
      </c>
      <c r="O342" s="208">
        <f ca="1">L342/L355</f>
        <v>0</v>
      </c>
      <c r="P342" s="147"/>
    </row>
    <row r="343" spans="2:17" ht="17.25" customHeight="1" thickBot="1">
      <c r="B343" s="154"/>
      <c r="C343" s="63"/>
      <c r="D343" s="64"/>
      <c r="E343" s="31"/>
      <c r="F343" s="181" t="s">
        <v>227</v>
      </c>
      <c r="G343" s="184">
        <f>G341</f>
        <v>250</v>
      </c>
      <c r="H343" s="178"/>
      <c r="I343" s="193">
        <f>+G343*H343</f>
        <v>0</v>
      </c>
      <c r="J343" s="184">
        <f>G343</f>
        <v>250</v>
      </c>
      <c r="K343" s="177">
        <f>'Rate Schedule (Part 1)'!$E$31</f>
        <v>5.3499999999999999E-2</v>
      </c>
      <c r="L343" s="197">
        <f>+J343*K343</f>
        <v>13.375</v>
      </c>
      <c r="M343" s="215">
        <f t="shared" si="26"/>
        <v>13.375</v>
      </c>
      <c r="N343" s="216" t="e">
        <f t="shared" si="27"/>
        <v>#DIV/0!</v>
      </c>
      <c r="O343" s="208">
        <f ca="1">L343/$L$355</f>
        <v>1.4313664548908501E-3</v>
      </c>
      <c r="P343" s="147"/>
    </row>
    <row r="344" spans="2:17" ht="17.25" customHeight="1">
      <c r="B344" s="154"/>
      <c r="C344" s="63"/>
      <c r="D344" s="64"/>
      <c r="E344" s="31"/>
      <c r="F344" s="419" t="s">
        <v>270</v>
      </c>
      <c r="G344" s="203"/>
      <c r="H344" s="202"/>
      <c r="I344" s="192">
        <v>0</v>
      </c>
      <c r="J344" s="203"/>
      <c r="K344" s="202"/>
      <c r="L344" s="211">
        <f>$L$320</f>
        <v>0</v>
      </c>
      <c r="M344" s="207">
        <f t="shared" si="26"/>
        <v>0</v>
      </c>
      <c r="N344" s="201" t="e">
        <f t="shared" si="27"/>
        <v>#DIV/0!</v>
      </c>
      <c r="O344" s="208">
        <f ca="1">L344/$L$355</f>
        <v>0</v>
      </c>
      <c r="P344" s="147"/>
    </row>
    <row r="345" spans="2:17" ht="17.25" customHeight="1">
      <c r="B345" s="154"/>
      <c r="C345" s="63"/>
      <c r="D345" s="64"/>
      <c r="E345" s="31"/>
      <c r="F345" s="419" t="s">
        <v>272</v>
      </c>
      <c r="G345" s="203"/>
      <c r="H345" s="202"/>
      <c r="I345" s="193">
        <f>I321</f>
        <v>7.59</v>
      </c>
      <c r="J345" s="194">
        <f>G345</f>
        <v>0</v>
      </c>
      <c r="K345" s="420">
        <f>$K$321</f>
        <v>0</v>
      </c>
      <c r="L345" s="193">
        <f>+J345*K345</f>
        <v>0</v>
      </c>
      <c r="M345" s="207">
        <f t="shared" si="26"/>
        <v>-7.59</v>
      </c>
      <c r="N345" s="201">
        <f t="shared" si="27"/>
        <v>-1</v>
      </c>
      <c r="O345" s="208">
        <f ca="1">L345/$L$355</f>
        <v>0</v>
      </c>
      <c r="P345" s="147"/>
    </row>
    <row r="346" spans="2:17" ht="17.25" customHeight="1" thickBot="1">
      <c r="B346" s="154"/>
      <c r="C346" s="31"/>
      <c r="D346" s="31"/>
      <c r="E346" s="31"/>
      <c r="F346" s="182" t="s">
        <v>228</v>
      </c>
      <c r="G346" s="184">
        <f>+C341</f>
        <v>250</v>
      </c>
      <c r="H346" s="178">
        <f>'2011 Existing Rates'!$D$23</f>
        <v>5.9561999999999999</v>
      </c>
      <c r="I346" s="197">
        <f>+G346*H346</f>
        <v>1489.05</v>
      </c>
      <c r="J346" s="184">
        <f>+C341</f>
        <v>250</v>
      </c>
      <c r="K346" s="177">
        <f>K322</f>
        <v>-3.0967732313535978</v>
      </c>
      <c r="L346" s="197">
        <f>+J346*K346</f>
        <v>-774.19330783839951</v>
      </c>
      <c r="M346" s="215">
        <f t="shared" si="26"/>
        <v>-2263.2433078383992</v>
      </c>
      <c r="N346" s="216">
        <f t="shared" si="27"/>
        <v>-1.5199243194240619</v>
      </c>
      <c r="O346" s="208">
        <f ca="1">L346/$L$355</f>
        <v>-8.2852660219878166E-2</v>
      </c>
      <c r="P346" s="147"/>
    </row>
    <row r="347" spans="2:17" ht="17.25" customHeight="1" thickBot="1">
      <c r="B347" s="154"/>
      <c r="C347" s="31"/>
      <c r="D347" s="31"/>
      <c r="E347" s="31"/>
      <c r="F347" s="218" t="s">
        <v>223</v>
      </c>
      <c r="G347" s="530"/>
      <c r="H347" s="531"/>
      <c r="I347" s="220">
        <f>SUM(I339:I346)</f>
        <v>2788.33</v>
      </c>
      <c r="J347" s="530"/>
      <c r="K347" s="531"/>
      <c r="L347" s="220">
        <f>SUM(L339:L346)</f>
        <v>-100.14830783839955</v>
      </c>
      <c r="M347" s="222">
        <f>SUM(M339:M346)</f>
        <v>-2888.4783078383994</v>
      </c>
      <c r="N347" s="223">
        <f t="shared" si="27"/>
        <v>-1.0359169495140099</v>
      </c>
      <c r="O347" s="225">
        <f ca="1">SUM(O339:O346)</f>
        <v>-1.0717676886277935E-2</v>
      </c>
      <c r="P347" s="147"/>
    </row>
    <row r="348" spans="2:17" ht="17.25" customHeight="1" thickBot="1">
      <c r="B348" s="154"/>
      <c r="C348" s="31"/>
      <c r="D348" s="31"/>
      <c r="E348" s="31"/>
      <c r="F348" s="181" t="s">
        <v>229</v>
      </c>
      <c r="G348" s="348">
        <f>C341</f>
        <v>250</v>
      </c>
      <c r="H348" s="349">
        <f>'Other Electriciy Rates'!$F$12</f>
        <v>3.7480000000000002</v>
      </c>
      <c r="I348" s="193">
        <f>+G348*H348</f>
        <v>937</v>
      </c>
      <c r="J348" s="348">
        <f>C341</f>
        <v>250</v>
      </c>
      <c r="K348" s="177">
        <f>'Other Electriciy Rates'!$F$27</f>
        <v>3.814790631678846</v>
      </c>
      <c r="L348" s="193">
        <f>+J348*K348</f>
        <v>953.69765791971156</v>
      </c>
      <c r="M348" s="350">
        <f>+L348-I348</f>
        <v>16.69765791971156</v>
      </c>
      <c r="N348" s="205">
        <f t="shared" si="27"/>
        <v>1.7820339295316498E-2</v>
      </c>
      <c r="O348" s="208">
        <f ca="1">L348/L355</f>
        <v>0.10206286621713975</v>
      </c>
      <c r="P348" s="147"/>
    </row>
    <row r="349" spans="2:17" ht="17.25" customHeight="1" thickBot="1">
      <c r="B349" s="154"/>
      <c r="C349" s="31"/>
      <c r="D349" s="31"/>
      <c r="E349" s="31"/>
      <c r="F349" s="218" t="s">
        <v>225</v>
      </c>
      <c r="G349" s="530"/>
      <c r="H349" s="531"/>
      <c r="I349" s="220">
        <f>I347+I348</f>
        <v>3725.33</v>
      </c>
      <c r="J349" s="530"/>
      <c r="K349" s="531"/>
      <c r="L349" s="220">
        <f>L347+L348</f>
        <v>853.54935008131201</v>
      </c>
      <c r="M349" s="220">
        <f>M347+M348</f>
        <v>-2871.7806499186877</v>
      </c>
      <c r="N349" s="223">
        <f t="shared" si="27"/>
        <v>-0.77087953279808441</v>
      </c>
      <c r="O349" s="351">
        <f ca="1">L349/L355</f>
        <v>9.1345189330861803E-2</v>
      </c>
      <c r="P349" s="147"/>
    </row>
    <row r="350" spans="2:17" ht="17.25" customHeight="1">
      <c r="B350" s="154"/>
      <c r="C350" s="31"/>
      <c r="D350" s="31"/>
      <c r="E350" s="31"/>
      <c r="F350" s="179" t="s">
        <v>77</v>
      </c>
      <c r="G350" s="185">
        <f>C340*'Other Electriciy Rates'!$L$12</f>
        <v>80932.5</v>
      </c>
      <c r="H350" s="186">
        <f>'Other Electriciy Rates'!$C$12+'Other Electriciy Rates'!$D$12</f>
        <v>1.2986887220832175E-2</v>
      </c>
      <c r="I350" s="187">
        <f>+G350*H350</f>
        <v>1051.06125</v>
      </c>
      <c r="J350" s="185">
        <f>C340*'Other Electriciy Rates'!$L$27</f>
        <v>81000</v>
      </c>
      <c r="K350" s="186">
        <f>'Other Electriciy Rates'!$C$27+'Other Electriciy Rates'!$D$27</f>
        <v>1.278148148148148E-2</v>
      </c>
      <c r="L350" s="214">
        <f>+J350*K350</f>
        <v>1035.3</v>
      </c>
      <c r="M350" s="215">
        <f>+L350-I350</f>
        <v>-15.761250000000018</v>
      </c>
      <c r="N350" s="216">
        <f t="shared" si="27"/>
        <v>-1.4995558060959834E-2</v>
      </c>
      <c r="O350" s="208">
        <f ca="1">L350/L355</f>
        <v>0.11079578996250446</v>
      </c>
      <c r="P350" s="147"/>
    </row>
    <row r="351" spans="2:17" ht="17.25" customHeight="1">
      <c r="B351" s="154"/>
      <c r="C351" s="31"/>
      <c r="D351" s="31"/>
      <c r="E351" s="31"/>
      <c r="F351" s="179" t="s">
        <v>78</v>
      </c>
      <c r="G351" s="185">
        <f>G350</f>
        <v>80932.5</v>
      </c>
      <c r="H351" s="186">
        <f>+'Other Electriciy Rates'!$J$12</f>
        <v>7.8770000000000007E-2</v>
      </c>
      <c r="I351" s="187">
        <f>+G351*H351</f>
        <v>6375.0530250000002</v>
      </c>
      <c r="J351" s="185">
        <f>J350</f>
        <v>81000</v>
      </c>
      <c r="K351" s="186">
        <f>'Other Electriciy Rates'!$J$27</f>
        <v>7.8770000000000007E-2</v>
      </c>
      <c r="L351" s="214">
        <f>+J351*K351</f>
        <v>6380.3700000000008</v>
      </c>
      <c r="M351" s="215">
        <f>+L351-I351</f>
        <v>5.3169750000006388</v>
      </c>
      <c r="N351" s="216">
        <f t="shared" si="27"/>
        <v>8.3402835696423693E-4</v>
      </c>
      <c r="O351" s="208">
        <f ca="1">L351/L355</f>
        <v>0.68281477291902315</v>
      </c>
      <c r="P351" s="147"/>
    </row>
    <row r="352" spans="2:17" ht="18" customHeight="1" thickBot="1">
      <c r="B352" s="154"/>
      <c r="C352" s="31"/>
      <c r="D352" s="31"/>
      <c r="E352" s="31"/>
      <c r="F352" s="181" t="s">
        <v>235</v>
      </c>
      <c r="G352" s="279">
        <f>G351</f>
        <v>80932.5</v>
      </c>
      <c r="H352" s="186">
        <f>'2012 Rate Rider'!$G$9</f>
        <v>0</v>
      </c>
      <c r="I352" s="189">
        <f>+G352*H352</f>
        <v>0</v>
      </c>
      <c r="J352" s="279">
        <f>G352</f>
        <v>80932.5</v>
      </c>
      <c r="K352" s="186">
        <f>'2012 Rate Rider'!$G$9</f>
        <v>0</v>
      </c>
      <c r="L352" s="211">
        <f>+J352*K352</f>
        <v>0</v>
      </c>
      <c r="M352" s="212">
        <f>+L352-I352</f>
        <v>0</v>
      </c>
      <c r="N352" s="213" t="e">
        <f t="shared" si="27"/>
        <v>#DIV/0!</v>
      </c>
      <c r="O352" s="226">
        <f ca="1">L352/L355</f>
        <v>0</v>
      </c>
      <c r="P352" s="147"/>
    </row>
    <row r="353" spans="2:17" ht="17.25" customHeight="1" thickBot="1">
      <c r="B353" s="154"/>
      <c r="C353" s="31"/>
      <c r="D353" s="31"/>
      <c r="E353" s="31"/>
      <c r="F353" s="218" t="s">
        <v>192</v>
      </c>
      <c r="G353" s="530"/>
      <c r="H353" s="531"/>
      <c r="I353" s="220">
        <f>SUM(I349:I352)</f>
        <v>11151.444275</v>
      </c>
      <c r="J353" s="530"/>
      <c r="K353" s="531"/>
      <c r="L353" s="220">
        <f>SUM(L349:L352)</f>
        <v>8269.2193500813119</v>
      </c>
      <c r="M353" s="220">
        <f>SUM(M349:M352)</f>
        <v>-2882.2249249186871</v>
      </c>
      <c r="N353" s="223">
        <f t="shared" si="27"/>
        <v>-0.25846203001527235</v>
      </c>
      <c r="O353" s="351">
        <f ca="1">L353/L355</f>
        <v>0.88495575221238931</v>
      </c>
      <c r="P353" s="147"/>
    </row>
    <row r="354" spans="2:17" ht="17.25" customHeight="1" thickBot="1">
      <c r="B354" s="154"/>
      <c r="C354" s="31"/>
      <c r="D354" s="31"/>
      <c r="E354" s="31"/>
      <c r="F354" s="278" t="s">
        <v>193</v>
      </c>
      <c r="G354" s="279"/>
      <c r="H354" s="283">
        <f ca="1">H330</f>
        <v>0.13</v>
      </c>
      <c r="I354" s="280">
        <f ca="1">I353*H354</f>
        <v>1449.68775575</v>
      </c>
      <c r="J354" s="279"/>
      <c r="K354" s="283">
        <f ca="1">K330</f>
        <v>0.13</v>
      </c>
      <c r="L354" s="281">
        <f ca="1">L353*K354</f>
        <v>1074.9985155105705</v>
      </c>
      <c r="M354" s="212">
        <f ca="1">+L354-I354</f>
        <v>-374.68924023942941</v>
      </c>
      <c r="N354" s="213">
        <f t="shared" ca="1" si="27"/>
        <v>-0.2584620300152724</v>
      </c>
      <c r="O354" s="226">
        <f ca="1">L354/L355</f>
        <v>0.1150442477876106</v>
      </c>
      <c r="P354" s="147"/>
    </row>
    <row r="355" spans="2:17" ht="17.25" customHeight="1" thickBot="1">
      <c r="B355" s="154"/>
      <c r="C355" s="31"/>
      <c r="D355" s="31"/>
      <c r="E355" s="35"/>
      <c r="F355" s="224" t="s">
        <v>79</v>
      </c>
      <c r="G355" s="530"/>
      <c r="H355" s="531"/>
      <c r="I355" s="220">
        <f ca="1">I353+I354</f>
        <v>12601.132030749999</v>
      </c>
      <c r="J355" s="530"/>
      <c r="K355" s="531"/>
      <c r="L355" s="220">
        <f ca="1">L353+L354</f>
        <v>9344.2178655918833</v>
      </c>
      <c r="M355" s="220">
        <f ca="1">M353+M354</f>
        <v>-3256.9141651581167</v>
      </c>
      <c r="N355" s="223">
        <f t="shared" ca="1" si="27"/>
        <v>-0.2584620300152724</v>
      </c>
      <c r="O355" s="225">
        <f ca="1">O353+O354</f>
        <v>0.99999999999999989</v>
      </c>
      <c r="P355" s="147"/>
    </row>
    <row r="356" spans="2:17" ht="17.25" customHeight="1" thickBot="1">
      <c r="B356" s="148"/>
      <c r="C356" s="160"/>
      <c r="D356" s="160"/>
      <c r="E356" s="160"/>
      <c r="F356" s="161"/>
      <c r="G356" s="162"/>
      <c r="H356" s="163"/>
      <c r="I356" s="164"/>
      <c r="J356" s="162"/>
      <c r="K356" s="165"/>
      <c r="L356" s="164"/>
      <c r="M356" s="166"/>
      <c r="N356" s="167"/>
      <c r="O356" s="168"/>
      <c r="P356" s="149"/>
    </row>
    <row r="357" spans="2:17" ht="18" customHeight="1" thickBot="1">
      <c r="B357" s="25"/>
      <c r="C357" s="31"/>
      <c r="D357" s="31"/>
      <c r="E357" s="31"/>
      <c r="F357" s="49"/>
      <c r="G357" s="50"/>
      <c r="H357" s="51"/>
      <c r="I357" s="52"/>
      <c r="J357" s="50"/>
      <c r="K357" s="53"/>
      <c r="L357" s="52"/>
      <c r="M357" s="54"/>
      <c r="N357" s="157"/>
      <c r="O357" s="158"/>
      <c r="P357" s="25"/>
    </row>
    <row r="358" spans="2:17" ht="17.25" customHeight="1">
      <c r="B358" s="156"/>
      <c r="C358" s="539"/>
      <c r="D358" s="539"/>
      <c r="E358" s="539"/>
      <c r="F358" s="539"/>
      <c r="G358" s="539"/>
      <c r="H358" s="539"/>
      <c r="I358" s="539"/>
      <c r="J358" s="539"/>
      <c r="K358" s="539"/>
      <c r="L358" s="539"/>
      <c r="M358" s="539"/>
      <c r="N358" s="539"/>
      <c r="O358" s="539"/>
      <c r="P358" s="146"/>
    </row>
    <row r="359" spans="2:17" ht="23.25">
      <c r="B359" s="154"/>
      <c r="C359" s="540" t="s">
        <v>91</v>
      </c>
      <c r="D359" s="540"/>
      <c r="E359" s="540"/>
      <c r="F359" s="540"/>
      <c r="G359" s="540"/>
      <c r="H359" s="540"/>
      <c r="I359" s="540"/>
      <c r="J359" s="540"/>
      <c r="K359" s="540"/>
      <c r="L359" s="540"/>
      <c r="M359" s="540"/>
      <c r="N359" s="540"/>
      <c r="O359" s="540"/>
      <c r="P359" s="147"/>
    </row>
    <row r="360" spans="2:17" ht="17.25" customHeight="1" thickBot="1">
      <c r="B360" s="154"/>
      <c r="C360" s="541"/>
      <c r="D360" s="541"/>
      <c r="E360" s="541"/>
      <c r="F360" s="541"/>
      <c r="G360" s="541"/>
      <c r="H360" s="541"/>
      <c r="I360" s="541"/>
      <c r="J360" s="541"/>
      <c r="K360" s="541"/>
      <c r="L360" s="541"/>
      <c r="M360" s="541"/>
      <c r="N360" s="541"/>
      <c r="O360" s="541"/>
      <c r="P360" s="147"/>
    </row>
    <row r="361" spans="2:17" ht="17.25" customHeight="1" thickBot="1">
      <c r="B361" s="154"/>
      <c r="C361" s="155"/>
      <c r="D361" s="155"/>
      <c r="E361" s="31"/>
      <c r="F361" s="32"/>
      <c r="G361" s="534" t="str">
        <f>$G$10</f>
        <v>2011 BILL</v>
      </c>
      <c r="H361" s="535"/>
      <c r="I361" s="536"/>
      <c r="J361" s="534" t="str">
        <f>$J$10</f>
        <v>2012 BILL</v>
      </c>
      <c r="K361" s="535"/>
      <c r="L361" s="536"/>
      <c r="M361" s="534" t="s">
        <v>73</v>
      </c>
      <c r="N361" s="535"/>
      <c r="O361" s="536"/>
      <c r="P361" s="147"/>
    </row>
    <row r="362" spans="2:17" ht="26.25" thickBot="1">
      <c r="B362" s="154"/>
      <c r="C362" s="31"/>
      <c r="D362" s="31"/>
      <c r="E362" s="33"/>
      <c r="F362" s="34"/>
      <c r="G362" s="366" t="s">
        <v>67</v>
      </c>
      <c r="H362" s="367" t="s">
        <v>68</v>
      </c>
      <c r="I362" s="368" t="s">
        <v>69</v>
      </c>
      <c r="J362" s="369" t="s">
        <v>67</v>
      </c>
      <c r="K362" s="367" t="s">
        <v>68</v>
      </c>
      <c r="L362" s="368" t="s">
        <v>69</v>
      </c>
      <c r="M362" s="174" t="s">
        <v>74</v>
      </c>
      <c r="N362" s="175" t="s">
        <v>75</v>
      </c>
      <c r="O362" s="176" t="s">
        <v>76</v>
      </c>
      <c r="P362" s="147"/>
    </row>
    <row r="363" spans="2:17" ht="17.25" customHeight="1" thickBot="1">
      <c r="B363" s="154"/>
      <c r="C363" s="528" t="s">
        <v>70</v>
      </c>
      <c r="D363" s="529"/>
      <c r="E363" s="31"/>
      <c r="F363" s="372" t="s">
        <v>71</v>
      </c>
      <c r="G363" s="370"/>
      <c r="H363" s="364"/>
      <c r="I363" s="187">
        <f>+'2011 Existing Rates'!$C$10</f>
        <v>436.99</v>
      </c>
      <c r="J363" s="185"/>
      <c r="K363" s="365"/>
      <c r="L363" s="214">
        <f>+'Distribution Rate Schedule'!$C$37</f>
        <v>177.32</v>
      </c>
      <c r="M363" s="215">
        <f t="shared" ref="M363:M370" si="28">+L363-I363</f>
        <v>-259.67</v>
      </c>
      <c r="N363" s="216">
        <f t="shared" ref="N363:N379" si="29">+M363/I363</f>
        <v>-0.59422412412183345</v>
      </c>
      <c r="O363" s="208">
        <f ca="1">L363/L379</f>
        <v>1.4250457558182272E-2</v>
      </c>
      <c r="P363" s="361"/>
      <c r="Q363" s="25"/>
    </row>
    <row r="364" spans="2:17" ht="17.25" customHeight="1" thickBot="1">
      <c r="B364" s="154"/>
      <c r="C364" s="152">
        <v>100000</v>
      </c>
      <c r="D364" s="153" t="s">
        <v>16</v>
      </c>
      <c r="E364" s="31"/>
      <c r="F364" s="373" t="s">
        <v>82</v>
      </c>
      <c r="G364" s="371">
        <f>+C365</f>
        <v>350</v>
      </c>
      <c r="H364" s="178">
        <f>'2011 Existing Rates'!$D$62</f>
        <v>2.8308</v>
      </c>
      <c r="I364" s="193">
        <f>+G364*H364</f>
        <v>990.78</v>
      </c>
      <c r="J364" s="184">
        <f>G364</f>
        <v>350</v>
      </c>
      <c r="K364" s="177">
        <f>'Rate Schedule (Part 1)'!$E$29</f>
        <v>1.5002</v>
      </c>
      <c r="L364" s="197">
        <f>+J364*K364</f>
        <v>525.06999999999994</v>
      </c>
      <c r="M364" s="215">
        <f t="shared" si="28"/>
        <v>-465.71000000000004</v>
      </c>
      <c r="N364" s="216">
        <f t="shared" si="29"/>
        <v>-0.47004380387169709</v>
      </c>
      <c r="O364" s="208">
        <f ca="1">L364/L379</f>
        <v>4.219765254948548E-2</v>
      </c>
      <c r="P364" s="147"/>
    </row>
    <row r="365" spans="2:17" ht="17.25" customHeight="1" thickBot="1">
      <c r="B365" s="154"/>
      <c r="C365" s="152">
        <v>350</v>
      </c>
      <c r="D365" s="153" t="s">
        <v>17</v>
      </c>
      <c r="E365" s="31"/>
      <c r="F365" s="373" t="s">
        <v>226</v>
      </c>
      <c r="G365" s="310">
        <f>G364</f>
        <v>350</v>
      </c>
      <c r="H365" s="374">
        <f>'2011 Existing Rates'!$D$36</f>
        <v>0.58220000000000005</v>
      </c>
      <c r="I365" s="193">
        <f>+G365*H365</f>
        <v>203.77</v>
      </c>
      <c r="J365" s="184">
        <f>+C365</f>
        <v>350</v>
      </c>
      <c r="K365" s="177">
        <f>'Rate Schedule (Part 1)'!$E$30</f>
        <v>0.43319999999999997</v>
      </c>
      <c r="L365" s="197">
        <f>+J365*K365</f>
        <v>151.62</v>
      </c>
      <c r="M365" s="215">
        <f t="shared" si="28"/>
        <v>-52.150000000000006</v>
      </c>
      <c r="N365" s="216">
        <f t="shared" si="29"/>
        <v>-0.25592579869460669</v>
      </c>
      <c r="O365" s="208">
        <f ca="1">L365/L379</f>
        <v>1.2185057381973813E-2</v>
      </c>
      <c r="P365" s="147"/>
    </row>
    <row r="366" spans="2:17" ht="17.25" customHeight="1">
      <c r="B366" s="154"/>
      <c r="C366" s="63"/>
      <c r="D366" s="64"/>
      <c r="E366" s="31"/>
      <c r="F366" s="181" t="s">
        <v>271</v>
      </c>
      <c r="G366" s="203"/>
      <c r="H366" s="202"/>
      <c r="I366" s="193">
        <f>'2011 Existing Rates'!$B$48</f>
        <v>1.45</v>
      </c>
      <c r="J366" s="203"/>
      <c r="K366" s="202"/>
      <c r="L366" s="193">
        <f>L318</f>
        <v>0</v>
      </c>
      <c r="M366" s="215">
        <f t="shared" si="28"/>
        <v>-1.45</v>
      </c>
      <c r="N366" s="216">
        <f t="shared" si="29"/>
        <v>-1</v>
      </c>
      <c r="O366" s="208">
        <f ca="1">L366/L379</f>
        <v>0</v>
      </c>
      <c r="P366" s="147"/>
    </row>
    <row r="367" spans="2:17" ht="17.25" customHeight="1" thickBot="1">
      <c r="B367" s="154"/>
      <c r="C367" s="63"/>
      <c r="D367" s="64"/>
      <c r="E367" s="31"/>
      <c r="F367" s="181" t="s">
        <v>227</v>
      </c>
      <c r="G367" s="184">
        <f>G365</f>
        <v>350</v>
      </c>
      <c r="H367" s="178"/>
      <c r="I367" s="193">
        <f>+G367*H367</f>
        <v>0</v>
      </c>
      <c r="J367" s="184">
        <f>G367</f>
        <v>350</v>
      </c>
      <c r="K367" s="177">
        <f>'Rate Schedule (Part 1)'!$E$31</f>
        <v>5.3499999999999999E-2</v>
      </c>
      <c r="L367" s="197">
        <f>+J367*K367</f>
        <v>18.724999999999998</v>
      </c>
      <c r="M367" s="215">
        <f t="shared" si="28"/>
        <v>18.724999999999998</v>
      </c>
      <c r="N367" s="216" t="e">
        <f t="shared" si="29"/>
        <v>#DIV/0!</v>
      </c>
      <c r="O367" s="208">
        <f ca="1">L367/$L$379</f>
        <v>1.5048489610701727E-3</v>
      </c>
      <c r="P367" s="147"/>
    </row>
    <row r="368" spans="2:17" ht="17.25" customHeight="1">
      <c r="B368" s="154"/>
      <c r="C368" s="63"/>
      <c r="D368" s="64"/>
      <c r="E368" s="31"/>
      <c r="F368" s="419" t="s">
        <v>270</v>
      </c>
      <c r="G368" s="203"/>
      <c r="H368" s="202"/>
      <c r="I368" s="192">
        <v>0</v>
      </c>
      <c r="J368" s="203"/>
      <c r="K368" s="202"/>
      <c r="L368" s="211">
        <f>$L$320</f>
        <v>0</v>
      </c>
      <c r="M368" s="207">
        <f t="shared" si="28"/>
        <v>0</v>
      </c>
      <c r="N368" s="201" t="e">
        <f t="shared" si="29"/>
        <v>#DIV/0!</v>
      </c>
      <c r="O368" s="208">
        <f ca="1">L368/$L$379</f>
        <v>0</v>
      </c>
      <c r="P368" s="147"/>
    </row>
    <row r="369" spans="2:16" ht="17.25" customHeight="1">
      <c r="B369" s="154"/>
      <c r="C369" s="63"/>
      <c r="D369" s="64"/>
      <c r="E369" s="31"/>
      <c r="F369" s="419" t="s">
        <v>272</v>
      </c>
      <c r="G369" s="203"/>
      <c r="H369" s="202"/>
      <c r="I369" s="193">
        <f>I321</f>
        <v>7.59</v>
      </c>
      <c r="J369" s="194">
        <f>G369</f>
        <v>0</v>
      </c>
      <c r="K369" s="420">
        <f>$K$321</f>
        <v>0</v>
      </c>
      <c r="L369" s="193">
        <f>+J369*K369</f>
        <v>0</v>
      </c>
      <c r="M369" s="207">
        <f t="shared" si="28"/>
        <v>-7.59</v>
      </c>
      <c r="N369" s="201">
        <f t="shared" si="29"/>
        <v>-1</v>
      </c>
      <c r="O369" s="208">
        <f ca="1">L369/$L$379</f>
        <v>0</v>
      </c>
      <c r="P369" s="147"/>
    </row>
    <row r="370" spans="2:16" ht="17.25" customHeight="1" thickBot="1">
      <c r="B370" s="154"/>
      <c r="C370" s="31"/>
      <c r="D370" s="31"/>
      <c r="E370" s="31"/>
      <c r="F370" s="182" t="s">
        <v>228</v>
      </c>
      <c r="G370" s="184">
        <f>+C365</f>
        <v>350</v>
      </c>
      <c r="H370" s="178">
        <f>'2011 Existing Rates'!$D$23</f>
        <v>5.9561999999999999</v>
      </c>
      <c r="I370" s="197">
        <f>+G370*H370</f>
        <v>2084.67</v>
      </c>
      <c r="J370" s="184">
        <f>+C365</f>
        <v>350</v>
      </c>
      <c r="K370" s="177">
        <f>K322</f>
        <v>-3.0967732313535978</v>
      </c>
      <c r="L370" s="197">
        <f>+J370*K370</f>
        <v>-1083.8706309737593</v>
      </c>
      <c r="M370" s="215">
        <f t="shared" si="28"/>
        <v>-3168.5406309737591</v>
      </c>
      <c r="N370" s="216">
        <f t="shared" si="29"/>
        <v>-1.5199243194240619</v>
      </c>
      <c r="O370" s="208">
        <f ca="1">L370/$L$379</f>
        <v>-8.7106093081726801E-2</v>
      </c>
      <c r="P370" s="147"/>
    </row>
    <row r="371" spans="2:16" ht="17.25" customHeight="1" thickBot="1">
      <c r="B371" s="154"/>
      <c r="C371" s="31"/>
      <c r="D371" s="31"/>
      <c r="E371" s="31"/>
      <c r="F371" s="218" t="s">
        <v>223</v>
      </c>
      <c r="G371" s="530"/>
      <c r="H371" s="531"/>
      <c r="I371" s="220">
        <f>SUM(I363:I370)</f>
        <v>3725.25</v>
      </c>
      <c r="J371" s="530"/>
      <c r="K371" s="531"/>
      <c r="L371" s="220">
        <f>SUM(L363:L370)</f>
        <v>-211.13563097375936</v>
      </c>
      <c r="M371" s="222">
        <f>SUM(M363:M370)</f>
        <v>-3936.3856309737594</v>
      </c>
      <c r="N371" s="223">
        <f t="shared" si="29"/>
        <v>-1.0566769024827218</v>
      </c>
      <c r="O371" s="225">
        <f ca="1">SUM(O363:O370)</f>
        <v>-1.6968076631015058E-2</v>
      </c>
      <c r="P371" s="147"/>
    </row>
    <row r="372" spans="2:16" ht="17.25" customHeight="1" thickBot="1">
      <c r="B372" s="154"/>
      <c r="C372" s="31"/>
      <c r="D372" s="31"/>
      <c r="E372" s="31"/>
      <c r="F372" s="181" t="s">
        <v>229</v>
      </c>
      <c r="G372" s="348">
        <f>C365</f>
        <v>350</v>
      </c>
      <c r="H372" s="349">
        <f>'Other Electriciy Rates'!$F$12</f>
        <v>3.7480000000000002</v>
      </c>
      <c r="I372" s="193">
        <f>+G372*H372</f>
        <v>1311.8000000000002</v>
      </c>
      <c r="J372" s="348">
        <f>C365</f>
        <v>350</v>
      </c>
      <c r="K372" s="177">
        <f>'Other Electriciy Rates'!$F$27</f>
        <v>3.814790631678846</v>
      </c>
      <c r="L372" s="193">
        <f>+J372*K372</f>
        <v>1335.1767210875962</v>
      </c>
      <c r="M372" s="350">
        <f>+L372-I372</f>
        <v>23.376721087596025</v>
      </c>
      <c r="N372" s="205">
        <f t="shared" si="29"/>
        <v>1.7820339295316377E-2</v>
      </c>
      <c r="O372" s="208">
        <f ca="1">L372/L379</f>
        <v>0.10730249941648862</v>
      </c>
      <c r="P372" s="147"/>
    </row>
    <row r="373" spans="2:16" ht="17.25" customHeight="1" thickBot="1">
      <c r="B373" s="154"/>
      <c r="C373" s="31"/>
      <c r="D373" s="31"/>
      <c r="E373" s="31"/>
      <c r="F373" s="218" t="s">
        <v>225</v>
      </c>
      <c r="G373" s="530"/>
      <c r="H373" s="531"/>
      <c r="I373" s="220">
        <f>I371+I372</f>
        <v>5037.05</v>
      </c>
      <c r="J373" s="530"/>
      <c r="K373" s="531"/>
      <c r="L373" s="220">
        <f>L371+L372</f>
        <v>1124.0410901138368</v>
      </c>
      <c r="M373" s="220">
        <f>M371+M372</f>
        <v>-3913.0089098861636</v>
      </c>
      <c r="N373" s="223">
        <f t="shared" si="29"/>
        <v>-0.77684535787537612</v>
      </c>
      <c r="O373" s="351">
        <f ca="1">L373/L379</f>
        <v>9.0334422785473545E-2</v>
      </c>
      <c r="P373" s="147"/>
    </row>
    <row r="374" spans="2:16" ht="17.25" customHeight="1">
      <c r="B374" s="154"/>
      <c r="C374" s="31"/>
      <c r="D374" s="31"/>
      <c r="E374" s="31"/>
      <c r="F374" s="179" t="s">
        <v>77</v>
      </c>
      <c r="G374" s="185">
        <f>C364*'Other Electriciy Rates'!$L$12</f>
        <v>107910</v>
      </c>
      <c r="H374" s="186">
        <f>'Other Electriciy Rates'!$C$12+'Other Electriciy Rates'!$D$12</f>
        <v>1.2986887220832175E-2</v>
      </c>
      <c r="I374" s="187">
        <f>+G374*H374</f>
        <v>1401.415</v>
      </c>
      <c r="J374" s="185">
        <f>C364*'Other Electriciy Rates'!$L$27</f>
        <v>108000</v>
      </c>
      <c r="K374" s="186">
        <f>'Other Electriciy Rates'!$C$27+'Other Electriciy Rates'!$D$27</f>
        <v>1.278148148148148E-2</v>
      </c>
      <c r="L374" s="214">
        <f>+J374*K374</f>
        <v>1380.3999999999999</v>
      </c>
      <c r="M374" s="215">
        <f>+L374-I374</f>
        <v>-21.0150000000001</v>
      </c>
      <c r="N374" s="216">
        <f t="shared" si="29"/>
        <v>-1.4995558060959887E-2</v>
      </c>
      <c r="O374" s="208">
        <f ca="1">L374/L379</f>
        <v>0.11093690284973386</v>
      </c>
      <c r="P374" s="147"/>
    </row>
    <row r="375" spans="2:16" ht="17.25" customHeight="1">
      <c r="B375" s="154"/>
      <c r="C375" s="31"/>
      <c r="D375" s="31"/>
      <c r="E375" s="31"/>
      <c r="F375" s="179" t="s">
        <v>78</v>
      </c>
      <c r="G375" s="185">
        <f>G374</f>
        <v>107910</v>
      </c>
      <c r="H375" s="186">
        <f>+'Other Electriciy Rates'!$J$12</f>
        <v>7.8770000000000007E-2</v>
      </c>
      <c r="I375" s="187">
        <f>+G375*H375</f>
        <v>8500.0707000000002</v>
      </c>
      <c r="J375" s="185">
        <f>J374</f>
        <v>108000</v>
      </c>
      <c r="K375" s="186">
        <f>'Other Electriciy Rates'!$J$27</f>
        <v>7.8770000000000007E-2</v>
      </c>
      <c r="L375" s="214">
        <f>+J375*K375</f>
        <v>8507.16</v>
      </c>
      <c r="M375" s="215">
        <f>+L375-I375</f>
        <v>7.0892999999996391</v>
      </c>
      <c r="N375" s="216">
        <f t="shared" si="29"/>
        <v>8.3402835696409436E-4</v>
      </c>
      <c r="O375" s="208">
        <f ca="1">L375/L379</f>
        <v>0.68368442657718198</v>
      </c>
      <c r="P375" s="147"/>
    </row>
    <row r="376" spans="2:16" ht="18" customHeight="1" thickBot="1">
      <c r="B376" s="154"/>
      <c r="C376" s="31"/>
      <c r="D376" s="31"/>
      <c r="E376" s="31"/>
      <c r="F376" s="181" t="s">
        <v>235</v>
      </c>
      <c r="G376" s="279">
        <f>G375</f>
        <v>107910</v>
      </c>
      <c r="H376" s="186">
        <f>'2012 Rate Rider'!$G$9</f>
        <v>0</v>
      </c>
      <c r="I376" s="189">
        <f>+G376*H376</f>
        <v>0</v>
      </c>
      <c r="J376" s="279">
        <f>G376</f>
        <v>107910</v>
      </c>
      <c r="K376" s="186">
        <f>'2012 Rate Rider'!$G$9</f>
        <v>0</v>
      </c>
      <c r="L376" s="211">
        <f>+J376*K376</f>
        <v>0</v>
      </c>
      <c r="M376" s="212">
        <f>+L376-I376</f>
        <v>0</v>
      </c>
      <c r="N376" s="213" t="e">
        <f t="shared" si="29"/>
        <v>#DIV/0!</v>
      </c>
      <c r="O376" s="226">
        <f ca="1">L376/L379</f>
        <v>0</v>
      </c>
      <c r="P376" s="147"/>
    </row>
    <row r="377" spans="2:16" ht="17.25" customHeight="1" thickBot="1">
      <c r="B377" s="154"/>
      <c r="C377" s="31"/>
      <c r="D377" s="31"/>
      <c r="E377" s="31"/>
      <c r="F377" s="218" t="s">
        <v>192</v>
      </c>
      <c r="G377" s="530"/>
      <c r="H377" s="531"/>
      <c r="I377" s="220">
        <f>SUM(I373:I376)</f>
        <v>14938.5357</v>
      </c>
      <c r="J377" s="530"/>
      <c r="K377" s="531"/>
      <c r="L377" s="220">
        <f>SUM(L373:L376)</f>
        <v>11011.601090113836</v>
      </c>
      <c r="M377" s="220">
        <f>SUM(M373:M376)</f>
        <v>-3926.9346098861643</v>
      </c>
      <c r="N377" s="223">
        <f t="shared" si="29"/>
        <v>-0.26287279347507697</v>
      </c>
      <c r="O377" s="351">
        <f ca="1">L377/L379</f>
        <v>0.88495575221238931</v>
      </c>
      <c r="P377" s="147"/>
    </row>
    <row r="378" spans="2:16" ht="17.25" customHeight="1" thickBot="1">
      <c r="B378" s="154"/>
      <c r="C378" s="31"/>
      <c r="D378" s="31"/>
      <c r="E378" s="31"/>
      <c r="F378" s="278" t="s">
        <v>193</v>
      </c>
      <c r="G378" s="279"/>
      <c r="H378" s="283">
        <f ca="1">H354</f>
        <v>0.13</v>
      </c>
      <c r="I378" s="280">
        <f ca="1">I377*H378</f>
        <v>1942.0096410000001</v>
      </c>
      <c r="J378" s="279"/>
      <c r="K378" s="283">
        <f ca="1">K354</f>
        <v>0.13</v>
      </c>
      <c r="L378" s="281">
        <f ca="1">L377*K378</f>
        <v>1431.5081417147987</v>
      </c>
      <c r="M378" s="212">
        <f ca="1">+L378-I378</f>
        <v>-510.50149928520136</v>
      </c>
      <c r="N378" s="213">
        <f t="shared" ca="1" si="29"/>
        <v>-0.26287279347507697</v>
      </c>
      <c r="O378" s="226">
        <f ca="1">L378/L379</f>
        <v>0.11504424778761062</v>
      </c>
      <c r="P378" s="147"/>
    </row>
    <row r="379" spans="2:16" ht="17.25" customHeight="1" thickBot="1">
      <c r="B379" s="154"/>
      <c r="C379" s="31"/>
      <c r="D379" s="31"/>
      <c r="E379" s="35"/>
      <c r="F379" s="224" t="s">
        <v>79</v>
      </c>
      <c r="G379" s="530"/>
      <c r="H379" s="531"/>
      <c r="I379" s="220">
        <f ca="1">I377+I378</f>
        <v>16880.545341000001</v>
      </c>
      <c r="J379" s="530"/>
      <c r="K379" s="531"/>
      <c r="L379" s="220">
        <f ca="1">L377+L378</f>
        <v>12443.109231828636</v>
      </c>
      <c r="M379" s="220">
        <f ca="1">M377+M378</f>
        <v>-4437.4361091713654</v>
      </c>
      <c r="N379" s="223">
        <f t="shared" ca="1" si="29"/>
        <v>-0.26287279347507692</v>
      </c>
      <c r="O379" s="225">
        <f ca="1">O377+O378</f>
        <v>0.99999999999999989</v>
      </c>
      <c r="P379" s="147"/>
    </row>
    <row r="380" spans="2:16" ht="17.25" customHeight="1" thickBot="1">
      <c r="B380" s="148"/>
      <c r="C380" s="160"/>
      <c r="D380" s="160"/>
      <c r="E380" s="160"/>
      <c r="F380" s="161"/>
      <c r="G380" s="162"/>
      <c r="H380" s="163"/>
      <c r="I380" s="164"/>
      <c r="J380" s="162"/>
      <c r="K380" s="165"/>
      <c r="L380" s="164"/>
      <c r="M380" s="166"/>
      <c r="N380" s="167"/>
      <c r="O380" s="168"/>
      <c r="P380" s="149"/>
    </row>
    <row r="381" spans="2:16" ht="14.25" customHeight="1" thickBot="1">
      <c r="B381" s="25"/>
      <c r="C381" s="31"/>
      <c r="D381" s="31"/>
      <c r="E381" s="31"/>
      <c r="F381" s="49"/>
      <c r="G381" s="50"/>
      <c r="H381" s="51"/>
      <c r="I381" s="52"/>
      <c r="J381" s="50"/>
      <c r="K381" s="53"/>
      <c r="L381" s="52"/>
      <c r="M381" s="54"/>
      <c r="N381" s="157"/>
      <c r="O381" s="158"/>
      <c r="P381" s="25"/>
    </row>
    <row r="382" spans="2:16" ht="17.25" customHeight="1">
      <c r="B382" s="156"/>
      <c r="C382" s="539"/>
      <c r="D382" s="539"/>
      <c r="E382" s="539"/>
      <c r="F382" s="539"/>
      <c r="G382" s="539"/>
      <c r="H382" s="539"/>
      <c r="I382" s="539"/>
      <c r="J382" s="539"/>
      <c r="K382" s="539"/>
      <c r="L382" s="539"/>
      <c r="M382" s="539"/>
      <c r="N382" s="539"/>
      <c r="O382" s="539"/>
      <c r="P382" s="146"/>
    </row>
    <row r="383" spans="2:16" ht="23.25">
      <c r="B383" s="154"/>
      <c r="C383" s="540" t="s">
        <v>91</v>
      </c>
      <c r="D383" s="540"/>
      <c r="E383" s="540"/>
      <c r="F383" s="540"/>
      <c r="G383" s="540"/>
      <c r="H383" s="540"/>
      <c r="I383" s="540"/>
      <c r="J383" s="540"/>
      <c r="K383" s="540"/>
      <c r="L383" s="540"/>
      <c r="M383" s="540"/>
      <c r="N383" s="540"/>
      <c r="O383" s="540"/>
      <c r="P383" s="147"/>
    </row>
    <row r="384" spans="2:16" ht="17.25" customHeight="1" thickBot="1">
      <c r="B384" s="154"/>
      <c r="C384" s="541"/>
      <c r="D384" s="541"/>
      <c r="E384" s="541"/>
      <c r="F384" s="541"/>
      <c r="G384" s="541"/>
      <c r="H384" s="541"/>
      <c r="I384" s="541"/>
      <c r="J384" s="541"/>
      <c r="K384" s="541"/>
      <c r="L384" s="541"/>
      <c r="M384" s="541"/>
      <c r="N384" s="541"/>
      <c r="O384" s="541"/>
      <c r="P384" s="147"/>
    </row>
    <row r="385" spans="2:17" ht="17.25" customHeight="1" thickBot="1">
      <c r="B385" s="154"/>
      <c r="C385" s="155"/>
      <c r="D385" s="155"/>
      <c r="E385" s="31"/>
      <c r="F385" s="32"/>
      <c r="G385" s="534" t="str">
        <f>$G$10</f>
        <v>2011 BILL</v>
      </c>
      <c r="H385" s="535"/>
      <c r="I385" s="536"/>
      <c r="J385" s="534" t="str">
        <f>$J$10</f>
        <v>2012 BILL</v>
      </c>
      <c r="K385" s="535"/>
      <c r="L385" s="536"/>
      <c r="M385" s="534" t="s">
        <v>73</v>
      </c>
      <c r="N385" s="535"/>
      <c r="O385" s="536"/>
      <c r="P385" s="147"/>
    </row>
    <row r="386" spans="2:17" ht="26.25" thickBot="1">
      <c r="B386" s="154"/>
      <c r="C386" s="31"/>
      <c r="D386" s="31"/>
      <c r="E386" s="33"/>
      <c r="F386" s="34"/>
      <c r="G386" s="366" t="s">
        <v>67</v>
      </c>
      <c r="H386" s="367" t="s">
        <v>68</v>
      </c>
      <c r="I386" s="368" t="s">
        <v>69</v>
      </c>
      <c r="J386" s="369" t="s">
        <v>67</v>
      </c>
      <c r="K386" s="367" t="s">
        <v>68</v>
      </c>
      <c r="L386" s="368" t="s">
        <v>69</v>
      </c>
      <c r="M386" s="174" t="s">
        <v>74</v>
      </c>
      <c r="N386" s="175" t="s">
        <v>75</v>
      </c>
      <c r="O386" s="176" t="s">
        <v>76</v>
      </c>
      <c r="P386" s="147"/>
    </row>
    <row r="387" spans="2:17" ht="17.25" customHeight="1" thickBot="1">
      <c r="B387" s="154"/>
      <c r="C387" s="528" t="s">
        <v>70</v>
      </c>
      <c r="D387" s="529"/>
      <c r="E387" s="31"/>
      <c r="F387" s="372" t="s">
        <v>71</v>
      </c>
      <c r="G387" s="370"/>
      <c r="H387" s="364"/>
      <c r="I387" s="187">
        <f>+'2011 Existing Rates'!$C$10</f>
        <v>436.99</v>
      </c>
      <c r="J387" s="185"/>
      <c r="K387" s="365"/>
      <c r="L387" s="214">
        <f>+'Distribution Rate Schedule'!$C$37</f>
        <v>177.32</v>
      </c>
      <c r="M387" s="215">
        <f t="shared" ref="M387:M394" si="30">+L387-I387</f>
        <v>-259.67</v>
      </c>
      <c r="N387" s="216">
        <f t="shared" ref="N387:N403" si="31">+M387/I387</f>
        <v>-0.59422412412183345</v>
      </c>
      <c r="O387" s="208">
        <f ca="1">L387/L403</f>
        <v>1.8529311197754165E-3</v>
      </c>
      <c r="P387" s="361"/>
      <c r="Q387" s="25"/>
    </row>
    <row r="388" spans="2:17" ht="17.25" customHeight="1" thickBot="1">
      <c r="B388" s="154"/>
      <c r="C388" s="152">
        <v>800000</v>
      </c>
      <c r="D388" s="153" t="s">
        <v>16</v>
      </c>
      <c r="E388" s="31"/>
      <c r="F388" s="373" t="s">
        <v>82</v>
      </c>
      <c r="G388" s="371">
        <f>+C389</f>
        <v>2000</v>
      </c>
      <c r="H388" s="178">
        <f>'2011 Existing Rates'!$D$62</f>
        <v>2.8308</v>
      </c>
      <c r="I388" s="193">
        <f>+G388*H388</f>
        <v>5661.6</v>
      </c>
      <c r="J388" s="184">
        <f>G388</f>
        <v>2000</v>
      </c>
      <c r="K388" s="177">
        <f>'Rate Schedule (Part 1)'!$E$29</f>
        <v>1.5002</v>
      </c>
      <c r="L388" s="197">
        <f>+J388*K388</f>
        <v>3000.4</v>
      </c>
      <c r="M388" s="215">
        <f t="shared" si="30"/>
        <v>-2661.2000000000003</v>
      </c>
      <c r="N388" s="216">
        <f t="shared" si="31"/>
        <v>-0.47004380387169709</v>
      </c>
      <c r="O388" s="208">
        <f ca="1">L388/L403</f>
        <v>3.1353116014968194E-2</v>
      </c>
      <c r="P388" s="147"/>
    </row>
    <row r="389" spans="2:17" ht="17.25" customHeight="1" thickBot="1">
      <c r="B389" s="154"/>
      <c r="C389" s="152">
        <v>2000</v>
      </c>
      <c r="D389" s="153" t="s">
        <v>17</v>
      </c>
      <c r="E389" s="31"/>
      <c r="F389" s="373" t="s">
        <v>226</v>
      </c>
      <c r="G389" s="310">
        <f>G388</f>
        <v>2000</v>
      </c>
      <c r="H389" s="374">
        <f>'2011 Existing Rates'!$D$36</f>
        <v>0.58220000000000005</v>
      </c>
      <c r="I389" s="193">
        <f>+G389*H389</f>
        <v>1164.4000000000001</v>
      </c>
      <c r="J389" s="184">
        <f>+C389</f>
        <v>2000</v>
      </c>
      <c r="K389" s="177">
        <f>'Rate Schedule (Part 1)'!$E$30</f>
        <v>0.43319999999999997</v>
      </c>
      <c r="L389" s="197">
        <f>+J389*K389</f>
        <v>866.4</v>
      </c>
      <c r="M389" s="215">
        <f t="shared" si="30"/>
        <v>-298.00000000000011</v>
      </c>
      <c r="N389" s="216">
        <f t="shared" si="31"/>
        <v>-0.25592579869460674</v>
      </c>
      <c r="O389" s="208">
        <f ca="1">L389/L403</f>
        <v>9.0535727620878696E-3</v>
      </c>
      <c r="P389" s="147"/>
    </row>
    <row r="390" spans="2:17" ht="17.25" customHeight="1">
      <c r="B390" s="154"/>
      <c r="C390" s="63"/>
      <c r="D390" s="64"/>
      <c r="E390" s="31"/>
      <c r="F390" s="181" t="s">
        <v>271</v>
      </c>
      <c r="G390" s="203"/>
      <c r="H390" s="202"/>
      <c r="I390" s="193">
        <f>'2011 Existing Rates'!$B$48</f>
        <v>1.45</v>
      </c>
      <c r="J390" s="203"/>
      <c r="K390" s="202"/>
      <c r="L390" s="193">
        <f>L318</f>
        <v>0</v>
      </c>
      <c r="M390" s="215">
        <f t="shared" si="30"/>
        <v>-1.45</v>
      </c>
      <c r="N390" s="216">
        <f t="shared" si="31"/>
        <v>-1</v>
      </c>
      <c r="O390" s="208">
        <f ca="1">L390/L403</f>
        <v>0</v>
      </c>
      <c r="P390" s="147"/>
    </row>
    <row r="391" spans="2:17" ht="17.25" customHeight="1" thickBot="1">
      <c r="B391" s="154"/>
      <c r="C391" s="63"/>
      <c r="D391" s="64"/>
      <c r="E391" s="31"/>
      <c r="F391" s="181" t="s">
        <v>227</v>
      </c>
      <c r="G391" s="184">
        <f>G389</f>
        <v>2000</v>
      </c>
      <c r="H391" s="178"/>
      <c r="I391" s="193">
        <f>+G391*H391</f>
        <v>0</v>
      </c>
      <c r="J391" s="184">
        <f>G391</f>
        <v>2000</v>
      </c>
      <c r="K391" s="177">
        <f>'Rate Schedule (Part 1)'!$E$31</f>
        <v>5.3499999999999999E-2</v>
      </c>
      <c r="L391" s="197">
        <f>+J391*K391</f>
        <v>107</v>
      </c>
      <c r="M391" s="215">
        <f t="shared" si="30"/>
        <v>107</v>
      </c>
      <c r="N391" s="216" t="e">
        <f t="shared" si="31"/>
        <v>#DIV/0!</v>
      </c>
      <c r="O391" s="208">
        <f ca="1">L391/$L$403</f>
        <v>1.1181120562596975E-3</v>
      </c>
      <c r="P391" s="147"/>
    </row>
    <row r="392" spans="2:17" ht="17.25" customHeight="1">
      <c r="B392" s="154"/>
      <c r="C392" s="63"/>
      <c r="D392" s="64"/>
      <c r="E392" s="31"/>
      <c r="F392" s="419" t="s">
        <v>270</v>
      </c>
      <c r="G392" s="203"/>
      <c r="H392" s="202"/>
      <c r="I392" s="192">
        <v>0</v>
      </c>
      <c r="J392" s="203"/>
      <c r="K392" s="202"/>
      <c r="L392" s="211">
        <f>$L$320</f>
        <v>0</v>
      </c>
      <c r="M392" s="207">
        <f t="shared" si="30"/>
        <v>0</v>
      </c>
      <c r="N392" s="201" t="e">
        <f t="shared" si="31"/>
        <v>#DIV/0!</v>
      </c>
      <c r="O392" s="208">
        <f ca="1">L392/$L$403</f>
        <v>0</v>
      </c>
      <c r="P392" s="147"/>
    </row>
    <row r="393" spans="2:17" ht="17.25" customHeight="1">
      <c r="B393" s="154"/>
      <c r="C393" s="63"/>
      <c r="D393" s="64"/>
      <c r="E393" s="31"/>
      <c r="F393" s="419" t="s">
        <v>272</v>
      </c>
      <c r="G393" s="203"/>
      <c r="H393" s="202"/>
      <c r="I393" s="193">
        <f>I321</f>
        <v>7.59</v>
      </c>
      <c r="J393" s="194">
        <f>G393</f>
        <v>0</v>
      </c>
      <c r="K393" s="420">
        <f>$K$321</f>
        <v>0</v>
      </c>
      <c r="L393" s="193">
        <f>+J393*K393</f>
        <v>0</v>
      </c>
      <c r="M393" s="207">
        <f t="shared" si="30"/>
        <v>-7.59</v>
      </c>
      <c r="N393" s="201">
        <f t="shared" si="31"/>
        <v>-1</v>
      </c>
      <c r="O393" s="208">
        <f ca="1">L393/$L$403</f>
        <v>0</v>
      </c>
      <c r="P393" s="147"/>
    </row>
    <row r="394" spans="2:17" ht="17.25" customHeight="1" thickBot="1">
      <c r="B394" s="154"/>
      <c r="C394" s="31"/>
      <c r="D394" s="31"/>
      <c r="E394" s="31"/>
      <c r="F394" s="182" t="s">
        <v>228</v>
      </c>
      <c r="G394" s="184">
        <f>+C389</f>
        <v>2000</v>
      </c>
      <c r="H394" s="178">
        <f>'2011 Existing Rates'!$D$23</f>
        <v>5.9561999999999999</v>
      </c>
      <c r="I394" s="197">
        <f>+G394*H394</f>
        <v>11912.4</v>
      </c>
      <c r="J394" s="184">
        <f>+C389</f>
        <v>2000</v>
      </c>
      <c r="K394" s="177">
        <f>K322</f>
        <v>-3.0967732313535978</v>
      </c>
      <c r="L394" s="197">
        <f>+J394*K394</f>
        <v>-6193.546462707196</v>
      </c>
      <c r="M394" s="215">
        <f t="shared" si="30"/>
        <v>-18105.946462707194</v>
      </c>
      <c r="N394" s="216">
        <f t="shared" si="31"/>
        <v>-1.5199243194240619</v>
      </c>
      <c r="O394" s="208">
        <f ca="1">L394/$L$403</f>
        <v>-6.4720364214556264E-2</v>
      </c>
      <c r="P394" s="147"/>
    </row>
    <row r="395" spans="2:17" ht="17.25" customHeight="1" thickBot="1">
      <c r="B395" s="154"/>
      <c r="C395" s="31"/>
      <c r="D395" s="31"/>
      <c r="E395" s="31"/>
      <c r="F395" s="218" t="s">
        <v>223</v>
      </c>
      <c r="G395" s="530"/>
      <c r="H395" s="531"/>
      <c r="I395" s="220">
        <f>SUM(I387:I394)</f>
        <v>19184.43</v>
      </c>
      <c r="J395" s="530"/>
      <c r="K395" s="531"/>
      <c r="L395" s="220">
        <f>SUM(L387:L394)</f>
        <v>-2042.4264627071952</v>
      </c>
      <c r="M395" s="222">
        <f>SUM(M387:M394)</f>
        <v>-21226.856462707194</v>
      </c>
      <c r="N395" s="223">
        <f t="shared" si="31"/>
        <v>-1.1064627128722195</v>
      </c>
      <c r="O395" s="225">
        <f ca="1">SUM(O387:O394)</f>
        <v>-2.1342632261465093E-2</v>
      </c>
      <c r="P395" s="147"/>
    </row>
    <row r="396" spans="2:17" ht="17.25" customHeight="1" thickBot="1">
      <c r="B396" s="154"/>
      <c r="C396" s="31"/>
      <c r="D396" s="31"/>
      <c r="E396" s="31"/>
      <c r="F396" s="181" t="s">
        <v>229</v>
      </c>
      <c r="G396" s="348">
        <f>C389</f>
        <v>2000</v>
      </c>
      <c r="H396" s="349">
        <f>'Other Electriciy Rates'!$F$12</f>
        <v>3.7480000000000002</v>
      </c>
      <c r="I396" s="193">
        <f>+G396*H396</f>
        <v>7496</v>
      </c>
      <c r="J396" s="348">
        <f>C389</f>
        <v>2000</v>
      </c>
      <c r="K396" s="177">
        <f>'Other Electriciy Rates'!$F$27</f>
        <v>3.814790631678846</v>
      </c>
      <c r="L396" s="193">
        <f>+J396*K396</f>
        <v>7629.5812633576925</v>
      </c>
      <c r="M396" s="350">
        <f>+L396-I396</f>
        <v>133.58126335769248</v>
      </c>
      <c r="N396" s="205">
        <f t="shared" si="31"/>
        <v>1.7820339295316498E-2</v>
      </c>
      <c r="O396" s="208">
        <f ca="1">L396/L403</f>
        <v>7.9726418642741409E-2</v>
      </c>
      <c r="P396" s="147"/>
    </row>
    <row r="397" spans="2:17" ht="17.25" customHeight="1" thickBot="1">
      <c r="B397" s="154"/>
      <c r="C397" s="31"/>
      <c r="D397" s="31"/>
      <c r="E397" s="31"/>
      <c r="F397" s="218" t="s">
        <v>225</v>
      </c>
      <c r="G397" s="530"/>
      <c r="H397" s="531"/>
      <c r="I397" s="220">
        <f>I395+I396</f>
        <v>26680.43</v>
      </c>
      <c r="J397" s="530"/>
      <c r="K397" s="531"/>
      <c r="L397" s="220">
        <f>L395+L396</f>
        <v>5587.1548006504972</v>
      </c>
      <c r="M397" s="220">
        <f>M395+M396</f>
        <v>-21093.2751993495</v>
      </c>
      <c r="N397" s="223">
        <f t="shared" si="31"/>
        <v>-0.79058977682704135</v>
      </c>
      <c r="O397" s="351">
        <f ca="1">L397/L403</f>
        <v>5.8383786381276344E-2</v>
      </c>
      <c r="P397" s="147"/>
    </row>
    <row r="398" spans="2:17" ht="17.25" customHeight="1">
      <c r="B398" s="154"/>
      <c r="C398" s="31"/>
      <c r="D398" s="31"/>
      <c r="E398" s="31"/>
      <c r="F398" s="179" t="s">
        <v>77</v>
      </c>
      <c r="G398" s="185">
        <f>C388*'Other Electriciy Rates'!$L$12</f>
        <v>863280</v>
      </c>
      <c r="H398" s="186">
        <f>'Other Electriciy Rates'!$C$12+'Other Electriciy Rates'!$D$12</f>
        <v>1.2986887220832175E-2</v>
      </c>
      <c r="I398" s="187">
        <f>+G398*H398</f>
        <v>11211.32</v>
      </c>
      <c r="J398" s="185">
        <f>C388*'Other Electriciy Rates'!$L$27</f>
        <v>864000</v>
      </c>
      <c r="K398" s="186">
        <f>'Other Electriciy Rates'!$C$27+'Other Electriciy Rates'!$D$27</f>
        <v>1.278148148148148E-2</v>
      </c>
      <c r="L398" s="214">
        <f>+J398*K398</f>
        <v>11043.199999999999</v>
      </c>
      <c r="M398" s="215">
        <f>+L398-I398</f>
        <v>-168.1200000000008</v>
      </c>
      <c r="N398" s="216">
        <f t="shared" si="31"/>
        <v>-1.4995558060959887E-2</v>
      </c>
      <c r="O398" s="208">
        <f ca="1">L398/L403</f>
        <v>0.11539752392230927</v>
      </c>
      <c r="P398" s="147"/>
    </row>
    <row r="399" spans="2:17" ht="17.25" customHeight="1">
      <c r="B399" s="154"/>
      <c r="C399" s="31"/>
      <c r="D399" s="31"/>
      <c r="E399" s="31"/>
      <c r="F399" s="179" t="s">
        <v>78</v>
      </c>
      <c r="G399" s="185">
        <f>G398</f>
        <v>863280</v>
      </c>
      <c r="H399" s="186">
        <f>+'Other Electriciy Rates'!$J$12</f>
        <v>7.8770000000000007E-2</v>
      </c>
      <c r="I399" s="187">
        <f>+G399*H399</f>
        <v>68000.565600000002</v>
      </c>
      <c r="J399" s="185">
        <f>J398</f>
        <v>864000</v>
      </c>
      <c r="K399" s="186">
        <f>'Other Electriciy Rates'!$J$27</f>
        <v>7.8770000000000007E-2</v>
      </c>
      <c r="L399" s="214">
        <f>+J399*K399</f>
        <v>68057.279999999999</v>
      </c>
      <c r="M399" s="215">
        <f>+L399-I399</f>
        <v>56.714399999997113</v>
      </c>
      <c r="N399" s="216">
        <f t="shared" si="31"/>
        <v>8.3402835696409436E-4</v>
      </c>
      <c r="O399" s="208">
        <f ca="1">L399/L403</f>
        <v>0.71117444190880363</v>
      </c>
      <c r="P399" s="147"/>
    </row>
    <row r="400" spans="2:17" ht="18" customHeight="1" thickBot="1">
      <c r="B400" s="154"/>
      <c r="C400" s="31"/>
      <c r="D400" s="31"/>
      <c r="E400" s="31"/>
      <c r="F400" s="181" t="s">
        <v>235</v>
      </c>
      <c r="G400" s="279">
        <f>G399</f>
        <v>863280</v>
      </c>
      <c r="H400" s="186">
        <f>'2012 Rate Rider'!$G$9</f>
        <v>0</v>
      </c>
      <c r="I400" s="189">
        <f>+G400*H400</f>
        <v>0</v>
      </c>
      <c r="J400" s="279">
        <f>G400</f>
        <v>863280</v>
      </c>
      <c r="K400" s="186">
        <f>'2012 Rate Rider'!$G$9</f>
        <v>0</v>
      </c>
      <c r="L400" s="211">
        <f>+J400*K400</f>
        <v>0</v>
      </c>
      <c r="M400" s="212">
        <f>+L400-I400</f>
        <v>0</v>
      </c>
      <c r="N400" s="213" t="e">
        <f t="shared" si="31"/>
        <v>#DIV/0!</v>
      </c>
      <c r="O400" s="226">
        <f ca="1">L400/L403</f>
        <v>0</v>
      </c>
      <c r="P400" s="147"/>
    </row>
    <row r="401" spans="2:17" ht="17.25" customHeight="1" thickBot="1">
      <c r="B401" s="154"/>
      <c r="C401" s="31"/>
      <c r="D401" s="31"/>
      <c r="E401" s="31"/>
      <c r="F401" s="218" t="s">
        <v>192</v>
      </c>
      <c r="G401" s="530"/>
      <c r="H401" s="531"/>
      <c r="I401" s="220">
        <f>SUM(I397:I400)</f>
        <v>105892.3156</v>
      </c>
      <c r="J401" s="530"/>
      <c r="K401" s="531"/>
      <c r="L401" s="220">
        <f>SUM(L397:L400)</f>
        <v>84687.6348006505</v>
      </c>
      <c r="M401" s="220">
        <f>SUM(M397:M400)</f>
        <v>-21204.680799349502</v>
      </c>
      <c r="N401" s="223">
        <f t="shared" si="31"/>
        <v>-0.20024758812007226</v>
      </c>
      <c r="O401" s="351">
        <f ca="1">L401/L403</f>
        <v>0.88495575221238931</v>
      </c>
      <c r="P401" s="147"/>
    </row>
    <row r="402" spans="2:17" ht="17.25" customHeight="1" thickBot="1">
      <c r="B402" s="154"/>
      <c r="C402" s="31"/>
      <c r="D402" s="31"/>
      <c r="E402" s="31"/>
      <c r="F402" s="278" t="s">
        <v>193</v>
      </c>
      <c r="G402" s="279"/>
      <c r="H402" s="283">
        <f ca="1">H378</f>
        <v>0.13</v>
      </c>
      <c r="I402" s="280">
        <f ca="1">I401*H402</f>
        <v>13766.001028000001</v>
      </c>
      <c r="J402" s="279"/>
      <c r="K402" s="283">
        <f ca="1">K378</f>
        <v>0.13</v>
      </c>
      <c r="L402" s="281">
        <f ca="1">L401*K402</f>
        <v>11009.392524084566</v>
      </c>
      <c r="M402" s="212">
        <f ca="1">+L402-I402</f>
        <v>-2756.608503915435</v>
      </c>
      <c r="N402" s="213">
        <f t="shared" ca="1" si="31"/>
        <v>-0.20024758812007223</v>
      </c>
      <c r="O402" s="226">
        <f ca="1">L402/L403</f>
        <v>0.11504424778761062</v>
      </c>
      <c r="P402" s="147"/>
    </row>
    <row r="403" spans="2:17" ht="17.25" customHeight="1" thickBot="1">
      <c r="B403" s="154"/>
      <c r="C403" s="31"/>
      <c r="D403" s="31"/>
      <c r="E403" s="35"/>
      <c r="F403" s="224" t="s">
        <v>79</v>
      </c>
      <c r="G403" s="530"/>
      <c r="H403" s="531"/>
      <c r="I403" s="220">
        <f ca="1">I401+I402</f>
        <v>119658.316628</v>
      </c>
      <c r="J403" s="530"/>
      <c r="K403" s="531"/>
      <c r="L403" s="220">
        <f ca="1">L401+L402</f>
        <v>95697.027324735071</v>
      </c>
      <c r="M403" s="220">
        <f ca="1">M401+M402</f>
        <v>-23961.289303264937</v>
      </c>
      <c r="N403" s="223">
        <f t="shared" ca="1" si="31"/>
        <v>-0.20024758812007226</v>
      </c>
      <c r="O403" s="225">
        <f ca="1">O401+O402</f>
        <v>0.99999999999999989</v>
      </c>
      <c r="P403" s="147"/>
    </row>
    <row r="404" spans="2:17" ht="17.25" customHeight="1" thickBot="1">
      <c r="B404" s="148"/>
      <c r="C404" s="160"/>
      <c r="D404" s="160"/>
      <c r="E404" s="160"/>
      <c r="F404" s="161"/>
      <c r="G404" s="162"/>
      <c r="H404" s="163"/>
      <c r="I404" s="164"/>
      <c r="J404" s="162"/>
      <c r="K404" s="165"/>
      <c r="L404" s="164"/>
      <c r="M404" s="166"/>
      <c r="N404" s="167"/>
      <c r="O404" s="168"/>
      <c r="P404" s="149"/>
    </row>
    <row r="405" spans="2:17" ht="17.25" customHeight="1" thickBot="1">
      <c r="B405" s="25"/>
      <c r="C405" s="31"/>
      <c r="D405" s="31"/>
      <c r="E405" s="31"/>
      <c r="F405" s="49"/>
      <c r="G405" s="50"/>
      <c r="H405" s="51"/>
      <c r="I405" s="52"/>
      <c r="J405" s="50"/>
      <c r="K405" s="53"/>
      <c r="L405" s="52"/>
      <c r="M405" s="54"/>
      <c r="N405" s="157"/>
      <c r="O405" s="158"/>
      <c r="P405" s="25"/>
    </row>
    <row r="406" spans="2:17" ht="17.25" customHeight="1">
      <c r="B406" s="156"/>
      <c r="C406" s="539"/>
      <c r="D406" s="539"/>
      <c r="E406" s="539"/>
      <c r="F406" s="539"/>
      <c r="G406" s="539"/>
      <c r="H406" s="539"/>
      <c r="I406" s="539"/>
      <c r="J406" s="539"/>
      <c r="K406" s="539"/>
      <c r="L406" s="539"/>
      <c r="M406" s="539"/>
      <c r="N406" s="539"/>
      <c r="O406" s="539"/>
      <c r="P406" s="146"/>
    </row>
    <row r="407" spans="2:17" ht="23.25">
      <c r="B407" s="154"/>
      <c r="C407" s="540" t="s">
        <v>91</v>
      </c>
      <c r="D407" s="540"/>
      <c r="E407" s="540"/>
      <c r="F407" s="540"/>
      <c r="G407" s="540"/>
      <c r="H407" s="540"/>
      <c r="I407" s="540"/>
      <c r="J407" s="540"/>
      <c r="K407" s="540"/>
      <c r="L407" s="540"/>
      <c r="M407" s="540"/>
      <c r="N407" s="540"/>
      <c r="O407" s="540"/>
      <c r="P407" s="147"/>
    </row>
    <row r="408" spans="2:17" ht="17.25" customHeight="1" thickBot="1">
      <c r="B408" s="154"/>
      <c r="C408" s="541"/>
      <c r="D408" s="541"/>
      <c r="E408" s="541"/>
      <c r="F408" s="541"/>
      <c r="G408" s="541"/>
      <c r="H408" s="541"/>
      <c r="I408" s="541"/>
      <c r="J408" s="541"/>
      <c r="K408" s="541"/>
      <c r="L408" s="541"/>
      <c r="M408" s="541"/>
      <c r="N408" s="541"/>
      <c r="O408" s="541"/>
      <c r="P408" s="147"/>
    </row>
    <row r="409" spans="2:17" ht="17.25" customHeight="1" thickBot="1">
      <c r="B409" s="154"/>
      <c r="C409" s="155"/>
      <c r="D409" s="155"/>
      <c r="E409" s="31"/>
      <c r="F409" s="32"/>
      <c r="G409" s="534" t="str">
        <f>$G$10</f>
        <v>2011 BILL</v>
      </c>
      <c r="H409" s="535"/>
      <c r="I409" s="536"/>
      <c r="J409" s="534" t="str">
        <f>$J$10</f>
        <v>2012 BILL</v>
      </c>
      <c r="K409" s="535"/>
      <c r="L409" s="536"/>
      <c r="M409" s="534" t="s">
        <v>73</v>
      </c>
      <c r="N409" s="535"/>
      <c r="O409" s="536"/>
      <c r="P409" s="147"/>
    </row>
    <row r="410" spans="2:17" ht="26.25" thickBot="1">
      <c r="B410" s="154"/>
      <c r="C410" s="31"/>
      <c r="D410" s="31"/>
      <c r="E410" s="33"/>
      <c r="F410" s="34"/>
      <c r="G410" s="366" t="s">
        <v>67</v>
      </c>
      <c r="H410" s="367" t="s">
        <v>68</v>
      </c>
      <c r="I410" s="368" t="s">
        <v>69</v>
      </c>
      <c r="J410" s="369" t="s">
        <v>67</v>
      </c>
      <c r="K410" s="367" t="s">
        <v>68</v>
      </c>
      <c r="L410" s="368" t="s">
        <v>69</v>
      </c>
      <c r="M410" s="174" t="s">
        <v>74</v>
      </c>
      <c r="N410" s="175" t="s">
        <v>75</v>
      </c>
      <c r="O410" s="176" t="s">
        <v>76</v>
      </c>
      <c r="P410" s="147"/>
    </row>
    <row r="411" spans="2:17" ht="17.25" customHeight="1" thickBot="1">
      <c r="B411" s="154"/>
      <c r="C411" s="528" t="s">
        <v>70</v>
      </c>
      <c r="D411" s="529"/>
      <c r="E411" s="31"/>
      <c r="F411" s="372" t="s">
        <v>71</v>
      </c>
      <c r="G411" s="370"/>
      <c r="H411" s="364"/>
      <c r="I411" s="187">
        <f>+'2011 Existing Rates'!$C$10</f>
        <v>436.99</v>
      </c>
      <c r="J411" s="185"/>
      <c r="K411" s="365"/>
      <c r="L411" s="214">
        <f>+'Distribution Rate Schedule'!$C$37</f>
        <v>177.32</v>
      </c>
      <c r="M411" s="215">
        <f t="shared" ref="M411:M418" si="32">+L411-I411</f>
        <v>-259.67</v>
      </c>
      <c r="N411" s="216">
        <f t="shared" ref="N411:N427" si="33">+M411/I411</f>
        <v>-0.59422412412183345</v>
      </c>
      <c r="O411" s="208">
        <f ca="1">L411/L427</f>
        <v>9.2743649879959474E-4</v>
      </c>
      <c r="P411" s="361"/>
      <c r="Q411" s="25"/>
    </row>
    <row r="412" spans="2:17" ht="17.25" customHeight="1" thickBot="1">
      <c r="B412" s="154"/>
      <c r="C412" s="152">
        <v>1600000</v>
      </c>
      <c r="D412" s="153" t="s">
        <v>16</v>
      </c>
      <c r="E412" s="31"/>
      <c r="F412" s="373" t="s">
        <v>82</v>
      </c>
      <c r="G412" s="371">
        <f>+C413</f>
        <v>4000</v>
      </c>
      <c r="H412" s="178">
        <f>'2011 Existing Rates'!$D$62</f>
        <v>2.8308</v>
      </c>
      <c r="I412" s="193">
        <f>+G412*H412</f>
        <v>11323.2</v>
      </c>
      <c r="J412" s="184">
        <f>G412</f>
        <v>4000</v>
      </c>
      <c r="K412" s="177">
        <f>'Rate Schedule (Part 1)'!$E$29</f>
        <v>1.5002</v>
      </c>
      <c r="L412" s="197">
        <f>+J412*K412</f>
        <v>6000.8</v>
      </c>
      <c r="M412" s="215">
        <f t="shared" si="32"/>
        <v>-5322.4000000000005</v>
      </c>
      <c r="N412" s="216">
        <f t="shared" si="33"/>
        <v>-0.47004380387169709</v>
      </c>
      <c r="O412" s="208">
        <f ca="1">L412/L427</f>
        <v>3.1385974182250219E-2</v>
      </c>
      <c r="P412" s="147"/>
    </row>
    <row r="413" spans="2:17" ht="17.25" customHeight="1" thickBot="1">
      <c r="B413" s="154"/>
      <c r="C413" s="152">
        <v>4000</v>
      </c>
      <c r="D413" s="153" t="s">
        <v>17</v>
      </c>
      <c r="E413" s="31"/>
      <c r="F413" s="373" t="s">
        <v>226</v>
      </c>
      <c r="G413" s="310">
        <f>G412</f>
        <v>4000</v>
      </c>
      <c r="H413" s="374">
        <f>'2011 Existing Rates'!$D$36</f>
        <v>0.58220000000000005</v>
      </c>
      <c r="I413" s="193">
        <f>+G413*H413</f>
        <v>2328.8000000000002</v>
      </c>
      <c r="J413" s="184">
        <f>+C413</f>
        <v>4000</v>
      </c>
      <c r="K413" s="177">
        <f>'Rate Schedule (Part 1)'!$E$30</f>
        <v>0.43319999999999997</v>
      </c>
      <c r="L413" s="197">
        <f>+J413*K413</f>
        <v>1732.8</v>
      </c>
      <c r="M413" s="215">
        <f t="shared" si="32"/>
        <v>-596.00000000000023</v>
      </c>
      <c r="N413" s="216">
        <f t="shared" si="33"/>
        <v>-0.25592579869460674</v>
      </c>
      <c r="O413" s="208">
        <f ca="1">L413/L427</f>
        <v>9.0630609357091E-3</v>
      </c>
      <c r="P413" s="147"/>
    </row>
    <row r="414" spans="2:17" ht="17.25" customHeight="1">
      <c r="B414" s="154"/>
      <c r="C414" s="63"/>
      <c r="D414" s="64"/>
      <c r="E414" s="31"/>
      <c r="F414" s="181" t="s">
        <v>271</v>
      </c>
      <c r="G414" s="203"/>
      <c r="H414" s="202"/>
      <c r="I414" s="193">
        <f>'2011 Existing Rates'!$B$48</f>
        <v>1.45</v>
      </c>
      <c r="J414" s="203"/>
      <c r="K414" s="202"/>
      <c r="L414" s="193">
        <f>L318</f>
        <v>0</v>
      </c>
      <c r="M414" s="215">
        <f t="shared" si="32"/>
        <v>-1.45</v>
      </c>
      <c r="N414" s="216">
        <f t="shared" si="33"/>
        <v>-1</v>
      </c>
      <c r="O414" s="208">
        <f ca="1">L414/L427</f>
        <v>0</v>
      </c>
      <c r="P414" s="147"/>
    </row>
    <row r="415" spans="2:17" ht="17.25" customHeight="1" thickBot="1">
      <c r="B415" s="154"/>
      <c r="C415" s="63"/>
      <c r="D415" s="64"/>
      <c r="E415" s="31"/>
      <c r="F415" s="181" t="s">
        <v>227</v>
      </c>
      <c r="G415" s="184">
        <f>G413</f>
        <v>4000</v>
      </c>
      <c r="H415" s="178"/>
      <c r="I415" s="193">
        <f>+G415*H415</f>
        <v>0</v>
      </c>
      <c r="J415" s="184">
        <f>G415</f>
        <v>4000</v>
      </c>
      <c r="K415" s="177">
        <f>'Rate Schedule (Part 1)'!$E$31</f>
        <v>5.3499999999999999E-2</v>
      </c>
      <c r="L415" s="197">
        <f>+J415*K415</f>
        <v>214</v>
      </c>
      <c r="M415" s="215">
        <f t="shared" si="32"/>
        <v>214</v>
      </c>
      <c r="N415" s="216" t="e">
        <f t="shared" si="33"/>
        <v>#DIV/0!</v>
      </c>
      <c r="O415" s="208">
        <f ca="1">L415/L427</f>
        <v>1.1192838413214149E-3</v>
      </c>
      <c r="P415" s="147"/>
    </row>
    <row r="416" spans="2:17" ht="17.25" customHeight="1">
      <c r="B416" s="154"/>
      <c r="C416" s="63"/>
      <c r="D416" s="64"/>
      <c r="E416" s="31"/>
      <c r="F416" s="419" t="s">
        <v>270</v>
      </c>
      <c r="G416" s="203"/>
      <c r="H416" s="202"/>
      <c r="I416" s="192">
        <v>0</v>
      </c>
      <c r="J416" s="203"/>
      <c r="K416" s="202"/>
      <c r="L416" s="211">
        <f>$L$320</f>
        <v>0</v>
      </c>
      <c r="M416" s="207">
        <f t="shared" si="32"/>
        <v>0</v>
      </c>
      <c r="N416" s="201" t="e">
        <f t="shared" si="33"/>
        <v>#DIV/0!</v>
      </c>
      <c r="O416" s="208">
        <f ca="1">L416/L427</f>
        <v>0</v>
      </c>
      <c r="P416" s="147"/>
    </row>
    <row r="417" spans="2:16" ht="17.25" customHeight="1">
      <c r="B417" s="154"/>
      <c r="C417" s="63"/>
      <c r="D417" s="64"/>
      <c r="E417" s="31"/>
      <c r="F417" s="419" t="s">
        <v>272</v>
      </c>
      <c r="G417" s="203"/>
      <c r="H417" s="202"/>
      <c r="I417" s="193">
        <f>I345</f>
        <v>7.59</v>
      </c>
      <c r="J417" s="194">
        <f>G417</f>
        <v>0</v>
      </c>
      <c r="K417" s="420">
        <f>$K$321</f>
        <v>0</v>
      </c>
      <c r="L417" s="193">
        <f>+J417*K417</f>
        <v>0</v>
      </c>
      <c r="M417" s="207">
        <f t="shared" si="32"/>
        <v>-7.59</v>
      </c>
      <c r="N417" s="201">
        <f t="shared" si="33"/>
        <v>-1</v>
      </c>
      <c r="O417" s="208">
        <f ca="1">L417/L427</f>
        <v>0</v>
      </c>
      <c r="P417" s="147"/>
    </row>
    <row r="418" spans="2:16" ht="17.25" customHeight="1" thickBot="1">
      <c r="B418" s="154"/>
      <c r="C418" s="31"/>
      <c r="D418" s="31"/>
      <c r="E418" s="31"/>
      <c r="F418" s="182" t="s">
        <v>228</v>
      </c>
      <c r="G418" s="184">
        <f>+C413</f>
        <v>4000</v>
      </c>
      <c r="H418" s="178">
        <f>'2011 Existing Rates'!$D$23</f>
        <v>5.9561999999999999</v>
      </c>
      <c r="I418" s="197">
        <f>+G418*H418</f>
        <v>23824.799999999999</v>
      </c>
      <c r="J418" s="184">
        <f>+C413</f>
        <v>4000</v>
      </c>
      <c r="K418" s="177">
        <f>K322</f>
        <v>-3.0967732313535978</v>
      </c>
      <c r="L418" s="197">
        <f>+J418*K418</f>
        <v>-12387.092925414392</v>
      </c>
      <c r="M418" s="215">
        <f t="shared" si="32"/>
        <v>-36211.892925414388</v>
      </c>
      <c r="N418" s="216">
        <f t="shared" si="33"/>
        <v>-1.5199243194240619</v>
      </c>
      <c r="O418" s="208">
        <f ca="1">L418/L427</f>
        <v>-6.4788191366182912E-2</v>
      </c>
      <c r="P418" s="147"/>
    </row>
    <row r="419" spans="2:16" ht="17.25" customHeight="1" thickBot="1">
      <c r="B419" s="154"/>
      <c r="C419" s="31"/>
      <c r="D419" s="31"/>
      <c r="E419" s="31"/>
      <c r="F419" s="218" t="s">
        <v>223</v>
      </c>
      <c r="G419" s="530"/>
      <c r="H419" s="531"/>
      <c r="I419" s="220">
        <f>SUM(I411:I418)</f>
        <v>37922.83</v>
      </c>
      <c r="J419" s="530"/>
      <c r="K419" s="531"/>
      <c r="L419" s="220">
        <f>SUM(L411:L418)</f>
        <v>-4262.172925414392</v>
      </c>
      <c r="M419" s="222">
        <f>SUM(M411:M418)</f>
        <v>-42185.002925414388</v>
      </c>
      <c r="N419" s="223">
        <f t="shared" si="33"/>
        <v>-1.112390687230209</v>
      </c>
      <c r="O419" s="225">
        <f ca="1">SUM(O411:O418)</f>
        <v>-2.2292435908102586E-2</v>
      </c>
      <c r="P419" s="147"/>
    </row>
    <row r="420" spans="2:16" ht="17.25" customHeight="1" thickBot="1">
      <c r="B420" s="154"/>
      <c r="C420" s="31"/>
      <c r="D420" s="31"/>
      <c r="E420" s="31"/>
      <c r="F420" s="181" t="s">
        <v>229</v>
      </c>
      <c r="G420" s="348">
        <f>C413</f>
        <v>4000</v>
      </c>
      <c r="H420" s="349">
        <f>'Other Electriciy Rates'!$F$12</f>
        <v>3.7480000000000002</v>
      </c>
      <c r="I420" s="193">
        <f>+G420*H420</f>
        <v>14992</v>
      </c>
      <c r="J420" s="348">
        <f>C413</f>
        <v>4000</v>
      </c>
      <c r="K420" s="177">
        <f>'Other Electriciy Rates'!$F$27</f>
        <v>3.814790631678846</v>
      </c>
      <c r="L420" s="193">
        <f>+J420*K420</f>
        <v>15259.162526715385</v>
      </c>
      <c r="M420" s="350">
        <f>+L420-I420</f>
        <v>267.16252671538496</v>
      </c>
      <c r="N420" s="205">
        <f t="shared" si="33"/>
        <v>1.7820339295316498E-2</v>
      </c>
      <c r="O420" s="208">
        <f ca="1">L420/L427</f>
        <v>7.9809972188083098E-2</v>
      </c>
      <c r="P420" s="147"/>
    </row>
    <row r="421" spans="2:16" ht="17.25" customHeight="1" thickBot="1">
      <c r="B421" s="154"/>
      <c r="C421" s="31"/>
      <c r="D421" s="31"/>
      <c r="E421" s="31"/>
      <c r="F421" s="218" t="s">
        <v>225</v>
      </c>
      <c r="G421" s="530"/>
      <c r="H421" s="531"/>
      <c r="I421" s="220">
        <f>I419+I420</f>
        <v>52914.83</v>
      </c>
      <c r="J421" s="530"/>
      <c r="K421" s="531"/>
      <c r="L421" s="220">
        <f>L419+L420</f>
        <v>10996.989601300993</v>
      </c>
      <c r="M421" s="220">
        <f>M419+M420</f>
        <v>-41917.840398699002</v>
      </c>
      <c r="N421" s="223">
        <f t="shared" si="33"/>
        <v>-0.79217566037156317</v>
      </c>
      <c r="O421" s="351">
        <f ca="1">L421/L427</f>
        <v>5.7517536279980512E-2</v>
      </c>
      <c r="P421" s="147"/>
    </row>
    <row r="422" spans="2:16" ht="17.25" customHeight="1">
      <c r="B422" s="154"/>
      <c r="C422" s="31"/>
      <c r="D422" s="31"/>
      <c r="E422" s="31"/>
      <c r="F422" s="179" t="s">
        <v>77</v>
      </c>
      <c r="G422" s="185">
        <f>C412*'Other Electriciy Rates'!$L$12</f>
        <v>1726560</v>
      </c>
      <c r="H422" s="186">
        <f>'Other Electriciy Rates'!$C$12+'Other Electriciy Rates'!$D$12</f>
        <v>1.2986887220832175E-2</v>
      </c>
      <c r="I422" s="187">
        <f>+G422*H422</f>
        <v>22422.639999999999</v>
      </c>
      <c r="J422" s="185">
        <f>C412*'Other Electriciy Rates'!$L$27</f>
        <v>1728000</v>
      </c>
      <c r="K422" s="186">
        <f>'Other Electriciy Rates'!$C$27+'Other Electriciy Rates'!$D$27</f>
        <v>1.278148148148148E-2</v>
      </c>
      <c r="L422" s="214">
        <f>+J422*K422</f>
        <v>22086.399999999998</v>
      </c>
      <c r="M422" s="215">
        <f>+L422-I422</f>
        <v>-336.2400000000016</v>
      </c>
      <c r="N422" s="216">
        <f t="shared" si="33"/>
        <v>-1.4995558060959887E-2</v>
      </c>
      <c r="O422" s="208">
        <f ca="1">L422/L427</f>
        <v>0.11551846090168828</v>
      </c>
      <c r="P422" s="147"/>
    </row>
    <row r="423" spans="2:16" ht="17.25" customHeight="1">
      <c r="B423" s="154"/>
      <c r="C423" s="31"/>
      <c r="D423" s="31"/>
      <c r="E423" s="31"/>
      <c r="F423" s="179" t="s">
        <v>78</v>
      </c>
      <c r="G423" s="185">
        <f>G422</f>
        <v>1726560</v>
      </c>
      <c r="H423" s="186">
        <f>+'Other Electriciy Rates'!$J$12</f>
        <v>7.8770000000000007E-2</v>
      </c>
      <c r="I423" s="187">
        <f>+G423*H423</f>
        <v>136001.1312</v>
      </c>
      <c r="J423" s="185">
        <f>J422</f>
        <v>1728000</v>
      </c>
      <c r="K423" s="186">
        <f>'Other Electriciy Rates'!$J$27</f>
        <v>7.8770000000000007E-2</v>
      </c>
      <c r="L423" s="214">
        <f>+J423*K423</f>
        <v>136114.56</v>
      </c>
      <c r="M423" s="215">
        <f>+L423-I423</f>
        <v>113.42879999999423</v>
      </c>
      <c r="N423" s="216">
        <f t="shared" si="33"/>
        <v>8.3402835696409436E-4</v>
      </c>
      <c r="O423" s="208">
        <f ca="1">L423/L427</f>
        <v>0.71191975503072058</v>
      </c>
      <c r="P423" s="147"/>
    </row>
    <row r="424" spans="2:16" ht="18" customHeight="1" thickBot="1">
      <c r="B424" s="154"/>
      <c r="C424" s="31"/>
      <c r="D424" s="31"/>
      <c r="E424" s="31"/>
      <c r="F424" s="181" t="s">
        <v>235</v>
      </c>
      <c r="G424" s="279">
        <f>G423</f>
        <v>1726560</v>
      </c>
      <c r="H424" s="186">
        <f>'2012 Rate Rider'!$G$9</f>
        <v>0</v>
      </c>
      <c r="I424" s="189">
        <f>+G424*H424</f>
        <v>0</v>
      </c>
      <c r="J424" s="279">
        <f>G424</f>
        <v>1726560</v>
      </c>
      <c r="K424" s="186">
        <f>'2012 Rate Rider'!$G$9</f>
        <v>0</v>
      </c>
      <c r="L424" s="211">
        <f>+J424*K424</f>
        <v>0</v>
      </c>
      <c r="M424" s="212">
        <f>+L424-I424</f>
        <v>0</v>
      </c>
      <c r="N424" s="213" t="e">
        <f t="shared" si="33"/>
        <v>#DIV/0!</v>
      </c>
      <c r="O424" s="226">
        <f ca="1">L424/L427</f>
        <v>0</v>
      </c>
      <c r="P424" s="147"/>
    </row>
    <row r="425" spans="2:16" ht="17.25" customHeight="1" thickBot="1">
      <c r="B425" s="154"/>
      <c r="C425" s="31"/>
      <c r="D425" s="31"/>
      <c r="E425" s="31"/>
      <c r="F425" s="218" t="s">
        <v>192</v>
      </c>
      <c r="G425" s="530"/>
      <c r="H425" s="531"/>
      <c r="I425" s="220">
        <f>SUM(I421:I424)</f>
        <v>211338.6012</v>
      </c>
      <c r="J425" s="530"/>
      <c r="K425" s="531"/>
      <c r="L425" s="220">
        <f>SUM(L421:L424)</f>
        <v>169197.94960130099</v>
      </c>
      <c r="M425" s="220">
        <f>SUM(M421:M424)</f>
        <v>-42140.651598699013</v>
      </c>
      <c r="N425" s="223">
        <f t="shared" si="33"/>
        <v>-0.19939874381405251</v>
      </c>
      <c r="O425" s="351">
        <f ca="1">L425/L427</f>
        <v>0.88495575221238931</v>
      </c>
      <c r="P425" s="147"/>
    </row>
    <row r="426" spans="2:16" ht="17.25" customHeight="1" thickBot="1">
      <c r="B426" s="154"/>
      <c r="C426" s="31"/>
      <c r="D426" s="31"/>
      <c r="E426" s="31"/>
      <c r="F426" s="278" t="s">
        <v>193</v>
      </c>
      <c r="G426" s="279"/>
      <c r="H426" s="283">
        <f ca="1">H402</f>
        <v>0.13</v>
      </c>
      <c r="I426" s="280">
        <f ca="1">I425*H426</f>
        <v>27474.018156000002</v>
      </c>
      <c r="J426" s="279"/>
      <c r="K426" s="283">
        <f ca="1">K402</f>
        <v>0.13</v>
      </c>
      <c r="L426" s="281">
        <f ca="1">L425*K426</f>
        <v>21995.733448169129</v>
      </c>
      <c r="M426" s="212">
        <f ca="1">+L426-I426</f>
        <v>-5478.2847078308732</v>
      </c>
      <c r="N426" s="213">
        <f t="shared" ca="1" si="33"/>
        <v>-0.19939874381405256</v>
      </c>
      <c r="O426" s="226">
        <f ca="1">L426/L427</f>
        <v>0.11504424778761062</v>
      </c>
      <c r="P426" s="147"/>
    </row>
    <row r="427" spans="2:16" ht="17.25" customHeight="1" thickBot="1">
      <c r="B427" s="154"/>
      <c r="C427" s="31"/>
      <c r="D427" s="31"/>
      <c r="E427" s="35"/>
      <c r="F427" s="224" t="s">
        <v>79</v>
      </c>
      <c r="G427" s="530"/>
      <c r="H427" s="531"/>
      <c r="I427" s="220">
        <f ca="1">I425+I426</f>
        <v>238812.61935600001</v>
      </c>
      <c r="J427" s="530"/>
      <c r="K427" s="531"/>
      <c r="L427" s="220">
        <f ca="1">L425+L426</f>
        <v>191193.68304947013</v>
      </c>
      <c r="M427" s="220">
        <f ca="1">M425+M426</f>
        <v>-47618.936306529882</v>
      </c>
      <c r="N427" s="223">
        <f t="shared" ca="1" si="33"/>
        <v>-0.19939874381405251</v>
      </c>
      <c r="O427" s="225">
        <f ca="1">O425+O426</f>
        <v>0.99999999999999989</v>
      </c>
      <c r="P427" s="147"/>
    </row>
    <row r="428" spans="2:16" ht="17.25" customHeight="1" thickBot="1">
      <c r="B428" s="148"/>
      <c r="C428" s="160"/>
      <c r="D428" s="160"/>
      <c r="E428" s="160"/>
      <c r="F428" s="161"/>
      <c r="G428" s="162"/>
      <c r="H428" s="163"/>
      <c r="I428" s="164"/>
      <c r="J428" s="162"/>
      <c r="K428" s="165"/>
      <c r="L428" s="164"/>
      <c r="M428" s="166"/>
      <c r="N428" s="167"/>
      <c r="O428" s="168"/>
      <c r="P428" s="149"/>
    </row>
    <row r="429" spans="2:16" ht="17.25" customHeight="1">
      <c r="B429" s="25"/>
      <c r="C429" s="31"/>
      <c r="D429" s="31"/>
      <c r="E429" s="31"/>
      <c r="F429" s="49"/>
      <c r="G429" s="50"/>
      <c r="H429" s="51"/>
      <c r="I429" s="52"/>
      <c r="J429" s="50"/>
      <c r="K429" s="53"/>
      <c r="L429" s="52"/>
      <c r="M429" s="54"/>
      <c r="N429" s="157"/>
      <c r="O429" s="158"/>
      <c r="P429" s="25"/>
    </row>
    <row r="430" spans="2:16" ht="17.25" customHeight="1" thickBot="1">
      <c r="B430" s="25"/>
      <c r="C430" s="31"/>
      <c r="D430" s="31"/>
      <c r="E430" s="31"/>
      <c r="F430" s="49"/>
      <c r="G430" s="50"/>
      <c r="H430" s="51"/>
      <c r="I430" s="52"/>
      <c r="J430" s="50"/>
      <c r="K430" s="53"/>
      <c r="L430" s="52"/>
      <c r="M430" s="54"/>
      <c r="N430" s="157"/>
      <c r="O430" s="158"/>
      <c r="P430" s="25"/>
    </row>
    <row r="431" spans="2:16" ht="17.25" customHeight="1">
      <c r="B431" s="156"/>
      <c r="C431" s="539"/>
      <c r="D431" s="539"/>
      <c r="E431" s="539"/>
      <c r="F431" s="539"/>
      <c r="G431" s="539"/>
      <c r="H431" s="539"/>
      <c r="I431" s="539"/>
      <c r="J431" s="539"/>
      <c r="K431" s="539"/>
      <c r="L431" s="539"/>
      <c r="M431" s="539"/>
      <c r="N431" s="539"/>
      <c r="O431" s="539"/>
      <c r="P431" s="146"/>
    </row>
    <row r="432" spans="2:16" ht="23.25">
      <c r="B432" s="154"/>
      <c r="C432" s="540" t="s">
        <v>84</v>
      </c>
      <c r="D432" s="540"/>
      <c r="E432" s="540"/>
      <c r="F432" s="540"/>
      <c r="G432" s="540"/>
      <c r="H432" s="540"/>
      <c r="I432" s="540"/>
      <c r="J432" s="540"/>
      <c r="K432" s="540"/>
      <c r="L432" s="540"/>
      <c r="M432" s="540"/>
      <c r="N432" s="540"/>
      <c r="O432" s="540"/>
      <c r="P432" s="147"/>
    </row>
    <row r="433" spans="2:17" ht="17.25" customHeight="1" thickBot="1">
      <c r="B433" s="154"/>
      <c r="C433" s="541"/>
      <c r="D433" s="541"/>
      <c r="E433" s="541"/>
      <c r="F433" s="541"/>
      <c r="G433" s="541"/>
      <c r="H433" s="541"/>
      <c r="I433" s="541"/>
      <c r="J433" s="541"/>
      <c r="K433" s="541"/>
      <c r="L433" s="541"/>
      <c r="M433" s="541"/>
      <c r="N433" s="541"/>
      <c r="O433" s="541"/>
      <c r="P433" s="147"/>
      <c r="Q433" s="25"/>
    </row>
    <row r="434" spans="2:17" ht="17.25" customHeight="1" thickBot="1">
      <c r="B434" s="154"/>
      <c r="C434" s="155"/>
      <c r="D434" s="155"/>
      <c r="E434" s="31"/>
      <c r="F434" s="32"/>
      <c r="G434" s="534" t="str">
        <f>$G$10</f>
        <v>2011 BILL</v>
      </c>
      <c r="H434" s="535"/>
      <c r="I434" s="536"/>
      <c r="J434" s="534" t="str">
        <f>$J$10</f>
        <v>2012 BILL</v>
      </c>
      <c r="K434" s="535"/>
      <c r="L434" s="536"/>
      <c r="M434" s="534" t="s">
        <v>73</v>
      </c>
      <c r="N434" s="535"/>
      <c r="O434" s="536"/>
      <c r="P434" s="147"/>
      <c r="Q434" s="25"/>
    </row>
    <row r="435" spans="2:17" ht="26.25" thickBot="1">
      <c r="B435" s="154"/>
      <c r="C435" s="31"/>
      <c r="D435" s="31"/>
      <c r="E435" s="33"/>
      <c r="F435" s="34"/>
      <c r="G435" s="366" t="s">
        <v>67</v>
      </c>
      <c r="H435" s="367" t="s">
        <v>68</v>
      </c>
      <c r="I435" s="368" t="s">
        <v>69</v>
      </c>
      <c r="J435" s="369" t="s">
        <v>67</v>
      </c>
      <c r="K435" s="367" t="s">
        <v>68</v>
      </c>
      <c r="L435" s="368" t="s">
        <v>69</v>
      </c>
      <c r="M435" s="174" t="s">
        <v>74</v>
      </c>
      <c r="N435" s="175" t="s">
        <v>75</v>
      </c>
      <c r="O435" s="176" t="s">
        <v>76</v>
      </c>
      <c r="P435" s="147"/>
      <c r="Q435" s="25"/>
    </row>
    <row r="436" spans="2:17" ht="17.25" customHeight="1" thickBot="1">
      <c r="B436" s="154"/>
      <c r="C436" s="528" t="s">
        <v>137</v>
      </c>
      <c r="D436" s="529"/>
      <c r="E436" s="31"/>
      <c r="F436" s="372" t="s">
        <v>71</v>
      </c>
      <c r="G436" s="370">
        <f>C437</f>
        <v>2801.1936395745015</v>
      </c>
      <c r="H436" s="440">
        <f>'2011 Existing Rates'!$B$13</f>
        <v>0.01</v>
      </c>
      <c r="I436" s="193">
        <f t="shared" ref="I436:I441" si="34">+G436*H436</f>
        <v>28.011936395745014</v>
      </c>
      <c r="J436" s="370">
        <f>G436</f>
        <v>2801.1936395745015</v>
      </c>
      <c r="K436" s="440">
        <f>'Rate Schedule (Part 1)'!$E$51</f>
        <v>1.1132</v>
      </c>
      <c r="L436" s="193">
        <f t="shared" ref="L436:L441" si="35">+J436*K436</f>
        <v>3118.288759574335</v>
      </c>
      <c r="M436" s="215">
        <f t="shared" ref="M436:M441" si="36">+L436-I436</f>
        <v>3090.2768231785899</v>
      </c>
      <c r="N436" s="216">
        <f t="shared" ref="N436:N450" si="37">+M436/I436</f>
        <v>110.32</v>
      </c>
      <c r="O436" s="208">
        <f>L436/L450</f>
        <v>9.554061291123463E-3</v>
      </c>
      <c r="P436" s="147"/>
      <c r="Q436" s="25"/>
    </row>
    <row r="437" spans="2:17" ht="17.25" customHeight="1" thickBot="1">
      <c r="B437" s="154"/>
      <c r="C437" s="152">
        <f>'Forecast Data For 2012'!C20</f>
        <v>2801.1936395745015</v>
      </c>
      <c r="D437" s="153" t="s">
        <v>136</v>
      </c>
      <c r="E437" s="31"/>
      <c r="F437" s="373" t="s">
        <v>82</v>
      </c>
      <c r="G437" s="432">
        <f>C439</f>
        <v>6082.8591488972397</v>
      </c>
      <c r="H437" s="178">
        <f>'2011 Existing Rates'!$D$65</f>
        <v>9.74E-2</v>
      </c>
      <c r="I437" s="193">
        <f t="shared" si="34"/>
        <v>592.47048110259118</v>
      </c>
      <c r="J437" s="433">
        <f>G437</f>
        <v>6082.8591488972397</v>
      </c>
      <c r="K437" s="177">
        <f>'Rate Schedule (Part 1)'!$E$52</f>
        <v>10.8421</v>
      </c>
      <c r="L437" s="193">
        <f t="shared" si="35"/>
        <v>65950.967178258768</v>
      </c>
      <c r="M437" s="215">
        <f t="shared" si="36"/>
        <v>65358.496697156181</v>
      </c>
      <c r="N437" s="216">
        <f t="shared" si="37"/>
        <v>110.31519507186859</v>
      </c>
      <c r="O437" s="208">
        <f>L437/L450</f>
        <v>0.20206582238264825</v>
      </c>
      <c r="P437" s="147"/>
      <c r="Q437" s="25"/>
    </row>
    <row r="438" spans="2:17" ht="17.25" customHeight="1" thickBot="1">
      <c r="B438" s="154"/>
      <c r="C438" s="152">
        <f>'Forecast Data For 2012'!C22</f>
        <v>2225083.8466967554</v>
      </c>
      <c r="D438" s="153" t="s">
        <v>16</v>
      </c>
      <c r="E438" s="31"/>
      <c r="F438" s="373" t="s">
        <v>226</v>
      </c>
      <c r="G438" s="435">
        <f>G437</f>
        <v>6082.8591488972397</v>
      </c>
      <c r="H438" s="374">
        <f>'2011 Existing Rates'!$D$39</f>
        <v>0.43940000000000001</v>
      </c>
      <c r="I438" s="193">
        <f t="shared" si="34"/>
        <v>2672.8083100254471</v>
      </c>
      <c r="J438" s="433">
        <f>G438</f>
        <v>6082.8591488972397</v>
      </c>
      <c r="K438" s="177">
        <f>'Rate Schedule (Part 1)'!$E$53</f>
        <v>0.33510000000000001</v>
      </c>
      <c r="L438" s="193">
        <f t="shared" si="35"/>
        <v>2038.3661007954652</v>
      </c>
      <c r="M438" s="215">
        <f t="shared" si="36"/>
        <v>-634.44220922998193</v>
      </c>
      <c r="N438" s="216">
        <f t="shared" si="37"/>
        <v>-0.23736913973600357</v>
      </c>
      <c r="O438" s="208">
        <f>L438/L450</f>
        <v>6.2453082964024891E-3</v>
      </c>
      <c r="P438" s="147"/>
    </row>
    <row r="439" spans="2:17" ht="17.25" customHeight="1" thickBot="1">
      <c r="B439" s="154"/>
      <c r="C439" s="152">
        <f>'Forecast Data For 2012'!C21</f>
        <v>6082.8591488972397</v>
      </c>
      <c r="D439" s="153" t="s">
        <v>17</v>
      </c>
      <c r="E439" s="31"/>
      <c r="F439" s="181" t="s">
        <v>227</v>
      </c>
      <c r="G439" s="433">
        <f>G438</f>
        <v>6082.8591488972397</v>
      </c>
      <c r="H439" s="178"/>
      <c r="I439" s="193">
        <f t="shared" si="34"/>
        <v>0</v>
      </c>
      <c r="J439" s="433">
        <f>G439</f>
        <v>6082.8591488972397</v>
      </c>
      <c r="K439" s="177">
        <f>'Rate Schedule (Part 1)'!$E$54</f>
        <v>0</v>
      </c>
      <c r="L439" s="197">
        <f t="shared" si="35"/>
        <v>0</v>
      </c>
      <c r="M439" s="215">
        <f t="shared" si="36"/>
        <v>0</v>
      </c>
      <c r="N439" s="216" t="e">
        <f t="shared" si="37"/>
        <v>#DIV/0!</v>
      </c>
      <c r="O439" s="208">
        <f>L439/L450</f>
        <v>0</v>
      </c>
      <c r="P439" s="147"/>
    </row>
    <row r="440" spans="2:17" ht="17.25" customHeight="1">
      <c r="B440" s="154"/>
      <c r="C440" s="63"/>
      <c r="D440" s="64"/>
      <c r="E440" s="31"/>
      <c r="F440" s="419" t="s">
        <v>272</v>
      </c>
      <c r="G440" s="436"/>
      <c r="H440" s="202"/>
      <c r="I440" s="193">
        <f>'2011 Existing Rates'!B79</f>
        <v>0.73</v>
      </c>
      <c r="J440" s="434">
        <f>G440</f>
        <v>0</v>
      </c>
      <c r="K440" s="420">
        <f>'2012 Rate Rider'!$F$11</f>
        <v>0</v>
      </c>
      <c r="L440" s="193">
        <f t="shared" si="35"/>
        <v>0</v>
      </c>
      <c r="M440" s="207">
        <f t="shared" si="36"/>
        <v>-0.73</v>
      </c>
      <c r="N440" s="201">
        <f t="shared" si="37"/>
        <v>-1</v>
      </c>
      <c r="O440" s="208">
        <f>L440/L450</f>
        <v>0</v>
      </c>
      <c r="P440" s="147"/>
    </row>
    <row r="441" spans="2:17" ht="17.25" customHeight="1" thickBot="1">
      <c r="B441" s="154"/>
      <c r="C441" s="63"/>
      <c r="D441" s="64"/>
      <c r="E441" s="31"/>
      <c r="F441" s="182" t="s">
        <v>228</v>
      </c>
      <c r="G441" s="433">
        <f>G439</f>
        <v>6082.8591488972397</v>
      </c>
      <c r="H441" s="178">
        <f>'2011 Existing Rates'!$D$26</f>
        <v>2.0899999999999998E-2</v>
      </c>
      <c r="I441" s="193">
        <f t="shared" si="34"/>
        <v>127.13175621195231</v>
      </c>
      <c r="J441" s="433">
        <f>J439</f>
        <v>6082.8591488972397</v>
      </c>
      <c r="K441" s="177">
        <f>'2012 Rate Rider'!C12</f>
        <v>-3.2839032404987774</v>
      </c>
      <c r="L441" s="197">
        <f t="shared" si="35"/>
        <v>-19975.520870561279</v>
      </c>
      <c r="M441" s="215">
        <f t="shared" si="36"/>
        <v>-20102.65262677323</v>
      </c>
      <c r="N441" s="216">
        <f t="shared" si="37"/>
        <v>-158.12455696166396</v>
      </c>
      <c r="O441" s="208">
        <f>L441/L450</f>
        <v>-6.1202590726559328E-2</v>
      </c>
      <c r="P441" s="147"/>
    </row>
    <row r="442" spans="2:17" ht="17.25" customHeight="1" thickBot="1">
      <c r="B442" s="154"/>
      <c r="C442" s="31"/>
      <c r="D442" s="31"/>
      <c r="E442" s="31"/>
      <c r="F442" s="218" t="s">
        <v>223</v>
      </c>
      <c r="G442" s="530"/>
      <c r="H442" s="531"/>
      <c r="I442" s="220">
        <f>SUM(I436:I441)</f>
        <v>3421.1524837357356</v>
      </c>
      <c r="J442" s="530"/>
      <c r="K442" s="531"/>
      <c r="L442" s="220">
        <f>SUM(L436:L441)</f>
        <v>51132.101168067296</v>
      </c>
      <c r="M442" s="222">
        <f>SUM(M436:M441)</f>
        <v>47710.948684331568</v>
      </c>
      <c r="N442" s="223">
        <f t="shared" si="37"/>
        <v>13.945870261892999</v>
      </c>
      <c r="O442" s="225">
        <f>SUM(O436:O441)</f>
        <v>0.15666260124361486</v>
      </c>
      <c r="P442" s="147"/>
    </row>
    <row r="443" spans="2:17" ht="17.25" customHeight="1" thickBot="1">
      <c r="B443" s="154"/>
      <c r="C443" s="31"/>
      <c r="D443" s="31"/>
      <c r="E443" s="31"/>
      <c r="F443" s="181" t="s">
        <v>229</v>
      </c>
      <c r="G443" s="437">
        <f>G441</f>
        <v>6082.8591488972397</v>
      </c>
      <c r="H443" s="441">
        <f>'Other Electriciy Rates'!$F$15</f>
        <v>2.8582000000000001</v>
      </c>
      <c r="I443" s="193">
        <f>+G443*H443</f>
        <v>17386.028019378093</v>
      </c>
      <c r="J443" s="437">
        <f>G443</f>
        <v>6082.8591488972397</v>
      </c>
      <c r="K443" s="177">
        <f>'Other Electriciy Rates'!$F$30</f>
        <v>2.9092286216092931</v>
      </c>
      <c r="L443" s="193">
        <f>+J443*K443</f>
        <v>17696.427937189794</v>
      </c>
      <c r="M443" s="350">
        <f>+L443-I443</f>
        <v>310.39991781170102</v>
      </c>
      <c r="N443" s="205">
        <f t="shared" si="37"/>
        <v>1.7853411800886086E-2</v>
      </c>
      <c r="O443" s="208">
        <f>L443/L450</f>
        <v>5.4219724400680673E-2</v>
      </c>
      <c r="P443" s="147"/>
    </row>
    <row r="444" spans="2:17" ht="17.25" customHeight="1" thickBot="1">
      <c r="B444" s="154"/>
      <c r="C444" s="31"/>
      <c r="D444" s="31"/>
      <c r="E444" s="31"/>
      <c r="F444" s="218" t="s">
        <v>225</v>
      </c>
      <c r="G444" s="530"/>
      <c r="H444" s="531"/>
      <c r="I444" s="220">
        <f>I442+I443</f>
        <v>20807.180503113828</v>
      </c>
      <c r="J444" s="530"/>
      <c r="K444" s="531"/>
      <c r="L444" s="220">
        <f>L442+L443</f>
        <v>68828.529105257097</v>
      </c>
      <c r="M444" s="220">
        <f>M442+M443</f>
        <v>48021.348602143269</v>
      </c>
      <c r="N444" s="223">
        <f t="shared" si="37"/>
        <v>2.3079219500670356</v>
      </c>
      <c r="O444" s="351">
        <f>L444/L450</f>
        <v>0.2108823256442956</v>
      </c>
      <c r="P444" s="147"/>
    </row>
    <row r="445" spans="2:17" ht="17.25" customHeight="1">
      <c r="B445" s="154"/>
      <c r="C445" s="31"/>
      <c r="D445" s="31"/>
      <c r="E445" s="31"/>
      <c r="F445" s="179" t="s">
        <v>77</v>
      </c>
      <c r="G445" s="438">
        <f>C438*'Other Electriciy Rates'!$L$15</f>
        <v>2401087.9789704685</v>
      </c>
      <c r="H445" s="186">
        <f>'Other Electriciy Rates'!$C$15+'Other Electriciy Rates'!$D$15</f>
        <v>1.2986887220832175E-2</v>
      </c>
      <c r="I445" s="187">
        <f>+G445*H445</f>
        <v>31182.658790185331</v>
      </c>
      <c r="J445" s="438">
        <f>C438*'Other Electriciy Rates'!$L$30</f>
        <v>2403090.554432496</v>
      </c>
      <c r="K445" s="186">
        <f>'Other Electriciy Rates'!$C$30+'Other Electriciy Rates'!$D$30</f>
        <v>1.278148148148148E-2</v>
      </c>
      <c r="L445" s="214">
        <f>+J445*K445</f>
        <v>30715.057419802011</v>
      </c>
      <c r="M445" s="215">
        <f>+L445-I445</f>
        <v>-467.60137038331959</v>
      </c>
      <c r="N445" s="216">
        <f t="shared" si="37"/>
        <v>-1.4995558060959703E-2</v>
      </c>
      <c r="O445" s="208">
        <f>L445/L450</f>
        <v>9.4107237582841133E-2</v>
      </c>
      <c r="P445" s="147"/>
    </row>
    <row r="446" spans="2:17" ht="17.25" customHeight="1">
      <c r="B446" s="154"/>
      <c r="C446" s="31"/>
      <c r="D446" s="31"/>
      <c r="E446" s="31"/>
      <c r="F446" s="179" t="s">
        <v>78</v>
      </c>
      <c r="G446" s="438">
        <f>G445</f>
        <v>2401087.9789704685</v>
      </c>
      <c r="H446" s="186">
        <f>'Other Electriciy Rates'!$J$15</f>
        <v>7.8770000000000007E-2</v>
      </c>
      <c r="I446" s="187">
        <f>+G446*H446</f>
        <v>189133.70010350383</v>
      </c>
      <c r="J446" s="438">
        <f>J445</f>
        <v>2403090.554432496</v>
      </c>
      <c r="K446" s="186">
        <f>'Other Electriciy Rates'!$J$30</f>
        <v>7.8770000000000007E-2</v>
      </c>
      <c r="L446" s="214">
        <f>+J446*K446</f>
        <v>189291.44297264772</v>
      </c>
      <c r="M446" s="215">
        <f>+L446-I446</f>
        <v>157.74286914389813</v>
      </c>
      <c r="N446" s="216">
        <f t="shared" si="37"/>
        <v>8.3402835696426924E-4</v>
      </c>
      <c r="O446" s="208">
        <f>L446/L450</f>
        <v>0.57996618898525276</v>
      </c>
      <c r="P446" s="147"/>
    </row>
    <row r="447" spans="2:17" ht="18" customHeight="1" thickBot="1">
      <c r="B447" s="154"/>
      <c r="C447" s="31"/>
      <c r="D447" s="31"/>
      <c r="E447" s="31"/>
      <c r="F447" s="181" t="s">
        <v>235</v>
      </c>
      <c r="G447" s="439">
        <f>G446</f>
        <v>2401087.9789704685</v>
      </c>
      <c r="H447" s="186">
        <f>'2012 Rate Rider'!$G$12</f>
        <v>0</v>
      </c>
      <c r="I447" s="189">
        <f>+G447*H447</f>
        <v>0</v>
      </c>
      <c r="J447" s="439">
        <f>G447</f>
        <v>2401087.9789704685</v>
      </c>
      <c r="K447" s="186">
        <f>H447</f>
        <v>0</v>
      </c>
      <c r="L447" s="211">
        <f>+J447*K447</f>
        <v>0</v>
      </c>
      <c r="M447" s="212">
        <f>+L447-I447</f>
        <v>0</v>
      </c>
      <c r="N447" s="213" t="e">
        <f t="shared" si="37"/>
        <v>#DIV/0!</v>
      </c>
      <c r="O447" s="226">
        <f>L447/L450</f>
        <v>0</v>
      </c>
      <c r="P447" s="147"/>
    </row>
    <row r="448" spans="2:17" ht="17.25" customHeight="1" thickBot="1">
      <c r="B448" s="154"/>
      <c r="C448" s="31"/>
      <c r="D448" s="31"/>
      <c r="E448" s="31"/>
      <c r="F448" s="218" t="s">
        <v>192</v>
      </c>
      <c r="G448" s="530"/>
      <c r="H448" s="531"/>
      <c r="I448" s="220">
        <f>SUM(I444:I447)</f>
        <v>241123.53939680298</v>
      </c>
      <c r="J448" s="530"/>
      <c r="K448" s="531"/>
      <c r="L448" s="220">
        <f>SUM(L444:L447)</f>
        <v>288835.0294977068</v>
      </c>
      <c r="M448" s="220">
        <f>SUM(M444:M447)</f>
        <v>47711.490100903844</v>
      </c>
      <c r="N448" s="223">
        <f t="shared" si="37"/>
        <v>0.19787155671428586</v>
      </c>
      <c r="O448" s="351">
        <f>L448/L450</f>
        <v>0.88495575221238931</v>
      </c>
      <c r="P448" s="147"/>
    </row>
    <row r="449" spans="2:17" ht="17.25" customHeight="1" thickBot="1">
      <c r="B449" s="154"/>
      <c r="C449" s="31"/>
      <c r="D449" s="31"/>
      <c r="E449" s="31"/>
      <c r="F449" s="278" t="s">
        <v>193</v>
      </c>
      <c r="G449" s="279"/>
      <c r="H449" s="283">
        <v>0.13</v>
      </c>
      <c r="I449" s="280">
        <f>I448*H449</f>
        <v>31346.060121584389</v>
      </c>
      <c r="J449" s="279"/>
      <c r="K449" s="283">
        <v>0.13</v>
      </c>
      <c r="L449" s="281">
        <f>L448*K449</f>
        <v>37548.553834701888</v>
      </c>
      <c r="M449" s="212">
        <f>+L449-I449</f>
        <v>6202.4937131174993</v>
      </c>
      <c r="N449" s="213">
        <f t="shared" si="37"/>
        <v>0.19787155671428586</v>
      </c>
      <c r="O449" s="226">
        <f>L449/L450</f>
        <v>0.11504424778761063</v>
      </c>
      <c r="P449" s="147"/>
    </row>
    <row r="450" spans="2:17" ht="17.25" customHeight="1" thickBot="1">
      <c r="B450" s="154"/>
      <c r="C450" s="31"/>
      <c r="D450" s="31"/>
      <c r="E450" s="35"/>
      <c r="F450" s="382" t="s">
        <v>79</v>
      </c>
      <c r="G450" s="537"/>
      <c r="H450" s="538"/>
      <c r="I450" s="383">
        <f>I448+I449</f>
        <v>272469.59951838735</v>
      </c>
      <c r="J450" s="537"/>
      <c r="K450" s="538"/>
      <c r="L450" s="383">
        <f>L448+L449</f>
        <v>326383.58333240869</v>
      </c>
      <c r="M450" s="383">
        <f>M448+M449</f>
        <v>53913.98381402134</v>
      </c>
      <c r="N450" s="384">
        <f t="shared" si="37"/>
        <v>0.19787155671428586</v>
      </c>
      <c r="O450" s="347">
        <f>O448+O449</f>
        <v>1</v>
      </c>
      <c r="P450" s="147"/>
    </row>
    <row r="451" spans="2:17" ht="17.25" customHeight="1" thickBot="1">
      <c r="B451" s="148"/>
      <c r="C451" s="160"/>
      <c r="D451" s="160"/>
      <c r="E451" s="160"/>
      <c r="F451" s="260"/>
      <c r="G451" s="261"/>
      <c r="H451" s="262"/>
      <c r="I451" s="263"/>
      <c r="J451" s="261"/>
      <c r="K451" s="264"/>
      <c r="L451" s="263"/>
      <c r="M451" s="385"/>
      <c r="N451" s="265"/>
      <c r="O451" s="266"/>
      <c r="P451" s="149"/>
    </row>
    <row r="452" spans="2:17" ht="17.25" customHeight="1" thickBot="1">
      <c r="B452" s="25"/>
      <c r="C452" s="31"/>
      <c r="D452" s="31"/>
      <c r="E452" s="31"/>
      <c r="F452" s="49"/>
      <c r="G452" s="50"/>
      <c r="H452" s="51"/>
      <c r="I452" s="52"/>
      <c r="J452" s="50"/>
      <c r="K452" s="53"/>
      <c r="L452" s="52"/>
      <c r="M452" s="54"/>
      <c r="N452" s="157"/>
      <c r="O452" s="158"/>
      <c r="P452" s="25"/>
    </row>
    <row r="453" spans="2:17" ht="17.25" customHeight="1">
      <c r="B453" s="156"/>
      <c r="C453" s="539"/>
      <c r="D453" s="539"/>
      <c r="E453" s="539"/>
      <c r="F453" s="539"/>
      <c r="G453" s="539"/>
      <c r="H453" s="539"/>
      <c r="I453" s="539"/>
      <c r="J453" s="539"/>
      <c r="K453" s="539"/>
      <c r="L453" s="539"/>
      <c r="M453" s="539"/>
      <c r="N453" s="539"/>
      <c r="O453" s="539"/>
      <c r="P453" s="146"/>
    </row>
    <row r="454" spans="2:17" ht="23.25">
      <c r="B454" s="154"/>
      <c r="C454" s="540" t="s">
        <v>83</v>
      </c>
      <c r="D454" s="540"/>
      <c r="E454" s="540"/>
      <c r="F454" s="540"/>
      <c r="G454" s="540"/>
      <c r="H454" s="540"/>
      <c r="I454" s="540"/>
      <c r="J454" s="540"/>
      <c r="K454" s="540"/>
      <c r="L454" s="540"/>
      <c r="M454" s="540"/>
      <c r="N454" s="540"/>
      <c r="O454" s="540"/>
      <c r="P454" s="147"/>
    </row>
    <row r="455" spans="2:17" ht="17.25" customHeight="1" thickBot="1">
      <c r="B455" s="154"/>
      <c r="C455" s="541"/>
      <c r="D455" s="541"/>
      <c r="E455" s="541"/>
      <c r="F455" s="541"/>
      <c r="G455" s="541"/>
      <c r="H455" s="541"/>
      <c r="I455" s="541"/>
      <c r="J455" s="541"/>
      <c r="K455" s="541"/>
      <c r="L455" s="541"/>
      <c r="M455" s="541"/>
      <c r="N455" s="541"/>
      <c r="O455" s="541"/>
      <c r="P455" s="147"/>
      <c r="Q455" s="25"/>
    </row>
    <row r="456" spans="2:17" ht="17.25" customHeight="1" thickBot="1">
      <c r="B456" s="154"/>
      <c r="C456" s="155"/>
      <c r="D456" s="155"/>
      <c r="E456" s="31"/>
      <c r="F456" s="32"/>
      <c r="G456" s="534" t="str">
        <f>$G$10</f>
        <v>2011 BILL</v>
      </c>
      <c r="H456" s="535"/>
      <c r="I456" s="536"/>
      <c r="J456" s="534" t="str">
        <f>$J$10</f>
        <v>2012 BILL</v>
      </c>
      <c r="K456" s="535"/>
      <c r="L456" s="536"/>
      <c r="M456" s="534" t="s">
        <v>73</v>
      </c>
      <c r="N456" s="535"/>
      <c r="O456" s="536"/>
      <c r="P456" s="147"/>
      <c r="Q456" s="25"/>
    </row>
    <row r="457" spans="2:17" ht="26.25" thickBot="1">
      <c r="B457" s="154"/>
      <c r="C457" s="31"/>
      <c r="D457" s="31"/>
      <c r="E457" s="33"/>
      <c r="F457" s="34"/>
      <c r="G457" s="366" t="s">
        <v>67</v>
      </c>
      <c r="H457" s="367" t="s">
        <v>68</v>
      </c>
      <c r="I457" s="368" t="s">
        <v>69</v>
      </c>
      <c r="J457" s="369" t="s">
        <v>67</v>
      </c>
      <c r="K457" s="367" t="s">
        <v>68</v>
      </c>
      <c r="L457" s="368" t="s">
        <v>69</v>
      </c>
      <c r="M457" s="174" t="s">
        <v>74</v>
      </c>
      <c r="N457" s="175" t="s">
        <v>75</v>
      </c>
      <c r="O457" s="176" t="s">
        <v>76</v>
      </c>
      <c r="P457" s="147"/>
      <c r="Q457" s="25"/>
    </row>
    <row r="458" spans="2:17" ht="17.25" customHeight="1" thickBot="1">
      <c r="B458" s="154"/>
      <c r="C458" s="528" t="s">
        <v>137</v>
      </c>
      <c r="D458" s="529"/>
      <c r="E458" s="31"/>
      <c r="F458" s="372" t="s">
        <v>71</v>
      </c>
      <c r="G458" s="370">
        <f>C459</f>
        <v>7</v>
      </c>
      <c r="H458" s="364">
        <f>'2011 Existing Rates'!$B$12</f>
        <v>0.4</v>
      </c>
      <c r="I458" s="193">
        <f t="shared" ref="I458:I463" si="38">+G458*H458</f>
        <v>2.8000000000000003</v>
      </c>
      <c r="J458" s="370">
        <f>G458</f>
        <v>7</v>
      </c>
      <c r="K458" s="364">
        <f>'Rate Schedule (Part 1)'!$E$44</f>
        <v>2.9744000000000002</v>
      </c>
      <c r="L458" s="193">
        <f t="shared" ref="L458:L463" si="39">+J458*K458</f>
        <v>20.820800000000002</v>
      </c>
      <c r="M458" s="215">
        <f t="shared" ref="M458:M463" si="40">+L458-I458</f>
        <v>18.020800000000001</v>
      </c>
      <c r="N458" s="216">
        <f t="shared" ref="N458:N472" si="41">+M458/I458</f>
        <v>6.4359999999999999</v>
      </c>
      <c r="O458" s="208">
        <f>L458/L472</f>
        <v>1.6597644271427008E-2</v>
      </c>
      <c r="P458" s="147"/>
      <c r="Q458" s="25"/>
    </row>
    <row r="459" spans="2:17" ht="17.25" customHeight="1" thickBot="1">
      <c r="B459" s="154"/>
      <c r="C459" s="152">
        <f>'Forecast Data For 2012'!C17</f>
        <v>7</v>
      </c>
      <c r="D459" s="153" t="s">
        <v>136</v>
      </c>
      <c r="E459" s="31"/>
      <c r="F459" s="373" t="s">
        <v>82</v>
      </c>
      <c r="G459" s="432">
        <f>C461</f>
        <v>15.091686685374189</v>
      </c>
      <c r="H459" s="178">
        <f>'2011 Existing Rates'!$D$64</f>
        <v>0.75080000000000002</v>
      </c>
      <c r="I459" s="193">
        <f t="shared" si="38"/>
        <v>11.330838363378941</v>
      </c>
      <c r="J459" s="433">
        <f>G459</f>
        <v>15.091686685374189</v>
      </c>
      <c r="K459" s="177">
        <f>'Rate Schedule (Part 1)'!$E$45</f>
        <v>5.5830000000000002</v>
      </c>
      <c r="L459" s="193">
        <f t="shared" si="39"/>
        <v>84.256886764444104</v>
      </c>
      <c r="M459" s="215">
        <f t="shared" si="40"/>
        <v>72.92604840106516</v>
      </c>
      <c r="N459" s="216">
        <f t="shared" si="41"/>
        <v>6.436068193926479</v>
      </c>
      <c r="O459" s="208">
        <f>L459/L472</f>
        <v>6.716676755620099E-2</v>
      </c>
      <c r="P459" s="147"/>
      <c r="Q459" s="25"/>
    </row>
    <row r="460" spans="2:17" ht="17.25" customHeight="1" thickBot="1">
      <c r="B460" s="154"/>
      <c r="C460" s="152">
        <f>'Forecast Data For 2012'!C19</f>
        <v>5564.2966477781893</v>
      </c>
      <c r="D460" s="153" t="s">
        <v>16</v>
      </c>
      <c r="E460" s="31"/>
      <c r="F460" s="373" t="s">
        <v>226</v>
      </c>
      <c r="G460" s="435">
        <f>G459</f>
        <v>15.091686685374189</v>
      </c>
      <c r="H460" s="374">
        <f>'2011 Existing Rates'!$D$38</f>
        <v>0</v>
      </c>
      <c r="I460" s="193">
        <f t="shared" si="38"/>
        <v>0</v>
      </c>
      <c r="J460" s="433">
        <f>G460</f>
        <v>15.091686685374189</v>
      </c>
      <c r="K460" s="177">
        <f>'Rate Schedule (Part 1)'!$E$46</f>
        <v>0.34210000000000002</v>
      </c>
      <c r="L460" s="193">
        <f t="shared" si="39"/>
        <v>5.16286601506651</v>
      </c>
      <c r="M460" s="215">
        <f t="shared" si="40"/>
        <v>5.16286601506651</v>
      </c>
      <c r="N460" s="216" t="e">
        <f t="shared" si="41"/>
        <v>#DIV/0!</v>
      </c>
      <c r="O460" s="208">
        <f>L460/L472</f>
        <v>4.115663833239541E-3</v>
      </c>
      <c r="P460" s="147"/>
    </row>
    <row r="461" spans="2:17" ht="17.25" customHeight="1" thickBot="1">
      <c r="B461" s="154"/>
      <c r="C461" s="152">
        <f>'Forecast Data For 2012'!C18</f>
        <v>15.091686685374189</v>
      </c>
      <c r="D461" s="153" t="s">
        <v>17</v>
      </c>
      <c r="E461" s="31"/>
      <c r="F461" s="181" t="s">
        <v>227</v>
      </c>
      <c r="G461" s="433">
        <f>G460</f>
        <v>15.091686685374189</v>
      </c>
      <c r="H461" s="178"/>
      <c r="I461" s="193">
        <f t="shared" si="38"/>
        <v>0</v>
      </c>
      <c r="J461" s="433">
        <f>G461</f>
        <v>15.091686685374189</v>
      </c>
      <c r="K461" s="177">
        <f>'Rate Schedule (Part 1)'!$E$47</f>
        <v>0</v>
      </c>
      <c r="L461" s="197">
        <f t="shared" si="39"/>
        <v>0</v>
      </c>
      <c r="M461" s="215">
        <f t="shared" si="40"/>
        <v>0</v>
      </c>
      <c r="N461" s="216" t="e">
        <f t="shared" si="41"/>
        <v>#DIV/0!</v>
      </c>
      <c r="O461" s="208">
        <f>L461/L472</f>
        <v>0</v>
      </c>
      <c r="P461" s="147"/>
    </row>
    <row r="462" spans="2:17" ht="17.25" customHeight="1">
      <c r="B462" s="154"/>
      <c r="C462" s="63"/>
      <c r="D462" s="64"/>
      <c r="E462" s="31"/>
      <c r="F462" s="419" t="s">
        <v>272</v>
      </c>
      <c r="G462" s="436"/>
      <c r="H462" s="202"/>
      <c r="I462" s="193">
        <f>'2011 Existing Rates'!B78</f>
        <v>0.32</v>
      </c>
      <c r="J462" s="434">
        <f>G462</f>
        <v>0</v>
      </c>
      <c r="K462" s="420">
        <f>'2012 Rate Rider'!$F$11</f>
        <v>0</v>
      </c>
      <c r="L462" s="193">
        <f t="shared" si="39"/>
        <v>0</v>
      </c>
      <c r="M462" s="207">
        <f t="shared" si="40"/>
        <v>-0.32</v>
      </c>
      <c r="N462" s="201">
        <f t="shared" si="41"/>
        <v>-1</v>
      </c>
      <c r="O462" s="208">
        <f>L462/L472</f>
        <v>0</v>
      </c>
      <c r="P462" s="147"/>
    </row>
    <row r="463" spans="2:17" ht="17.25" customHeight="1" thickBot="1">
      <c r="B463" s="154"/>
      <c r="C463" s="63"/>
      <c r="D463" s="64"/>
      <c r="E463" s="31"/>
      <c r="F463" s="182" t="s">
        <v>228</v>
      </c>
      <c r="G463" s="433">
        <f>G461</f>
        <v>15.091686685374189</v>
      </c>
      <c r="H463" s="178">
        <f>'2011 Existing Rates'!$D$25</f>
        <v>0</v>
      </c>
      <c r="I463" s="193">
        <f t="shared" si="38"/>
        <v>0</v>
      </c>
      <c r="J463" s="433">
        <f>J461</f>
        <v>15.091686685374189</v>
      </c>
      <c r="K463" s="177">
        <f>'2012 Rate Rider'!C11</f>
        <v>26.854211057783228</v>
      </c>
      <c r="L463" s="197">
        <f t="shared" si="39"/>
        <v>405.27533946697548</v>
      </c>
      <c r="M463" s="215">
        <f t="shared" si="40"/>
        <v>405.27533946697548</v>
      </c>
      <c r="N463" s="216" t="e">
        <f t="shared" si="41"/>
        <v>#DIV/0!</v>
      </c>
      <c r="O463" s="208">
        <f>L463/L472</f>
        <v>0.32307192405933877</v>
      </c>
      <c r="P463" s="147"/>
    </row>
    <row r="464" spans="2:17" ht="17.25" customHeight="1" thickBot="1">
      <c r="B464" s="154"/>
      <c r="C464" s="31"/>
      <c r="D464" s="31"/>
      <c r="E464" s="31"/>
      <c r="F464" s="218" t="s">
        <v>223</v>
      </c>
      <c r="G464" s="530"/>
      <c r="H464" s="531"/>
      <c r="I464" s="220">
        <f>SUM(I458:I463)</f>
        <v>14.450838363378942</v>
      </c>
      <c r="J464" s="530"/>
      <c r="K464" s="531"/>
      <c r="L464" s="220">
        <f>SUM(L458:L463)</f>
        <v>515.51589224648615</v>
      </c>
      <c r="M464" s="222">
        <f>SUM(M458:M463)</f>
        <v>501.06505388310717</v>
      </c>
      <c r="N464" s="223">
        <f t="shared" si="41"/>
        <v>34.673770564958872</v>
      </c>
      <c r="O464" s="225">
        <f>SUM(O458:O463)</f>
        <v>0.4109519997202063</v>
      </c>
      <c r="P464" s="147"/>
    </row>
    <row r="465" spans="2:16" ht="17.25" customHeight="1" thickBot="1">
      <c r="B465" s="154"/>
      <c r="C465" s="31"/>
      <c r="D465" s="31"/>
      <c r="E465" s="31"/>
      <c r="F465" s="181" t="s">
        <v>229</v>
      </c>
      <c r="G465" s="437">
        <f>G463</f>
        <v>15.091686685374189</v>
      </c>
      <c r="H465" s="349">
        <f>'Other Electriciy Rates'!$F$14</f>
        <v>2.8928000000000003</v>
      </c>
      <c r="I465" s="193">
        <f>+G465*H465</f>
        <v>43.657231243450454</v>
      </c>
      <c r="J465" s="437">
        <f>G465</f>
        <v>15.091686685374189</v>
      </c>
      <c r="K465" s="177">
        <f>'Other Electriciy Rates'!$F$29</f>
        <v>2.9445057063713227</v>
      </c>
      <c r="L465" s="193">
        <f>+J465*K465</f>
        <v>44.437557563852408</v>
      </c>
      <c r="M465" s="350">
        <f>+L465-I465</f>
        <v>0.78032632040195438</v>
      </c>
      <c r="N465" s="205">
        <f t="shared" si="41"/>
        <v>1.7873930576369764E-2</v>
      </c>
      <c r="O465" s="208">
        <f>L465/L472</f>
        <v>3.5424132249283535E-2</v>
      </c>
      <c r="P465" s="147"/>
    </row>
    <row r="466" spans="2:16" ht="17.25" customHeight="1" thickBot="1">
      <c r="B466" s="154"/>
      <c r="C466" s="31"/>
      <c r="D466" s="31"/>
      <c r="E466" s="31"/>
      <c r="F466" s="218" t="s">
        <v>225</v>
      </c>
      <c r="G466" s="530"/>
      <c r="H466" s="531"/>
      <c r="I466" s="220">
        <f>I464+I465</f>
        <v>58.108069606829396</v>
      </c>
      <c r="J466" s="530"/>
      <c r="K466" s="531"/>
      <c r="L466" s="220">
        <f>L464+L465</f>
        <v>559.9534498103385</v>
      </c>
      <c r="M466" s="220">
        <f>M464+M465</f>
        <v>501.84538020350914</v>
      </c>
      <c r="N466" s="223">
        <f t="shared" si="41"/>
        <v>8.6364145909353631</v>
      </c>
      <c r="O466" s="351">
        <f>L466/L472</f>
        <v>0.44637613196948983</v>
      </c>
      <c r="P466" s="147"/>
    </row>
    <row r="467" spans="2:16" ht="17.25" customHeight="1">
      <c r="B467" s="154"/>
      <c r="C467" s="31"/>
      <c r="D467" s="31"/>
      <c r="E467" s="31"/>
      <c r="F467" s="179" t="s">
        <v>77</v>
      </c>
      <c r="G467" s="438">
        <f>C460*'Other Electriciy Rates'!$L$14</f>
        <v>6004.4325126174435</v>
      </c>
      <c r="H467" s="186">
        <f>'Other Electriciy Rates'!$C$14+'Other Electriciy Rates'!$D$14</f>
        <v>1.2986887220832175E-2</v>
      </c>
      <c r="I467" s="187">
        <f>+G467*H467</f>
        <v>77.978887866460695</v>
      </c>
      <c r="J467" s="438">
        <f>C460*'Other Electriciy Rates'!$L$29</f>
        <v>6009.4403796004444</v>
      </c>
      <c r="K467" s="186">
        <f>'Other Electriciy Rates'!$C$29+'Other Electriciy Rates'!$D$29</f>
        <v>1.278148148148148E-2</v>
      </c>
      <c r="L467" s="214">
        <f>+J467*K467</f>
        <v>76.809550925930125</v>
      </c>
      <c r="M467" s="215">
        <f>+L467-I467</f>
        <v>-1.1693369405305702</v>
      </c>
      <c r="N467" s="216">
        <f t="shared" si="41"/>
        <v>-1.499555806095961E-2</v>
      </c>
      <c r="O467" s="208">
        <f>L467/L472</f>
        <v>6.1230000908545537E-2</v>
      </c>
      <c r="P467" s="147"/>
    </row>
    <row r="468" spans="2:16" ht="17.25" customHeight="1">
      <c r="B468" s="154"/>
      <c r="C468" s="31"/>
      <c r="D468" s="31"/>
      <c r="E468" s="31"/>
      <c r="F468" s="179" t="s">
        <v>78</v>
      </c>
      <c r="G468" s="438">
        <f>G467</f>
        <v>6004.4325126174435</v>
      </c>
      <c r="H468" s="186">
        <f>'Other Electriciy Rates'!$J$14</f>
        <v>7.8770000000000007E-2</v>
      </c>
      <c r="I468" s="187">
        <f>+G468*H468</f>
        <v>472.96914901887607</v>
      </c>
      <c r="J468" s="438">
        <f>J467</f>
        <v>6009.4403796004444</v>
      </c>
      <c r="K468" s="186">
        <f>'Other Electriciy Rates'!$J$29</f>
        <v>7.8770000000000007E-2</v>
      </c>
      <c r="L468" s="214">
        <f>+J468*K468</f>
        <v>473.36361870112705</v>
      </c>
      <c r="M468" s="215">
        <f>+L468-I468</f>
        <v>0.39446968225098544</v>
      </c>
      <c r="N468" s="216">
        <f t="shared" si="41"/>
        <v>8.3402835696423465E-4</v>
      </c>
      <c r="O468" s="208">
        <f>L468/L472</f>
        <v>0.37734961933435401</v>
      </c>
      <c r="P468" s="147"/>
    </row>
    <row r="469" spans="2:16" ht="18" customHeight="1" thickBot="1">
      <c r="B469" s="154"/>
      <c r="C469" s="31"/>
      <c r="D469" s="31"/>
      <c r="E469" s="31"/>
      <c r="F469" s="181" t="s">
        <v>235</v>
      </c>
      <c r="G469" s="439">
        <f>G468</f>
        <v>6004.4325126174435</v>
      </c>
      <c r="H469" s="186">
        <f>'2012 Rate Rider'!$G$11</f>
        <v>0</v>
      </c>
      <c r="I469" s="189">
        <f>+G469*H469</f>
        <v>0</v>
      </c>
      <c r="J469" s="439">
        <f>G469</f>
        <v>6004.4325126174435</v>
      </c>
      <c r="K469" s="186">
        <f>H469</f>
        <v>0</v>
      </c>
      <c r="L469" s="211">
        <f>+J469*K469</f>
        <v>0</v>
      </c>
      <c r="M469" s="212">
        <f>+L469-I469</f>
        <v>0</v>
      </c>
      <c r="N469" s="213" t="e">
        <f t="shared" si="41"/>
        <v>#DIV/0!</v>
      </c>
      <c r="O469" s="226">
        <f>L469/L472</f>
        <v>0</v>
      </c>
      <c r="P469" s="147"/>
    </row>
    <row r="470" spans="2:16" ht="17.25" customHeight="1" thickBot="1">
      <c r="B470" s="154"/>
      <c r="C470" s="31"/>
      <c r="D470" s="31"/>
      <c r="E470" s="31"/>
      <c r="F470" s="218" t="s">
        <v>192</v>
      </c>
      <c r="G470" s="530"/>
      <c r="H470" s="531"/>
      <c r="I470" s="220">
        <f>SUM(I466:I469)</f>
        <v>609.05610649216612</v>
      </c>
      <c r="J470" s="530"/>
      <c r="K470" s="531"/>
      <c r="L470" s="220">
        <f>SUM(L466:L469)</f>
        <v>1110.1266194373957</v>
      </c>
      <c r="M470" s="220">
        <f>SUM(M466:M469)</f>
        <v>501.07051294522955</v>
      </c>
      <c r="N470" s="223">
        <f t="shared" si="41"/>
        <v>0.82270008888199941</v>
      </c>
      <c r="O470" s="351">
        <f>L470/L472</f>
        <v>0.88495575221238942</v>
      </c>
      <c r="P470" s="147"/>
    </row>
    <row r="471" spans="2:16" ht="17.25" customHeight="1" thickBot="1">
      <c r="B471" s="154"/>
      <c r="C471" s="31"/>
      <c r="D471" s="31"/>
      <c r="E471" s="31"/>
      <c r="F471" s="278" t="s">
        <v>193</v>
      </c>
      <c r="G471" s="279"/>
      <c r="H471" s="283">
        <v>0.13</v>
      </c>
      <c r="I471" s="280">
        <f>I470*H471</f>
        <v>79.177293843981602</v>
      </c>
      <c r="J471" s="279"/>
      <c r="K471" s="283">
        <v>0.13</v>
      </c>
      <c r="L471" s="281">
        <f>L470*K471</f>
        <v>144.31646052686145</v>
      </c>
      <c r="M471" s="212">
        <f>+L471-I471</f>
        <v>65.139166682879846</v>
      </c>
      <c r="N471" s="213">
        <f t="shared" si="41"/>
        <v>0.82270008888199941</v>
      </c>
      <c r="O471" s="226">
        <f>L471/L472</f>
        <v>0.11504424778761063</v>
      </c>
      <c r="P471" s="147"/>
    </row>
    <row r="472" spans="2:16" ht="17.25" customHeight="1" thickBot="1">
      <c r="B472" s="154"/>
      <c r="C472" s="31"/>
      <c r="D472" s="31"/>
      <c r="E472" s="35"/>
      <c r="F472" s="382" t="s">
        <v>79</v>
      </c>
      <c r="G472" s="537"/>
      <c r="H472" s="538"/>
      <c r="I472" s="383">
        <f>I470+I471</f>
        <v>688.23340033614772</v>
      </c>
      <c r="J472" s="537"/>
      <c r="K472" s="538"/>
      <c r="L472" s="383">
        <f>L470+L471</f>
        <v>1254.4430799642571</v>
      </c>
      <c r="M472" s="383">
        <f>M470+M471</f>
        <v>566.20967962810937</v>
      </c>
      <c r="N472" s="384">
        <f t="shared" si="41"/>
        <v>0.8227000888819993</v>
      </c>
      <c r="O472" s="347">
        <f>O470+O471</f>
        <v>1</v>
      </c>
      <c r="P472" s="147"/>
    </row>
    <row r="473" spans="2:16" ht="17.25" customHeight="1" thickBot="1">
      <c r="B473" s="148"/>
      <c r="C473" s="160"/>
      <c r="D473" s="160"/>
      <c r="E473" s="160"/>
      <c r="F473" s="260"/>
      <c r="G473" s="261"/>
      <c r="H473" s="262"/>
      <c r="I473" s="263"/>
      <c r="J473" s="261"/>
      <c r="K473" s="264"/>
      <c r="L473" s="263"/>
      <c r="M473" s="385"/>
      <c r="N473" s="265"/>
      <c r="O473" s="266"/>
      <c r="P473" s="149"/>
    </row>
    <row r="474" spans="2:16" ht="17.25" customHeight="1" thickBot="1">
      <c r="B474" s="25"/>
      <c r="C474" s="31"/>
      <c r="D474" s="31"/>
      <c r="E474" s="31"/>
      <c r="F474" s="49"/>
      <c r="G474" s="50"/>
      <c r="H474" s="51"/>
      <c r="I474" s="52"/>
      <c r="J474" s="50"/>
      <c r="K474" s="53"/>
      <c r="L474" s="52"/>
      <c r="M474" s="54"/>
      <c r="N474" s="157"/>
      <c r="O474" s="158"/>
      <c r="P474" s="25"/>
    </row>
    <row r="475" spans="2:16" ht="21.75" customHeight="1">
      <c r="B475" s="156"/>
      <c r="C475" s="532" t="s">
        <v>191</v>
      </c>
      <c r="D475" s="532"/>
      <c r="E475" s="532"/>
      <c r="F475" s="532"/>
      <c r="G475" s="532"/>
      <c r="H475" s="532"/>
      <c r="I475" s="532"/>
      <c r="J475" s="532"/>
      <c r="K475" s="532"/>
      <c r="L475" s="532"/>
      <c r="M475" s="532"/>
      <c r="N475" s="532"/>
      <c r="O475" s="532"/>
      <c r="P475" s="146"/>
    </row>
    <row r="476" spans="2:16" ht="21.75" customHeight="1" thickBot="1">
      <c r="B476" s="154"/>
      <c r="C476" s="533"/>
      <c r="D476" s="533"/>
      <c r="E476" s="533"/>
      <c r="F476" s="533"/>
      <c r="G476" s="533"/>
      <c r="H476" s="533"/>
      <c r="I476" s="533"/>
      <c r="J476" s="533"/>
      <c r="K476" s="533"/>
      <c r="L476" s="533"/>
      <c r="M476" s="533"/>
      <c r="N476" s="533"/>
      <c r="O476" s="533"/>
      <c r="P476" s="147"/>
    </row>
    <row r="477" spans="2:16" ht="21.75" customHeight="1" thickBot="1">
      <c r="B477" s="154"/>
      <c r="C477" s="155"/>
      <c r="D477" s="155"/>
      <c r="E477" s="31"/>
      <c r="F477" s="37"/>
      <c r="G477" s="534" t="s">
        <v>196</v>
      </c>
      <c r="H477" s="535"/>
      <c r="I477" s="536"/>
      <c r="J477" s="534" t="s">
        <v>220</v>
      </c>
      <c r="K477" s="535"/>
      <c r="L477" s="536"/>
      <c r="M477" s="534" t="s">
        <v>73</v>
      </c>
      <c r="N477" s="535"/>
      <c r="O477" s="536"/>
      <c r="P477" s="147"/>
    </row>
    <row r="478" spans="2:16" ht="26.25" thickBot="1">
      <c r="B478" s="154"/>
      <c r="C478" s="31"/>
      <c r="D478" s="31"/>
      <c r="E478" s="33"/>
      <c r="F478" s="38"/>
      <c r="G478" s="196" t="s">
        <v>67</v>
      </c>
      <c r="H478" s="171" t="s">
        <v>68</v>
      </c>
      <c r="I478" s="172" t="s">
        <v>69</v>
      </c>
      <c r="J478" s="196" t="s">
        <v>67</v>
      </c>
      <c r="K478" s="171" t="s">
        <v>68</v>
      </c>
      <c r="L478" s="172" t="s">
        <v>69</v>
      </c>
      <c r="M478" s="198" t="s">
        <v>74</v>
      </c>
      <c r="N478" s="199" t="s">
        <v>75</v>
      </c>
      <c r="O478" s="200" t="s">
        <v>76</v>
      </c>
      <c r="P478" s="147"/>
    </row>
    <row r="479" spans="2:16" ht="21.75" customHeight="1" thickBot="1">
      <c r="B479" s="154"/>
      <c r="C479" s="528" t="s">
        <v>70</v>
      </c>
      <c r="D479" s="529"/>
      <c r="E479" s="31"/>
      <c r="F479" s="180" t="s">
        <v>71</v>
      </c>
      <c r="G479" s="190"/>
      <c r="H479" s="191"/>
      <c r="I479" s="192">
        <f>'2011 Existing Rates'!$C$14</f>
        <v>5.54</v>
      </c>
      <c r="J479" s="190"/>
      <c r="K479" s="191"/>
      <c r="L479" s="195">
        <f>'Rate Schedule (Part 1)'!$E$58</f>
        <v>6.0778999999999996</v>
      </c>
      <c r="M479" s="204">
        <f t="shared" ref="M479:M484" si="42">+L479-I479</f>
        <v>0.5378999999999996</v>
      </c>
      <c r="N479" s="205">
        <f t="shared" ref="N479:N493" si="43">+M479/I479</f>
        <v>9.7093862815884405E-2</v>
      </c>
      <c r="O479" s="206">
        <f>L479/L493</f>
        <v>0.16539272998579663</v>
      </c>
      <c r="P479" s="147"/>
    </row>
    <row r="480" spans="2:16" ht="21.75" customHeight="1" thickBot="1">
      <c r="B480" s="154"/>
      <c r="C480" s="150">
        <v>250</v>
      </c>
      <c r="D480" s="151" t="s">
        <v>16</v>
      </c>
      <c r="E480" s="31"/>
      <c r="F480" s="181" t="s">
        <v>72</v>
      </c>
      <c r="G480" s="184">
        <f>+C480</f>
        <v>250</v>
      </c>
      <c r="H480" s="178">
        <f>'2011 Existing Rates'!$B$66</f>
        <v>1.6999999999999999E-3</v>
      </c>
      <c r="I480" s="193">
        <f>+G480*H480</f>
        <v>0.42499999999999999</v>
      </c>
      <c r="J480" s="184">
        <f>+C480</f>
        <v>250</v>
      </c>
      <c r="K480" s="177">
        <f>'Rate Schedule (Part 1)'!$E$59</f>
        <v>1.9E-3</v>
      </c>
      <c r="L480" s="197">
        <f>+J480*K480</f>
        <v>0.47499999999999998</v>
      </c>
      <c r="M480" s="207">
        <f t="shared" si="42"/>
        <v>4.9999999999999989E-2</v>
      </c>
      <c r="N480" s="201">
        <f t="shared" si="43"/>
        <v>0.11764705882352938</v>
      </c>
      <c r="O480" s="208">
        <f>L480/L493</f>
        <v>1.2925771523594235E-2</v>
      </c>
      <c r="P480" s="147"/>
    </row>
    <row r="481" spans="2:17" ht="21.75" customHeight="1">
      <c r="B481" s="154"/>
      <c r="C481" s="63"/>
      <c r="D481" s="424"/>
      <c r="E481" s="31"/>
      <c r="F481" s="181" t="s">
        <v>222</v>
      </c>
      <c r="G481" s="184">
        <f>G480</f>
        <v>250</v>
      </c>
      <c r="H481" s="178">
        <f>'2011 Existing Rates'!$B$40</f>
        <v>1.4E-3</v>
      </c>
      <c r="I481" s="193">
        <f>+G481*H481</f>
        <v>0.35</v>
      </c>
      <c r="J481" s="184">
        <f>J480</f>
        <v>250</v>
      </c>
      <c r="K481" s="177">
        <f>'Rate Schedule (Part 1)'!$E$60</f>
        <v>1.1000000000000001E-3</v>
      </c>
      <c r="L481" s="197">
        <f>+J481*K481</f>
        <v>0.27500000000000002</v>
      </c>
      <c r="M481" s="207">
        <f t="shared" si="42"/>
        <v>-7.4999999999999956E-2</v>
      </c>
      <c r="N481" s="201">
        <f t="shared" si="43"/>
        <v>-0.21428571428571416</v>
      </c>
      <c r="O481" s="208">
        <f>L481/L493</f>
        <v>7.483341408396663E-3</v>
      </c>
      <c r="P481" s="147"/>
    </row>
    <row r="482" spans="2:17" ht="21.75" customHeight="1">
      <c r="B482" s="154"/>
      <c r="C482" s="63"/>
      <c r="D482" s="64"/>
      <c r="E482" s="31"/>
      <c r="F482" s="181" t="s">
        <v>160</v>
      </c>
      <c r="G482" s="184">
        <f>C480</f>
        <v>250</v>
      </c>
      <c r="H482" s="178"/>
      <c r="I482" s="189">
        <f>+G482*H482</f>
        <v>0</v>
      </c>
      <c r="J482" s="184">
        <f>C480</f>
        <v>250</v>
      </c>
      <c r="K482" s="177">
        <f>'Rate Schedule (Part 1)'!$E$61</f>
        <v>0</v>
      </c>
      <c r="L482" s="197">
        <f>J482*K482</f>
        <v>0</v>
      </c>
      <c r="M482" s="207">
        <f t="shared" si="42"/>
        <v>0</v>
      </c>
      <c r="N482" s="201" t="e">
        <f t="shared" si="43"/>
        <v>#DIV/0!</v>
      </c>
      <c r="O482" s="208">
        <f>L482/L493</f>
        <v>0</v>
      </c>
      <c r="P482" s="147"/>
    </row>
    <row r="483" spans="2:17" ht="17.25" customHeight="1">
      <c r="B483" s="154"/>
      <c r="C483" s="63"/>
      <c r="D483" s="64"/>
      <c r="E483" s="31"/>
      <c r="F483" s="419" t="s">
        <v>272</v>
      </c>
      <c r="G483" s="436"/>
      <c r="H483" s="202"/>
      <c r="I483" s="193">
        <f>'2011 Existing Rates'!B80</f>
        <v>0.04</v>
      </c>
      <c r="J483" s="194">
        <f>J482</f>
        <v>250</v>
      </c>
      <c r="K483" s="420">
        <f>'2012 Rate Rider'!$F$13</f>
        <v>0</v>
      </c>
      <c r="L483" s="193">
        <f>+J483*K483</f>
        <v>0</v>
      </c>
      <c r="M483" s="207">
        <f t="shared" si="42"/>
        <v>-0.04</v>
      </c>
      <c r="N483" s="201">
        <f t="shared" si="43"/>
        <v>-1</v>
      </c>
      <c r="O483" s="208">
        <f>L483/L493</f>
        <v>0</v>
      </c>
      <c r="P483" s="147"/>
    </row>
    <row r="484" spans="2:17" ht="21.75" customHeight="1" thickBot="1">
      <c r="B484" s="154"/>
      <c r="C484" s="31"/>
      <c r="D484" s="31"/>
      <c r="E484" s="31"/>
      <c r="F484" s="182" t="s">
        <v>221</v>
      </c>
      <c r="G484" s="209">
        <f>+C480</f>
        <v>250</v>
      </c>
      <c r="H484" s="210">
        <f>'2011 Existing Rates'!$B$27</f>
        <v>1E-4</v>
      </c>
      <c r="I484" s="211">
        <f>+G484*H484</f>
        <v>2.5000000000000001E-2</v>
      </c>
      <c r="J484" s="209">
        <f>+C480</f>
        <v>250</v>
      </c>
      <c r="K484" s="210">
        <f>'2012 Rate Rider'!B13</f>
        <v>-6.2184674831805078E-3</v>
      </c>
      <c r="L484" s="211">
        <f>+J484*K484</f>
        <v>-1.5546168707951269</v>
      </c>
      <c r="M484" s="207">
        <f t="shared" si="42"/>
        <v>-1.5796168707951268</v>
      </c>
      <c r="N484" s="201">
        <f t="shared" si="43"/>
        <v>-63.184674831805069</v>
      </c>
      <c r="O484" s="208">
        <f>L484/L493</f>
        <v>-4.2304468376048066E-2</v>
      </c>
      <c r="P484" s="147"/>
    </row>
    <row r="485" spans="2:17" ht="21.75" customHeight="1" thickBot="1">
      <c r="B485" s="154"/>
      <c r="C485" s="31"/>
      <c r="D485" s="31"/>
      <c r="E485" s="31"/>
      <c r="F485" s="218" t="s">
        <v>223</v>
      </c>
      <c r="G485" s="530"/>
      <c r="H485" s="531"/>
      <c r="I485" s="220">
        <f>SUM(I479:I484)</f>
        <v>6.38</v>
      </c>
      <c r="J485" s="530"/>
      <c r="K485" s="531"/>
      <c r="L485" s="220">
        <f>SUM(L479:L484)</f>
        <v>5.2732831292048727</v>
      </c>
      <c r="M485" s="222">
        <f>SUM(M479:M484)</f>
        <v>-1.1067168707951272</v>
      </c>
      <c r="N485" s="223">
        <f t="shared" si="43"/>
        <v>-0.17346659416851523</v>
      </c>
      <c r="O485" s="225">
        <f>L485/L493</f>
        <v>0.14349737454173947</v>
      </c>
      <c r="P485" s="147"/>
    </row>
    <row r="486" spans="2:17" ht="21.75" customHeight="1" thickBot="1">
      <c r="B486" s="154"/>
      <c r="C486" s="31"/>
      <c r="D486" s="31"/>
      <c r="E486" s="31"/>
      <c r="F486" s="181" t="s">
        <v>224</v>
      </c>
      <c r="G486" s="348">
        <f>C480*'Other Electriciy Rates'!$L$16</f>
        <v>269.77499999999998</v>
      </c>
      <c r="H486" s="349">
        <f>'Other Electriciy Rates'!$B$16</f>
        <v>9.1999999999999998E-3</v>
      </c>
      <c r="I486" s="193">
        <f>+G486*H486</f>
        <v>2.4819299999999997</v>
      </c>
      <c r="J486" s="348">
        <f>C480*'Other Electriciy Rates'!$L$31</f>
        <v>270</v>
      </c>
      <c r="K486" s="177">
        <f>'Other Electriciy Rates'!$B$31</f>
        <v>9.3645461530317241E-3</v>
      </c>
      <c r="L486" s="193">
        <f>+J486*K486</f>
        <v>2.5284274613185653</v>
      </c>
      <c r="M486" s="350">
        <f>+L486-I486</f>
        <v>4.6497461318565581E-2</v>
      </c>
      <c r="N486" s="205">
        <f t="shared" si="43"/>
        <v>1.8734396747114378E-2</v>
      </c>
      <c r="O486" s="206">
        <f>L486/L493</f>
        <v>6.8803948797863529E-2</v>
      </c>
      <c r="P486" s="147"/>
    </row>
    <row r="487" spans="2:17" ht="21.75" customHeight="1" thickBot="1">
      <c r="B487" s="154"/>
      <c r="C487" s="31"/>
      <c r="D487" s="31"/>
      <c r="E487" s="31"/>
      <c r="F487" s="218" t="s">
        <v>225</v>
      </c>
      <c r="G487" s="530"/>
      <c r="H487" s="531"/>
      <c r="I487" s="220">
        <f>I485+I486</f>
        <v>8.8619299999999992</v>
      </c>
      <c r="J487" s="530"/>
      <c r="K487" s="531"/>
      <c r="L487" s="220">
        <f>L485+L486</f>
        <v>7.8017105905234381</v>
      </c>
      <c r="M487" s="220">
        <f>M485+M486</f>
        <v>-1.0602194094765616</v>
      </c>
      <c r="N487" s="223">
        <f t="shared" si="43"/>
        <v>-0.11963752923759967</v>
      </c>
      <c r="O487" s="351">
        <f>L487/L493</f>
        <v>0.212301323339603</v>
      </c>
      <c r="P487" s="147"/>
    </row>
    <row r="488" spans="2:17" ht="21.75" customHeight="1">
      <c r="B488" s="154"/>
      <c r="C488" s="31"/>
      <c r="D488" s="31"/>
      <c r="E488" s="31"/>
      <c r="F488" s="183" t="s">
        <v>77</v>
      </c>
      <c r="G488" s="185">
        <f>G486</f>
        <v>269.77499999999998</v>
      </c>
      <c r="H488" s="186">
        <f>'Other Electriciy Rates'!$C$16+'Other Electriciy Rates'!$D$16</f>
        <v>1.2986887220832175E-2</v>
      </c>
      <c r="I488" s="187">
        <f>+G488*H488</f>
        <v>3.5035374999999997</v>
      </c>
      <c r="J488" s="185">
        <f>J486</f>
        <v>270</v>
      </c>
      <c r="K488" s="186">
        <f>'Other Electriciy Rates'!$C$31+'Other Electriciy Rates'!$D$31</f>
        <v>1.278148148148148E-2</v>
      </c>
      <c r="L488" s="214">
        <f>+J488*K488</f>
        <v>3.4509999999999996</v>
      </c>
      <c r="M488" s="215">
        <f>+L488-I488</f>
        <v>-5.2537500000000126E-2</v>
      </c>
      <c r="N488" s="216">
        <f t="shared" si="43"/>
        <v>-1.4995558060959853E-2</v>
      </c>
      <c r="O488" s="282">
        <f>L488/L493</f>
        <v>9.3909131637734108E-2</v>
      </c>
      <c r="P488" s="147"/>
    </row>
    <row r="489" spans="2:17" ht="21.75" customHeight="1" thickBot="1">
      <c r="B489" s="154"/>
      <c r="C489" s="31"/>
      <c r="D489" s="31"/>
      <c r="E489" s="31"/>
      <c r="F489" s="181" t="s">
        <v>78</v>
      </c>
      <c r="G489" s="194">
        <f>G488</f>
        <v>269.77499999999998</v>
      </c>
      <c r="H489" s="188">
        <f>'Other Electriciy Rates'!$J$16</f>
        <v>7.8770000000000007E-2</v>
      </c>
      <c r="I489" s="189">
        <f>+G489*H489</f>
        <v>21.250176750000001</v>
      </c>
      <c r="J489" s="194">
        <f>J488</f>
        <v>270</v>
      </c>
      <c r="K489" s="188">
        <f>'Other Electriciy Rates'!$J$31</f>
        <v>7.8770000000000007E-2</v>
      </c>
      <c r="L489" s="211">
        <f>+J489*K489</f>
        <v>21.267900000000001</v>
      </c>
      <c r="M489" s="212">
        <f>+L489-I489</f>
        <v>1.7723249999999524E-2</v>
      </c>
      <c r="N489" s="213">
        <f t="shared" si="43"/>
        <v>8.3402835696411431E-4</v>
      </c>
      <c r="O489" s="226">
        <f>L489/L493</f>
        <v>0.5787452972350523</v>
      </c>
      <c r="P489" s="147"/>
    </row>
    <row r="490" spans="2:17" ht="18" customHeight="1" thickBot="1">
      <c r="B490" s="154"/>
      <c r="C490" s="31"/>
      <c r="D490" s="31"/>
      <c r="E490" s="31"/>
      <c r="F490" s="181" t="s">
        <v>235</v>
      </c>
      <c r="G490" s="279">
        <f>G489</f>
        <v>269.77499999999998</v>
      </c>
      <c r="H490" s="186">
        <f>'2012 Rate Rider'!$G$13</f>
        <v>0</v>
      </c>
      <c r="I490" s="189">
        <f>+G490*H490</f>
        <v>0</v>
      </c>
      <c r="J490" s="279">
        <f>G490</f>
        <v>269.77499999999998</v>
      </c>
      <c r="K490" s="186">
        <f>H490</f>
        <v>0</v>
      </c>
      <c r="L490" s="211">
        <f>+J490*K490</f>
        <v>0</v>
      </c>
      <c r="M490" s="212">
        <f>+L490-I490</f>
        <v>0</v>
      </c>
      <c r="N490" s="213" t="e">
        <f t="shared" si="43"/>
        <v>#DIV/0!</v>
      </c>
      <c r="O490" s="226">
        <f>L490/L493</f>
        <v>0</v>
      </c>
      <c r="P490" s="147"/>
    </row>
    <row r="491" spans="2:17" ht="21.75" customHeight="1" thickBot="1">
      <c r="B491" s="154"/>
      <c r="C491" s="31"/>
      <c r="D491" s="31"/>
      <c r="E491" s="31"/>
      <c r="F491" s="218" t="s">
        <v>192</v>
      </c>
      <c r="G491" s="530"/>
      <c r="H491" s="531"/>
      <c r="I491" s="220">
        <f>SUM(I487:I490)</f>
        <v>33.615644250000003</v>
      </c>
      <c r="J491" s="530"/>
      <c r="K491" s="531"/>
      <c r="L491" s="220">
        <f>SUM(L487:L490)</f>
        <v>32.520610590523439</v>
      </c>
      <c r="M491" s="220">
        <f>M485+M488+M489</f>
        <v>-1.1415311207951278</v>
      </c>
      <c r="N491" s="223">
        <f t="shared" si="43"/>
        <v>-3.3958329410721549E-2</v>
      </c>
      <c r="O491" s="351">
        <f>L491/L493</f>
        <v>0.88495575221238942</v>
      </c>
      <c r="P491" s="284"/>
    </row>
    <row r="492" spans="2:17" ht="21.75" customHeight="1" thickBot="1">
      <c r="B492" s="154"/>
      <c r="C492" s="31"/>
      <c r="D492" s="31"/>
      <c r="E492" s="31"/>
      <c r="F492" s="278" t="s">
        <v>193</v>
      </c>
      <c r="G492" s="279"/>
      <c r="H492" s="283">
        <v>0.13</v>
      </c>
      <c r="I492" s="280">
        <f>I491*H492</f>
        <v>4.3700337525000004</v>
      </c>
      <c r="J492" s="279"/>
      <c r="K492" s="283">
        <v>0.13</v>
      </c>
      <c r="L492" s="281">
        <f>L491*K492</f>
        <v>4.2276793767680472</v>
      </c>
      <c r="M492" s="212">
        <f>+L492-I492</f>
        <v>-0.1423543757319532</v>
      </c>
      <c r="N492" s="216">
        <f t="shared" si="43"/>
        <v>-3.2575120421098669E-2</v>
      </c>
      <c r="O492" s="226">
        <f>L492/L493</f>
        <v>0.11504424778761063</v>
      </c>
      <c r="P492" s="147"/>
    </row>
    <row r="493" spans="2:17" ht="21.75" customHeight="1" thickBot="1">
      <c r="B493" s="352"/>
      <c r="C493" s="353"/>
      <c r="D493" s="353"/>
      <c r="E493" s="354"/>
      <c r="F493" s="355" t="s">
        <v>79</v>
      </c>
      <c r="G493" s="525"/>
      <c r="H493" s="526"/>
      <c r="I493" s="356">
        <f>I491+I492</f>
        <v>37.985678002500002</v>
      </c>
      <c r="J493" s="525"/>
      <c r="K493" s="526"/>
      <c r="L493" s="356">
        <f>L491+L492</f>
        <v>36.748289967291484</v>
      </c>
      <c r="M493" s="356">
        <f>M491+M492</f>
        <v>-1.2838854965270809</v>
      </c>
      <c r="N493" s="357">
        <f t="shared" si="43"/>
        <v>-3.3799199172977322E-2</v>
      </c>
      <c r="O493" s="358">
        <f>O491+O492</f>
        <v>1</v>
      </c>
      <c r="P493" s="359"/>
      <c r="Q493" s="360"/>
    </row>
    <row r="494" spans="2:17" ht="10.5" customHeight="1" thickBot="1">
      <c r="B494" s="148"/>
      <c r="C494" s="527"/>
      <c r="D494" s="527"/>
      <c r="E494" s="527"/>
      <c r="F494" s="527"/>
      <c r="G494" s="527"/>
      <c r="H494" s="527"/>
      <c r="I494" s="527"/>
      <c r="J494" s="527"/>
      <c r="K494" s="527"/>
      <c r="L494" s="527"/>
      <c r="M494" s="527"/>
      <c r="N494" s="527"/>
      <c r="O494" s="527"/>
      <c r="P494" s="149"/>
    </row>
    <row r="495" spans="2:17" ht="17.25" customHeight="1" thickBot="1"/>
    <row r="496" spans="2:17" ht="21.75" customHeight="1">
      <c r="B496" s="156"/>
      <c r="C496" s="532" t="s">
        <v>191</v>
      </c>
      <c r="D496" s="532"/>
      <c r="E496" s="532"/>
      <c r="F496" s="532"/>
      <c r="G496" s="532"/>
      <c r="H496" s="532"/>
      <c r="I496" s="532"/>
      <c r="J496" s="532"/>
      <c r="K496" s="532"/>
      <c r="L496" s="532"/>
      <c r="M496" s="532"/>
      <c r="N496" s="532"/>
      <c r="O496" s="532"/>
      <c r="P496" s="146"/>
    </row>
    <row r="497" spans="2:16" ht="21.75" customHeight="1" thickBot="1">
      <c r="B497" s="154"/>
      <c r="C497" s="533"/>
      <c r="D497" s="533"/>
      <c r="E497" s="533"/>
      <c r="F497" s="533"/>
      <c r="G497" s="533"/>
      <c r="H497" s="533"/>
      <c r="I497" s="533"/>
      <c r="J497" s="533"/>
      <c r="K497" s="533"/>
      <c r="L497" s="533"/>
      <c r="M497" s="533"/>
      <c r="N497" s="533"/>
      <c r="O497" s="533"/>
      <c r="P497" s="147"/>
    </row>
    <row r="498" spans="2:16" ht="21.75" customHeight="1" thickBot="1">
      <c r="B498" s="154"/>
      <c r="C498" s="155"/>
      <c r="D498" s="155"/>
      <c r="E498" s="31"/>
      <c r="F498" s="37"/>
      <c r="G498" s="534" t="s">
        <v>196</v>
      </c>
      <c r="H498" s="535"/>
      <c r="I498" s="536"/>
      <c r="J498" s="534" t="s">
        <v>220</v>
      </c>
      <c r="K498" s="535"/>
      <c r="L498" s="536"/>
      <c r="M498" s="534" t="s">
        <v>73</v>
      </c>
      <c r="N498" s="535"/>
      <c r="O498" s="536"/>
      <c r="P498" s="147"/>
    </row>
    <row r="499" spans="2:16" ht="26.25" thickBot="1">
      <c r="B499" s="154"/>
      <c r="C499" s="31"/>
      <c r="D499" s="31"/>
      <c r="E499" s="33"/>
      <c r="F499" s="38"/>
      <c r="G499" s="196" t="s">
        <v>67</v>
      </c>
      <c r="H499" s="171" t="s">
        <v>68</v>
      </c>
      <c r="I499" s="172" t="s">
        <v>69</v>
      </c>
      <c r="J499" s="196" t="s">
        <v>67</v>
      </c>
      <c r="K499" s="171" t="s">
        <v>68</v>
      </c>
      <c r="L499" s="172" t="s">
        <v>69</v>
      </c>
      <c r="M499" s="198" t="s">
        <v>74</v>
      </c>
      <c r="N499" s="199" t="s">
        <v>75</v>
      </c>
      <c r="O499" s="200" t="s">
        <v>76</v>
      </c>
      <c r="P499" s="147"/>
    </row>
    <row r="500" spans="2:16" ht="21.75" customHeight="1" thickBot="1">
      <c r="B500" s="154"/>
      <c r="C500" s="528" t="s">
        <v>70</v>
      </c>
      <c r="D500" s="529"/>
      <c r="E500" s="31"/>
      <c r="F500" s="180" t="s">
        <v>71</v>
      </c>
      <c r="G500" s="190"/>
      <c r="H500" s="191"/>
      <c r="I500" s="192">
        <f>I479</f>
        <v>5.54</v>
      </c>
      <c r="J500" s="190"/>
      <c r="K500" s="191"/>
      <c r="L500" s="195">
        <f>'Rate Schedule (Part 1)'!$E$58</f>
        <v>6.0778999999999996</v>
      </c>
      <c r="M500" s="204">
        <f t="shared" ref="M500:M505" si="44">+L500-I500</f>
        <v>0.5378999999999996</v>
      </c>
      <c r="N500" s="205">
        <f t="shared" ref="N500:N514" si="45">+M500/I500</f>
        <v>9.7093862815884405E-2</v>
      </c>
      <c r="O500" s="206">
        <f>L500/L514</f>
        <v>9.1220651392014823E-2</v>
      </c>
      <c r="P500" s="147"/>
    </row>
    <row r="501" spans="2:16" ht="21.75" customHeight="1" thickBot="1">
      <c r="B501" s="154"/>
      <c r="C501" s="150">
        <v>500</v>
      </c>
      <c r="D501" s="151" t="s">
        <v>16</v>
      </c>
      <c r="E501" s="31"/>
      <c r="F501" s="181" t="s">
        <v>72</v>
      </c>
      <c r="G501" s="184">
        <f>+C501</f>
        <v>500</v>
      </c>
      <c r="H501" s="178">
        <f>'2011 Existing Rates'!$B$66</f>
        <v>1.6999999999999999E-3</v>
      </c>
      <c r="I501" s="193">
        <f>+G501*H501</f>
        <v>0.85</v>
      </c>
      <c r="J501" s="184">
        <f>+C501</f>
        <v>500</v>
      </c>
      <c r="K501" s="177">
        <f>'Rate Schedule (Part 1)'!$E$59</f>
        <v>1.9E-3</v>
      </c>
      <c r="L501" s="197">
        <f>+J501*K501</f>
        <v>0.95</v>
      </c>
      <c r="M501" s="207">
        <f t="shared" si="44"/>
        <v>9.9999999999999978E-2</v>
      </c>
      <c r="N501" s="201">
        <f t="shared" si="45"/>
        <v>0.11764705882352938</v>
      </c>
      <c r="O501" s="208">
        <f>L501/L514</f>
        <v>1.4258151470477317E-2</v>
      </c>
      <c r="P501" s="147"/>
    </row>
    <row r="502" spans="2:16" ht="21.75" customHeight="1">
      <c r="B502" s="154"/>
      <c r="C502" s="63"/>
      <c r="D502" s="424"/>
      <c r="E502" s="31"/>
      <c r="F502" s="181" t="s">
        <v>222</v>
      </c>
      <c r="G502" s="184">
        <f>G501</f>
        <v>500</v>
      </c>
      <c r="H502" s="178">
        <f>'2011 Existing Rates'!$B$40</f>
        <v>1.4E-3</v>
      </c>
      <c r="I502" s="193">
        <f>+G502*H502</f>
        <v>0.7</v>
      </c>
      <c r="J502" s="184">
        <f>J501</f>
        <v>500</v>
      </c>
      <c r="K502" s="177">
        <f>'Rate Schedule (Part 1)'!$E$60</f>
        <v>1.1000000000000001E-3</v>
      </c>
      <c r="L502" s="197">
        <f>+J502*K502</f>
        <v>0.55000000000000004</v>
      </c>
      <c r="M502" s="207">
        <f t="shared" si="44"/>
        <v>-0.14999999999999991</v>
      </c>
      <c r="N502" s="201">
        <f t="shared" si="45"/>
        <v>-0.21428571428571416</v>
      </c>
      <c r="O502" s="208">
        <f>L502/L514</f>
        <v>8.2547192723816058E-3</v>
      </c>
      <c r="P502" s="147"/>
    </row>
    <row r="503" spans="2:16" ht="21.75" customHeight="1">
      <c r="B503" s="154"/>
      <c r="C503" s="63"/>
      <c r="D503" s="64"/>
      <c r="E503" s="31"/>
      <c r="F503" s="181" t="s">
        <v>160</v>
      </c>
      <c r="G503" s="184">
        <f>C501</f>
        <v>500</v>
      </c>
      <c r="H503" s="178"/>
      <c r="I503" s="189">
        <f>+G503*H503</f>
        <v>0</v>
      </c>
      <c r="J503" s="184">
        <f>C501</f>
        <v>500</v>
      </c>
      <c r="K503" s="177">
        <f>'Rate Schedule (Part 1)'!$E$61</f>
        <v>0</v>
      </c>
      <c r="L503" s="197">
        <f>J503*K503</f>
        <v>0</v>
      </c>
      <c r="M503" s="207">
        <f t="shared" si="44"/>
        <v>0</v>
      </c>
      <c r="N503" s="201" t="e">
        <f t="shared" si="45"/>
        <v>#DIV/0!</v>
      </c>
      <c r="O503" s="208">
        <f>L503/L514</f>
        <v>0</v>
      </c>
      <c r="P503" s="147"/>
    </row>
    <row r="504" spans="2:16" ht="17.25" customHeight="1">
      <c r="B504" s="154"/>
      <c r="C504" s="63"/>
      <c r="D504" s="64"/>
      <c r="E504" s="31"/>
      <c r="F504" s="419" t="s">
        <v>272</v>
      </c>
      <c r="G504" s="436"/>
      <c r="H504" s="202"/>
      <c r="I504" s="193">
        <f>I483</f>
        <v>0.04</v>
      </c>
      <c r="J504" s="194">
        <f>J503</f>
        <v>500</v>
      </c>
      <c r="K504" s="420">
        <f>'2012 Rate Rider'!$F$13</f>
        <v>0</v>
      </c>
      <c r="L504" s="193">
        <f>+J504*K504</f>
        <v>0</v>
      </c>
      <c r="M504" s="207">
        <f t="shared" si="44"/>
        <v>-0.04</v>
      </c>
      <c r="N504" s="201">
        <f t="shared" si="45"/>
        <v>-1</v>
      </c>
      <c r="O504" s="208">
        <f>L504/L514</f>
        <v>0</v>
      </c>
      <c r="P504" s="147"/>
    </row>
    <row r="505" spans="2:16" ht="21.75" customHeight="1" thickBot="1">
      <c r="B505" s="154"/>
      <c r="C505" s="31"/>
      <c r="D505" s="31"/>
      <c r="E505" s="31"/>
      <c r="F505" s="182" t="s">
        <v>221</v>
      </c>
      <c r="G505" s="209">
        <f>+C501</f>
        <v>500</v>
      </c>
      <c r="H505" s="210">
        <f>'2011 Existing Rates'!$B$27</f>
        <v>1E-4</v>
      </c>
      <c r="I505" s="211">
        <f>+G505*H505</f>
        <v>0.05</v>
      </c>
      <c r="J505" s="209">
        <f>+C501</f>
        <v>500</v>
      </c>
      <c r="K505" s="210">
        <f>K484</f>
        <v>-6.2184674831805078E-3</v>
      </c>
      <c r="L505" s="211">
        <f>+J505*K505</f>
        <v>-3.1092337415902538</v>
      </c>
      <c r="M505" s="207">
        <f t="shared" si="44"/>
        <v>-3.1592337415902536</v>
      </c>
      <c r="N505" s="201">
        <f t="shared" si="45"/>
        <v>-63.184674831805069</v>
      </c>
      <c r="O505" s="208">
        <f>L505/L514</f>
        <v>-4.6665184889171339E-2</v>
      </c>
      <c r="P505" s="147"/>
    </row>
    <row r="506" spans="2:16" ht="21.75" customHeight="1" thickBot="1">
      <c r="B506" s="154"/>
      <c r="C506" s="31"/>
      <c r="D506" s="31"/>
      <c r="E506" s="31"/>
      <c r="F506" s="218" t="s">
        <v>223</v>
      </c>
      <c r="G506" s="530"/>
      <c r="H506" s="531"/>
      <c r="I506" s="220">
        <f>SUM(I500:I505)</f>
        <v>7.18</v>
      </c>
      <c r="J506" s="530"/>
      <c r="K506" s="531"/>
      <c r="L506" s="220">
        <f>SUM(L500:L505)</f>
        <v>4.4686662584097459</v>
      </c>
      <c r="M506" s="222">
        <f>SUM(M500:M505)</f>
        <v>-2.7113337415902539</v>
      </c>
      <c r="N506" s="223">
        <f t="shared" si="45"/>
        <v>-0.37762308378694343</v>
      </c>
      <c r="O506" s="225">
        <f>L506/L514</f>
        <v>6.7068337245702409E-2</v>
      </c>
      <c r="P506" s="147"/>
    </row>
    <row r="507" spans="2:16" ht="21.75" customHeight="1" thickBot="1">
      <c r="B507" s="154"/>
      <c r="C507" s="31"/>
      <c r="D507" s="31"/>
      <c r="E507" s="31"/>
      <c r="F507" s="181" t="s">
        <v>224</v>
      </c>
      <c r="G507" s="348">
        <f>C501*'Other Electriciy Rates'!$L$16</f>
        <v>539.54999999999995</v>
      </c>
      <c r="H507" s="349">
        <f>'Other Electriciy Rates'!$B$16</f>
        <v>9.1999999999999998E-3</v>
      </c>
      <c r="I507" s="193">
        <f>+G507*H507</f>
        <v>4.9638599999999995</v>
      </c>
      <c r="J507" s="348">
        <f>C501*'Other Electriciy Rates'!$L$31</f>
        <v>540</v>
      </c>
      <c r="K507" s="349">
        <f>'Other Electriciy Rates'!$B$31</f>
        <v>9.3645461530317241E-3</v>
      </c>
      <c r="L507" s="193">
        <f>+J507*K507</f>
        <v>5.0568549226371307</v>
      </c>
      <c r="M507" s="350">
        <f>+L507-I507</f>
        <v>9.2994922637131161E-2</v>
      </c>
      <c r="N507" s="205">
        <f t="shared" si="45"/>
        <v>1.8734396747114378E-2</v>
      </c>
      <c r="O507" s="206">
        <f>L507/L514</f>
        <v>7.5896214159146394E-2</v>
      </c>
      <c r="P507" s="147"/>
    </row>
    <row r="508" spans="2:16" ht="21.75" customHeight="1" thickBot="1">
      <c r="B508" s="154"/>
      <c r="C508" s="31"/>
      <c r="D508" s="31"/>
      <c r="E508" s="31"/>
      <c r="F508" s="218" t="s">
        <v>225</v>
      </c>
      <c r="G508" s="530"/>
      <c r="H508" s="531"/>
      <c r="I508" s="220">
        <f>I506+I507</f>
        <v>12.14386</v>
      </c>
      <c r="J508" s="530"/>
      <c r="K508" s="531"/>
      <c r="L508" s="220">
        <f>L506+L507</f>
        <v>9.5255211810468765</v>
      </c>
      <c r="M508" s="220">
        <f>M506+M507</f>
        <v>-2.6183388189531227</v>
      </c>
      <c r="N508" s="223">
        <f t="shared" si="45"/>
        <v>-0.21561009587998567</v>
      </c>
      <c r="O508" s="351">
        <f>L508/L514</f>
        <v>0.14296455140484879</v>
      </c>
      <c r="P508" s="147"/>
    </row>
    <row r="509" spans="2:16" ht="21.75" customHeight="1">
      <c r="B509" s="154"/>
      <c r="C509" s="31"/>
      <c r="D509" s="31"/>
      <c r="E509" s="31"/>
      <c r="F509" s="183" t="s">
        <v>77</v>
      </c>
      <c r="G509" s="185">
        <f>G507</f>
        <v>539.54999999999995</v>
      </c>
      <c r="H509" s="186">
        <f>'Other Electriciy Rates'!$C$16+'Other Electriciy Rates'!$D$16</f>
        <v>1.2986887220832175E-2</v>
      </c>
      <c r="I509" s="187">
        <f>+G509*H509</f>
        <v>7.0070749999999995</v>
      </c>
      <c r="J509" s="185">
        <f>J507</f>
        <v>540</v>
      </c>
      <c r="K509" s="186">
        <f>'Other Electriciy Rates'!$C$31+'Other Electriciy Rates'!$D$31</f>
        <v>1.278148148148148E-2</v>
      </c>
      <c r="L509" s="214">
        <f>+J509*K509</f>
        <v>6.9019999999999992</v>
      </c>
      <c r="M509" s="215">
        <f>+L509-I509</f>
        <v>-0.10507500000000025</v>
      </c>
      <c r="N509" s="216">
        <f t="shared" si="45"/>
        <v>-1.4995558060959853E-2</v>
      </c>
      <c r="O509" s="282">
        <f>L509/L514</f>
        <v>0.10358922257814152</v>
      </c>
      <c r="P509" s="147"/>
    </row>
    <row r="510" spans="2:16" ht="21.75" customHeight="1" thickBot="1">
      <c r="B510" s="154"/>
      <c r="C510" s="31"/>
      <c r="D510" s="31"/>
      <c r="E510" s="31"/>
      <c r="F510" s="181" t="s">
        <v>78</v>
      </c>
      <c r="G510" s="194">
        <f>G509</f>
        <v>539.54999999999995</v>
      </c>
      <c r="H510" s="188">
        <f>'Other Electriciy Rates'!$J$16</f>
        <v>7.8770000000000007E-2</v>
      </c>
      <c r="I510" s="189">
        <f>+G510*H510</f>
        <v>42.500353500000003</v>
      </c>
      <c r="J510" s="194">
        <f>J509</f>
        <v>540</v>
      </c>
      <c r="K510" s="188">
        <f>'Other Electriciy Rates'!$J$31</f>
        <v>7.8770000000000007E-2</v>
      </c>
      <c r="L510" s="211">
        <f>+J510*K510</f>
        <v>42.535800000000002</v>
      </c>
      <c r="M510" s="212">
        <f>+L510-I510</f>
        <v>3.5446499999999048E-2</v>
      </c>
      <c r="N510" s="213">
        <f t="shared" si="45"/>
        <v>8.3402835696411431E-4</v>
      </c>
      <c r="O510" s="226">
        <f>L510/L514</f>
        <v>0.63840197822939904</v>
      </c>
      <c r="P510" s="147"/>
    </row>
    <row r="511" spans="2:16" ht="18" customHeight="1" thickBot="1">
      <c r="B511" s="154"/>
      <c r="C511" s="31"/>
      <c r="D511" s="31"/>
      <c r="E511" s="31"/>
      <c r="F511" s="181" t="s">
        <v>235</v>
      </c>
      <c r="G511" s="279">
        <f>G510</f>
        <v>539.54999999999995</v>
      </c>
      <c r="H511" s="186">
        <f>'2012 Rate Rider'!$G$13</f>
        <v>0</v>
      </c>
      <c r="I511" s="189">
        <f>+G511*H511</f>
        <v>0</v>
      </c>
      <c r="J511" s="279">
        <f>G511</f>
        <v>539.54999999999995</v>
      </c>
      <c r="K511" s="186">
        <f>H511</f>
        <v>0</v>
      </c>
      <c r="L511" s="211">
        <f>+J511*K511</f>
        <v>0</v>
      </c>
      <c r="M511" s="212">
        <f>+L511-I511</f>
        <v>0</v>
      </c>
      <c r="N511" s="213" t="e">
        <f t="shared" si="45"/>
        <v>#DIV/0!</v>
      </c>
      <c r="O511" s="226">
        <f>L511/L514</f>
        <v>0</v>
      </c>
      <c r="P511" s="147"/>
    </row>
    <row r="512" spans="2:16" ht="21.75" customHeight="1" thickBot="1">
      <c r="B512" s="154"/>
      <c r="C512" s="31"/>
      <c r="D512" s="31"/>
      <c r="E512" s="31"/>
      <c r="F512" s="218" t="s">
        <v>192</v>
      </c>
      <c r="G512" s="530"/>
      <c r="H512" s="531"/>
      <c r="I512" s="220">
        <f>SUM(I508:I511)</f>
        <v>61.651288500000007</v>
      </c>
      <c r="J512" s="530"/>
      <c r="K512" s="531"/>
      <c r="L512" s="220">
        <f>SUM(L508:L511)</f>
        <v>58.963321181046879</v>
      </c>
      <c r="M512" s="220">
        <f>M506+M509+M510</f>
        <v>-2.7809622415902551</v>
      </c>
      <c r="N512" s="223">
        <f t="shared" si="45"/>
        <v>-4.5107933820235646E-2</v>
      </c>
      <c r="O512" s="351">
        <f>L512/L514</f>
        <v>0.88495575221238942</v>
      </c>
      <c r="P512" s="284"/>
    </row>
    <row r="513" spans="2:17" ht="21.75" customHeight="1" thickBot="1">
      <c r="B513" s="154"/>
      <c r="C513" s="31"/>
      <c r="D513" s="31"/>
      <c r="E513" s="31"/>
      <c r="F513" s="278" t="s">
        <v>193</v>
      </c>
      <c r="G513" s="279"/>
      <c r="H513" s="283">
        <v>0.13</v>
      </c>
      <c r="I513" s="280">
        <f>I512*H513</f>
        <v>8.014667505000002</v>
      </c>
      <c r="J513" s="279"/>
      <c r="K513" s="283">
        <v>0.13</v>
      </c>
      <c r="L513" s="281">
        <f>L512*K513</f>
        <v>7.6652317535360943</v>
      </c>
      <c r="M513" s="212">
        <f>+L513-I513</f>
        <v>-0.34943575146390771</v>
      </c>
      <c r="N513" s="216">
        <f t="shared" si="45"/>
        <v>-4.3599531888991024E-2</v>
      </c>
      <c r="O513" s="226">
        <f>L513/L514</f>
        <v>0.11504424778761063</v>
      </c>
      <c r="P513" s="147"/>
    </row>
    <row r="514" spans="2:17" ht="21.75" customHeight="1" thickBot="1">
      <c r="B514" s="352"/>
      <c r="C514" s="353"/>
      <c r="D514" s="353"/>
      <c r="E514" s="354"/>
      <c r="F514" s="355" t="s">
        <v>79</v>
      </c>
      <c r="G514" s="525"/>
      <c r="H514" s="526"/>
      <c r="I514" s="356">
        <f>I512+I513</f>
        <v>69.665956005000012</v>
      </c>
      <c r="J514" s="525"/>
      <c r="K514" s="526"/>
      <c r="L514" s="356">
        <f>L512+L513</f>
        <v>66.62855293458297</v>
      </c>
      <c r="M514" s="356">
        <f>M512+M513</f>
        <v>-3.1303979930541628</v>
      </c>
      <c r="N514" s="357">
        <f t="shared" si="45"/>
        <v>-4.4934400854694224E-2</v>
      </c>
      <c r="O514" s="358">
        <f>O512+O513</f>
        <v>1</v>
      </c>
      <c r="P514" s="359"/>
      <c r="Q514" s="360"/>
    </row>
    <row r="515" spans="2:17" ht="10.5" customHeight="1" thickBot="1">
      <c r="B515" s="148"/>
      <c r="C515" s="527"/>
      <c r="D515" s="527"/>
      <c r="E515" s="527"/>
      <c r="F515" s="527"/>
      <c r="G515" s="527"/>
      <c r="H515" s="527"/>
      <c r="I515" s="527"/>
      <c r="J515" s="527"/>
      <c r="K515" s="527"/>
      <c r="L515" s="527"/>
      <c r="M515" s="527"/>
      <c r="N515" s="527"/>
      <c r="O515" s="527"/>
      <c r="P515" s="149"/>
    </row>
    <row r="516" spans="2:17" ht="6.95" customHeight="1"/>
    <row r="518" spans="2:17" ht="18" customHeight="1"/>
    <row r="519" spans="2:17" ht="18" customHeight="1"/>
    <row r="520" spans="2:17" ht="18" customHeight="1"/>
    <row r="521" spans="2:17" ht="18" customHeight="1"/>
    <row r="522" spans="2:17" ht="18" customHeight="1"/>
    <row r="523" spans="2:17" ht="6.95" customHeight="1"/>
  </sheetData>
  <mergeCells count="322">
    <mergeCell ref="B1:O1"/>
    <mergeCell ref="B2:O2"/>
    <mergeCell ref="B3:O3"/>
    <mergeCell ref="C4:O4"/>
    <mergeCell ref="C5:O5"/>
    <mergeCell ref="C6:O6"/>
    <mergeCell ref="B7:O7"/>
    <mergeCell ref="C8:O8"/>
    <mergeCell ref="C9:O9"/>
    <mergeCell ref="G10:I10"/>
    <mergeCell ref="J10:L10"/>
    <mergeCell ref="M10:O10"/>
    <mergeCell ref="C12:D12"/>
    <mergeCell ref="G20:H20"/>
    <mergeCell ref="J20:K20"/>
    <mergeCell ref="G22:H22"/>
    <mergeCell ref="J22:K22"/>
    <mergeCell ref="G26:H26"/>
    <mergeCell ref="J26:K26"/>
    <mergeCell ref="G28:H28"/>
    <mergeCell ref="J28:K28"/>
    <mergeCell ref="C29:O29"/>
    <mergeCell ref="C31:O31"/>
    <mergeCell ref="C32:O32"/>
    <mergeCell ref="G33:I33"/>
    <mergeCell ref="J33:L33"/>
    <mergeCell ref="M33:O33"/>
    <mergeCell ref="C35:D35"/>
    <mergeCell ref="G43:H43"/>
    <mergeCell ref="J43:K43"/>
    <mergeCell ref="G45:H45"/>
    <mergeCell ref="J45:K45"/>
    <mergeCell ref="G49:H49"/>
    <mergeCell ref="J49:K49"/>
    <mergeCell ref="G51:H51"/>
    <mergeCell ref="J51:K51"/>
    <mergeCell ref="C52:O52"/>
    <mergeCell ref="C54:O54"/>
    <mergeCell ref="C55:O55"/>
    <mergeCell ref="G56:I56"/>
    <mergeCell ref="J56:L56"/>
    <mergeCell ref="M56:O56"/>
    <mergeCell ref="C58:D58"/>
    <mergeCell ref="G66:H66"/>
    <mergeCell ref="J66:K66"/>
    <mergeCell ref="G68:H68"/>
    <mergeCell ref="J68:K68"/>
    <mergeCell ref="G72:H72"/>
    <mergeCell ref="J72:K72"/>
    <mergeCell ref="G74:H74"/>
    <mergeCell ref="J74:K74"/>
    <mergeCell ref="C75:O75"/>
    <mergeCell ref="C77:O77"/>
    <mergeCell ref="C78:O78"/>
    <mergeCell ref="C79:O79"/>
    <mergeCell ref="G80:I80"/>
    <mergeCell ref="J80:L80"/>
    <mergeCell ref="M80:O80"/>
    <mergeCell ref="C82:D82"/>
    <mergeCell ref="G90:H90"/>
    <mergeCell ref="J90:K90"/>
    <mergeCell ref="G92:H92"/>
    <mergeCell ref="J92:K92"/>
    <mergeCell ref="G97:H97"/>
    <mergeCell ref="J97:K97"/>
    <mergeCell ref="G99:H99"/>
    <mergeCell ref="J99:K99"/>
    <mergeCell ref="C103:O103"/>
    <mergeCell ref="C104:O104"/>
    <mergeCell ref="C105:O105"/>
    <mergeCell ref="G106:I106"/>
    <mergeCell ref="J106:L106"/>
    <mergeCell ref="M106:O106"/>
    <mergeCell ref="C108:D108"/>
    <mergeCell ref="G116:H116"/>
    <mergeCell ref="J116:K116"/>
    <mergeCell ref="G118:H118"/>
    <mergeCell ref="J118:K118"/>
    <mergeCell ref="G124:H124"/>
    <mergeCell ref="J124:K124"/>
    <mergeCell ref="G126:H126"/>
    <mergeCell ref="J126:K126"/>
    <mergeCell ref="C131:O131"/>
    <mergeCell ref="C132:O132"/>
    <mergeCell ref="C133:O133"/>
    <mergeCell ref="G134:I134"/>
    <mergeCell ref="J134:L134"/>
    <mergeCell ref="M134:O134"/>
    <mergeCell ref="C136:D136"/>
    <mergeCell ref="G144:H144"/>
    <mergeCell ref="J144:K144"/>
    <mergeCell ref="G146:H146"/>
    <mergeCell ref="J146:K146"/>
    <mergeCell ref="G151:H151"/>
    <mergeCell ref="J151:K151"/>
    <mergeCell ref="G153:H153"/>
    <mergeCell ref="J153:K153"/>
    <mergeCell ref="C156:O156"/>
    <mergeCell ref="C157:O157"/>
    <mergeCell ref="C158:O158"/>
    <mergeCell ref="G159:I159"/>
    <mergeCell ref="J159:L159"/>
    <mergeCell ref="M159:O159"/>
    <mergeCell ref="C161:D161"/>
    <mergeCell ref="G169:H169"/>
    <mergeCell ref="J169:K169"/>
    <mergeCell ref="G171:H171"/>
    <mergeCell ref="J171:K171"/>
    <mergeCell ref="G176:H176"/>
    <mergeCell ref="J176:K176"/>
    <mergeCell ref="G178:H178"/>
    <mergeCell ref="J178:K178"/>
    <mergeCell ref="C181:O181"/>
    <mergeCell ref="C182:O182"/>
    <mergeCell ref="C183:O183"/>
    <mergeCell ref="G184:I184"/>
    <mergeCell ref="J184:L184"/>
    <mergeCell ref="M184:O184"/>
    <mergeCell ref="C186:D186"/>
    <mergeCell ref="G194:H194"/>
    <mergeCell ref="J194:K194"/>
    <mergeCell ref="G196:H196"/>
    <mergeCell ref="J196:K196"/>
    <mergeCell ref="G202:H202"/>
    <mergeCell ref="J202:K202"/>
    <mergeCell ref="G204:H204"/>
    <mergeCell ref="J204:K204"/>
    <mergeCell ref="C210:O210"/>
    <mergeCell ref="C211:O211"/>
    <mergeCell ref="C212:O212"/>
    <mergeCell ref="G213:I213"/>
    <mergeCell ref="J213:L213"/>
    <mergeCell ref="M213:O213"/>
    <mergeCell ref="C215:D215"/>
    <mergeCell ref="G223:H223"/>
    <mergeCell ref="J223:K223"/>
    <mergeCell ref="G225:H225"/>
    <mergeCell ref="J225:K225"/>
    <mergeCell ref="G230:H230"/>
    <mergeCell ref="J230:K230"/>
    <mergeCell ref="G232:H232"/>
    <mergeCell ref="J232:K232"/>
    <mergeCell ref="C235:O235"/>
    <mergeCell ref="C236:O236"/>
    <mergeCell ref="C237:O237"/>
    <mergeCell ref="G238:I238"/>
    <mergeCell ref="J238:L238"/>
    <mergeCell ref="M238:O238"/>
    <mergeCell ref="C240:D240"/>
    <mergeCell ref="G248:H248"/>
    <mergeCell ref="J248:K248"/>
    <mergeCell ref="G250:H250"/>
    <mergeCell ref="J250:K250"/>
    <mergeCell ref="G255:H255"/>
    <mergeCell ref="J255:K255"/>
    <mergeCell ref="G257:H257"/>
    <mergeCell ref="J257:K257"/>
    <mergeCell ref="C260:O260"/>
    <mergeCell ref="C261:O261"/>
    <mergeCell ref="C262:O262"/>
    <mergeCell ref="G263:I263"/>
    <mergeCell ref="J263:L263"/>
    <mergeCell ref="M263:O263"/>
    <mergeCell ref="C265:D265"/>
    <mergeCell ref="G273:H273"/>
    <mergeCell ref="J273:K273"/>
    <mergeCell ref="G275:H275"/>
    <mergeCell ref="J275:K275"/>
    <mergeCell ref="G280:H280"/>
    <mergeCell ref="J280:K280"/>
    <mergeCell ref="G282:H282"/>
    <mergeCell ref="J282:K282"/>
    <mergeCell ref="C285:O285"/>
    <mergeCell ref="C286:O286"/>
    <mergeCell ref="C287:O287"/>
    <mergeCell ref="G288:I288"/>
    <mergeCell ref="J288:L288"/>
    <mergeCell ref="M288:O288"/>
    <mergeCell ref="C290:D290"/>
    <mergeCell ref="G298:H298"/>
    <mergeCell ref="J298:K298"/>
    <mergeCell ref="G300:H300"/>
    <mergeCell ref="J300:K300"/>
    <mergeCell ref="G305:H305"/>
    <mergeCell ref="J305:K305"/>
    <mergeCell ref="G307:H307"/>
    <mergeCell ref="J307:K307"/>
    <mergeCell ref="C310:O310"/>
    <mergeCell ref="C311:O311"/>
    <mergeCell ref="C312:O312"/>
    <mergeCell ref="G313:I313"/>
    <mergeCell ref="J313:L313"/>
    <mergeCell ref="M313:O313"/>
    <mergeCell ref="C315:D315"/>
    <mergeCell ref="G323:H323"/>
    <mergeCell ref="J323:K323"/>
    <mergeCell ref="G325:H325"/>
    <mergeCell ref="J325:K325"/>
    <mergeCell ref="G329:H329"/>
    <mergeCell ref="J329:K329"/>
    <mergeCell ref="G331:H331"/>
    <mergeCell ref="J331:K331"/>
    <mergeCell ref="C334:O334"/>
    <mergeCell ref="C335:O335"/>
    <mergeCell ref="C336:O336"/>
    <mergeCell ref="G337:I337"/>
    <mergeCell ref="J337:L337"/>
    <mergeCell ref="M337:O337"/>
    <mergeCell ref="C339:D339"/>
    <mergeCell ref="G347:H347"/>
    <mergeCell ref="J347:K347"/>
    <mergeCell ref="G349:H349"/>
    <mergeCell ref="J349:K349"/>
    <mergeCell ref="G353:H353"/>
    <mergeCell ref="J353:K353"/>
    <mergeCell ref="G355:H355"/>
    <mergeCell ref="J355:K355"/>
    <mergeCell ref="C358:O358"/>
    <mergeCell ref="C359:O359"/>
    <mergeCell ref="C360:O360"/>
    <mergeCell ref="G361:I361"/>
    <mergeCell ref="J361:L361"/>
    <mergeCell ref="M361:O361"/>
    <mergeCell ref="C363:D363"/>
    <mergeCell ref="G371:H371"/>
    <mergeCell ref="J371:K371"/>
    <mergeCell ref="G373:H373"/>
    <mergeCell ref="J373:K373"/>
    <mergeCell ref="G377:H377"/>
    <mergeCell ref="J377:K377"/>
    <mergeCell ref="G379:H379"/>
    <mergeCell ref="J379:K379"/>
    <mergeCell ref="C382:O382"/>
    <mergeCell ref="C383:O383"/>
    <mergeCell ref="C384:O384"/>
    <mergeCell ref="G385:I385"/>
    <mergeCell ref="J385:L385"/>
    <mergeCell ref="M385:O385"/>
    <mergeCell ref="C387:D387"/>
    <mergeCell ref="G395:H395"/>
    <mergeCell ref="J395:K395"/>
    <mergeCell ref="G397:H397"/>
    <mergeCell ref="J397:K397"/>
    <mergeCell ref="G401:H401"/>
    <mergeCell ref="J401:K401"/>
    <mergeCell ref="G403:H403"/>
    <mergeCell ref="J403:K403"/>
    <mergeCell ref="C406:O406"/>
    <mergeCell ref="C407:O407"/>
    <mergeCell ref="C408:O408"/>
    <mergeCell ref="G409:I409"/>
    <mergeCell ref="J409:L409"/>
    <mergeCell ref="M409:O409"/>
    <mergeCell ref="C411:D411"/>
    <mergeCell ref="G419:H419"/>
    <mergeCell ref="J419:K419"/>
    <mergeCell ref="G421:H421"/>
    <mergeCell ref="J421:K421"/>
    <mergeCell ref="G425:H425"/>
    <mergeCell ref="J425:K425"/>
    <mergeCell ref="G427:H427"/>
    <mergeCell ref="J427:K427"/>
    <mergeCell ref="C431:O431"/>
    <mergeCell ref="C432:O432"/>
    <mergeCell ref="C433:O433"/>
    <mergeCell ref="G434:I434"/>
    <mergeCell ref="J434:L434"/>
    <mergeCell ref="M434:O434"/>
    <mergeCell ref="C436:D436"/>
    <mergeCell ref="G442:H442"/>
    <mergeCell ref="J442:K442"/>
    <mergeCell ref="G444:H444"/>
    <mergeCell ref="J444:K444"/>
    <mergeCell ref="G448:H448"/>
    <mergeCell ref="J448:K448"/>
    <mergeCell ref="G450:H450"/>
    <mergeCell ref="J450:K450"/>
    <mergeCell ref="C453:O453"/>
    <mergeCell ref="C454:O454"/>
    <mergeCell ref="C455:O455"/>
    <mergeCell ref="G456:I456"/>
    <mergeCell ref="J456:L456"/>
    <mergeCell ref="M456:O456"/>
    <mergeCell ref="C458:D458"/>
    <mergeCell ref="G464:H464"/>
    <mergeCell ref="J464:K464"/>
    <mergeCell ref="G466:H466"/>
    <mergeCell ref="J466:K466"/>
    <mergeCell ref="G470:H470"/>
    <mergeCell ref="J470:K470"/>
    <mergeCell ref="G472:H472"/>
    <mergeCell ref="J472:K472"/>
    <mergeCell ref="C475:O475"/>
    <mergeCell ref="C476:O476"/>
    <mergeCell ref="G477:I477"/>
    <mergeCell ref="J477:L477"/>
    <mergeCell ref="M477:O477"/>
    <mergeCell ref="C479:D479"/>
    <mergeCell ref="G485:H485"/>
    <mergeCell ref="J485:K485"/>
    <mergeCell ref="G487:H487"/>
    <mergeCell ref="J487:K487"/>
    <mergeCell ref="G491:H491"/>
    <mergeCell ref="J491:K491"/>
    <mergeCell ref="G493:H493"/>
    <mergeCell ref="J493:K493"/>
    <mergeCell ref="C494:O494"/>
    <mergeCell ref="C496:O496"/>
    <mergeCell ref="C497:O497"/>
    <mergeCell ref="G498:I498"/>
    <mergeCell ref="J498:L498"/>
    <mergeCell ref="M498:O498"/>
    <mergeCell ref="G514:H514"/>
    <mergeCell ref="J514:K514"/>
    <mergeCell ref="C515:O515"/>
    <mergeCell ref="C500:D500"/>
    <mergeCell ref="G506:H506"/>
    <mergeCell ref="J506:K506"/>
    <mergeCell ref="G508:H508"/>
    <mergeCell ref="J508:K508"/>
    <mergeCell ref="G512:H512"/>
    <mergeCell ref="J512:K512"/>
  </mergeCells>
  <pageMargins left="0.75" right="0.75" top="1" bottom="1" header="0.5" footer="0.5"/>
  <pageSetup scale="10" orientation="landscape" horizontalDpi="355" verticalDpi="355" r:id="rId1"/>
  <headerFooter alignWithMargins="0"/>
  <rowBreaks count="2" manualBreakCount="2">
    <brk id="76" max="16383" man="1"/>
    <brk id="48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5">
    <pageSetUpPr fitToPage="1"/>
  </sheetPr>
  <dimension ref="A1:F90"/>
  <sheetViews>
    <sheetView view="pageBreakPreview" topLeftCell="A22" zoomScale="60" zoomScaleNormal="100" workbookViewId="0">
      <selection activeCell="A8" sqref="A8:E8"/>
    </sheetView>
  </sheetViews>
  <sheetFormatPr defaultRowHeight="12.75"/>
  <cols>
    <col min="1" max="1" width="2.7109375" customWidth="1"/>
    <col min="2" max="2" width="32.28515625" bestFit="1" customWidth="1"/>
    <col min="3" max="3" width="38.7109375" bestFit="1" customWidth="1"/>
    <col min="4" max="4" width="13" customWidth="1"/>
    <col min="5" max="5" width="16.28515625" customWidth="1"/>
  </cols>
  <sheetData>
    <row r="1" spans="1:6">
      <c r="A1" s="493" t="str">
        <f>+'Revenue Input'!A1</f>
        <v xml:space="preserve">E.L.K. Energy Inc., </v>
      </c>
      <c r="B1" s="493"/>
      <c r="C1" s="493"/>
      <c r="D1" s="493"/>
      <c r="E1" s="493"/>
    </row>
    <row r="2" spans="1:6">
      <c r="A2" s="493" t="str">
        <f>+'Revenue Input'!A2</f>
        <v>ED-2003-0015 , EB-2011-099</v>
      </c>
      <c r="B2" s="493"/>
      <c r="C2" s="493"/>
      <c r="D2" s="493"/>
      <c r="E2" s="493"/>
    </row>
    <row r="3" spans="1:6">
      <c r="A3" s="493">
        <f>+'Revenue Input'!A3</f>
        <v>0</v>
      </c>
      <c r="B3" s="493"/>
      <c r="C3" s="493"/>
      <c r="D3" s="493"/>
      <c r="E3" s="493"/>
    </row>
    <row r="4" spans="1:6" ht="8.25" customHeight="1">
      <c r="A4" s="471"/>
      <c r="B4" s="471"/>
      <c r="C4" s="471"/>
      <c r="D4" s="471"/>
      <c r="E4" s="471"/>
    </row>
    <row r="5" spans="1:6" ht="20.100000000000001" customHeight="1">
      <c r="A5" s="548" t="s">
        <v>90</v>
      </c>
      <c r="B5" s="548"/>
      <c r="C5" s="548"/>
      <c r="D5" s="548"/>
      <c r="E5" s="548"/>
    </row>
    <row r="6" spans="1:6" ht="20.100000000000001" customHeight="1">
      <c r="A6" s="547" t="s">
        <v>89</v>
      </c>
      <c r="B6" s="547"/>
      <c r="C6" s="547"/>
      <c r="D6" s="547"/>
      <c r="E6" s="547"/>
    </row>
    <row r="7" spans="1:6" ht="20.100000000000001" customHeight="1">
      <c r="A7" s="547" t="s">
        <v>260</v>
      </c>
      <c r="B7" s="547"/>
      <c r="C7" s="547"/>
      <c r="D7" s="547"/>
      <c r="E7" s="547"/>
    </row>
    <row r="8" spans="1:6" ht="20.100000000000001" customHeight="1">
      <c r="A8" s="478"/>
      <c r="B8" s="478"/>
      <c r="C8" s="478"/>
      <c r="D8" s="478"/>
      <c r="E8" s="478"/>
    </row>
    <row r="9" spans="1:6" ht="11.25" customHeight="1" thickBot="1">
      <c r="A9" s="16"/>
      <c r="B9" s="45"/>
      <c r="C9" s="16"/>
      <c r="D9" s="16"/>
      <c r="E9" s="46"/>
      <c r="F9" s="16"/>
    </row>
    <row r="10" spans="1:6" ht="26.25" thickBot="1">
      <c r="A10" s="39"/>
      <c r="B10" s="227" t="s">
        <v>0</v>
      </c>
      <c r="C10" s="227" t="s">
        <v>85</v>
      </c>
      <c r="D10" s="227" t="s">
        <v>86</v>
      </c>
      <c r="E10" s="227" t="s">
        <v>180</v>
      </c>
      <c r="F10" s="16"/>
    </row>
    <row r="11" spans="1:6" ht="15.75">
      <c r="A11" s="24"/>
      <c r="B11" s="544" t="str">
        <f>'Distribution Rate Schedule'!A11</f>
        <v>Residential</v>
      </c>
      <c r="C11" s="545"/>
      <c r="D11" s="545"/>
      <c r="E11" s="546"/>
      <c r="F11" s="25"/>
    </row>
    <row r="12" spans="1:6" ht="15">
      <c r="A12" s="24"/>
      <c r="B12" s="228"/>
      <c r="C12" s="42" t="s">
        <v>71</v>
      </c>
      <c r="D12" s="40" t="s">
        <v>87</v>
      </c>
      <c r="E12" s="229">
        <f>'Distribution Rate Schedule'!C11</f>
        <v>11.07</v>
      </c>
      <c r="F12" s="25"/>
    </row>
    <row r="13" spans="1:6" ht="15">
      <c r="A13" s="24"/>
      <c r="B13" s="228"/>
      <c r="C13" s="42" t="s">
        <v>88</v>
      </c>
      <c r="D13" s="40" t="s">
        <v>56</v>
      </c>
      <c r="E13" s="230">
        <f>'Distribution Rate Schedule'!E11</f>
        <v>7.9000000000000008E-3</v>
      </c>
      <c r="F13" s="25"/>
    </row>
    <row r="14" spans="1:6" ht="15">
      <c r="A14" s="24"/>
      <c r="B14" s="228"/>
      <c r="C14" s="42" t="s">
        <v>217</v>
      </c>
      <c r="D14" s="40" t="s">
        <v>56</v>
      </c>
      <c r="E14" s="230">
        <f>'Distribution Rate Schedule'!E23</f>
        <v>1.1999999999999999E-3</v>
      </c>
      <c r="F14" s="25"/>
    </row>
    <row r="15" spans="1:6" ht="15">
      <c r="A15" s="24"/>
      <c r="B15" s="228"/>
      <c r="C15" s="42" t="s">
        <v>161</v>
      </c>
      <c r="D15" s="40" t="s">
        <v>56</v>
      </c>
      <c r="E15" s="230">
        <f>'LRAM and SSM Rate Rider'!L9</f>
        <v>6.9999999999999999E-4</v>
      </c>
      <c r="F15" s="25"/>
    </row>
    <row r="16" spans="1:6" ht="15">
      <c r="A16" s="24"/>
      <c r="B16" s="228"/>
      <c r="C16" s="42" t="s">
        <v>216</v>
      </c>
      <c r="D16" s="40" t="s">
        <v>87</v>
      </c>
      <c r="E16" s="230">
        <f>'2012 Rate Rider'!D7</f>
        <v>-0.94395200676048363</v>
      </c>
      <c r="F16" s="25"/>
    </row>
    <row r="17" spans="1:6" ht="15.75" thickBot="1">
      <c r="A17" s="24"/>
      <c r="B17" s="231"/>
      <c r="C17" s="232" t="s">
        <v>215</v>
      </c>
      <c r="D17" s="233" t="s">
        <v>56</v>
      </c>
      <c r="E17" s="234">
        <f>'2012 Rate Rider'!B7</f>
        <v>-8.3597076756817754E-3</v>
      </c>
      <c r="F17" s="25"/>
    </row>
    <row r="18" spans="1:6" ht="6.95" customHeight="1" thickBot="1">
      <c r="A18" s="24"/>
      <c r="B18" s="41"/>
      <c r="C18" s="42"/>
      <c r="D18" s="40"/>
      <c r="E18" s="43"/>
      <c r="F18" s="25"/>
    </row>
    <row r="19" spans="1:6" ht="15.75" customHeight="1">
      <c r="A19" s="23"/>
      <c r="B19" s="544" t="str">
        <f>'Distribution Rate Schedule'!A12</f>
        <v>GS &lt; 50 kW</v>
      </c>
      <c r="C19" s="545"/>
      <c r="D19" s="545"/>
      <c r="E19" s="546"/>
    </row>
    <row r="20" spans="1:6" ht="15">
      <c r="A20" s="23"/>
      <c r="B20" s="228"/>
      <c r="C20" s="42" t="s">
        <v>71</v>
      </c>
      <c r="D20" s="40" t="s">
        <v>87</v>
      </c>
      <c r="E20" s="229">
        <f>'Distribution Rate Schedule'!C12</f>
        <v>14.96</v>
      </c>
    </row>
    <row r="21" spans="1:6" ht="15">
      <c r="A21" s="23"/>
      <c r="B21" s="228"/>
      <c r="C21" s="42" t="s">
        <v>88</v>
      </c>
      <c r="D21" s="40" t="s">
        <v>56</v>
      </c>
      <c r="E21" s="230">
        <f>'Distribution Rate Schedule'!E12</f>
        <v>4.7000000000000002E-3</v>
      </c>
    </row>
    <row r="22" spans="1:6" ht="15">
      <c r="A22" s="23"/>
      <c r="B22" s="228"/>
      <c r="C22" s="42" t="s">
        <v>217</v>
      </c>
      <c r="D22" s="40" t="s">
        <v>56</v>
      </c>
      <c r="E22" s="230">
        <f>'Distribution Rate Schedule'!E24</f>
        <v>1.1000000000000001E-3</v>
      </c>
    </row>
    <row r="23" spans="1:6" ht="15">
      <c r="A23" s="23"/>
      <c r="B23" s="228"/>
      <c r="C23" s="42" t="s">
        <v>161</v>
      </c>
      <c r="D23" s="40" t="s">
        <v>56</v>
      </c>
      <c r="E23" s="230">
        <f>'LRAM and SSM Rate Rider'!L10</f>
        <v>2.0000000000000001E-4</v>
      </c>
    </row>
    <row r="24" spans="1:6" ht="15">
      <c r="A24" s="23"/>
      <c r="B24" s="228"/>
      <c r="C24" s="42" t="s">
        <v>166</v>
      </c>
      <c r="D24" s="40" t="s">
        <v>87</v>
      </c>
      <c r="E24" s="230">
        <f>'2012 Rate Rider'!D8</f>
        <v>0.94926443265034022</v>
      </c>
    </row>
    <row r="25" spans="1:6" ht="15.75" thickBot="1">
      <c r="A25" s="23"/>
      <c r="B25" s="231"/>
      <c r="C25" s="232" t="s">
        <v>215</v>
      </c>
      <c r="D25" s="233" t="s">
        <v>56</v>
      </c>
      <c r="E25" s="234">
        <f>+'2012 Rate Rider'!B8</f>
        <v>-8.5775741718724392E-3</v>
      </c>
    </row>
    <row r="26" spans="1:6" ht="6.95" customHeight="1" thickBot="1">
      <c r="A26" s="23"/>
      <c r="B26" s="41"/>
      <c r="C26" s="42"/>
      <c r="D26" s="40"/>
      <c r="E26" s="43"/>
    </row>
    <row r="27" spans="1:6" ht="15.75" customHeight="1">
      <c r="A27" s="23"/>
      <c r="B27" s="544" t="str">
        <f>'Distribution Rate Schedule'!A13</f>
        <v>GS &gt;50</v>
      </c>
      <c r="C27" s="545"/>
      <c r="D27" s="545"/>
      <c r="E27" s="546"/>
    </row>
    <row r="28" spans="1:6" ht="15">
      <c r="A28" s="23"/>
      <c r="B28" s="228"/>
      <c r="C28" s="42" t="s">
        <v>71</v>
      </c>
      <c r="D28" s="40" t="s">
        <v>87</v>
      </c>
      <c r="E28" s="229">
        <f>'Distribution Rate Schedule'!C13</f>
        <v>177.32</v>
      </c>
    </row>
    <row r="29" spans="1:6" ht="15">
      <c r="A29" s="23"/>
      <c r="B29" s="228"/>
      <c r="C29" s="42" t="s">
        <v>88</v>
      </c>
      <c r="D29" s="40" t="s">
        <v>23</v>
      </c>
      <c r="E29" s="230">
        <f>'Distribution Rate Schedule'!D13</f>
        <v>1.5002</v>
      </c>
    </row>
    <row r="30" spans="1:6" ht="15">
      <c r="A30" s="23"/>
      <c r="B30" s="228"/>
      <c r="C30" s="42" t="s">
        <v>217</v>
      </c>
      <c r="D30" s="40" t="s">
        <v>23</v>
      </c>
      <c r="E30" s="230">
        <f>'Distribution Rate Schedule'!D25</f>
        <v>0.43319999999999997</v>
      </c>
    </row>
    <row r="31" spans="1:6" ht="15">
      <c r="A31" s="23"/>
      <c r="B31" s="228"/>
      <c r="C31" s="42" t="s">
        <v>161</v>
      </c>
      <c r="D31" s="40" t="s">
        <v>56</v>
      </c>
      <c r="E31" s="230">
        <f>'LRAM and SSM Rate Rider'!L11</f>
        <v>5.3499999999999999E-2</v>
      </c>
    </row>
    <row r="32" spans="1:6" ht="15">
      <c r="A32" s="23"/>
      <c r="B32" s="228"/>
      <c r="C32" s="42" t="s">
        <v>166</v>
      </c>
      <c r="D32" s="40" t="s">
        <v>87</v>
      </c>
      <c r="E32" s="230">
        <f>'2012 Rate Rider'!D9</f>
        <v>0</v>
      </c>
    </row>
    <row r="33" spans="1:5" ht="15.75" thickBot="1">
      <c r="A33" s="23"/>
      <c r="B33" s="231"/>
      <c r="C33" s="232" t="s">
        <v>215</v>
      </c>
      <c r="D33" s="233" t="s">
        <v>23</v>
      </c>
      <c r="E33" s="234">
        <f>+'2012 Rate Rider'!C9</f>
        <v>-3.0967732313535978</v>
      </c>
    </row>
    <row r="34" spans="1:5" ht="6.75" customHeight="1" thickBot="1">
      <c r="A34" s="23"/>
      <c r="B34" s="41"/>
      <c r="C34" s="42"/>
      <c r="D34" s="40"/>
      <c r="E34" s="43"/>
    </row>
    <row r="35" spans="1:5" ht="15.75" customHeight="1">
      <c r="A35" s="23"/>
      <c r="B35" s="544" t="str">
        <f>'Distribution Rate Schedule'!A14</f>
        <v xml:space="preserve">   </v>
      </c>
      <c r="C35" s="545"/>
      <c r="D35" s="545"/>
      <c r="E35" s="546"/>
    </row>
    <row r="36" spans="1:5" ht="15">
      <c r="A36" s="23"/>
      <c r="B36" s="228"/>
      <c r="C36" s="42" t="s">
        <v>71</v>
      </c>
      <c r="D36" s="40" t="s">
        <v>87</v>
      </c>
      <c r="E36" s="229">
        <f>'Distribution Rate Schedule'!C14</f>
        <v>0</v>
      </c>
    </row>
    <row r="37" spans="1:5" ht="15">
      <c r="A37" s="23"/>
      <c r="B37" s="228"/>
      <c r="C37" s="42" t="s">
        <v>88</v>
      </c>
      <c r="D37" s="40" t="s">
        <v>23</v>
      </c>
      <c r="E37" s="230" t="e">
        <f>'Distribution Rate Schedule'!D14</f>
        <v>#DIV/0!</v>
      </c>
    </row>
    <row r="38" spans="1:5" ht="15">
      <c r="A38" s="23"/>
      <c r="B38" s="228"/>
      <c r="C38" s="42" t="s">
        <v>217</v>
      </c>
      <c r="D38" s="40" t="s">
        <v>23</v>
      </c>
      <c r="E38" s="230" t="e">
        <f>'Distribution Rate Schedule'!D26</f>
        <v>#REF!</v>
      </c>
    </row>
    <row r="39" spans="1:5" ht="15">
      <c r="A39" s="23"/>
      <c r="B39" s="228"/>
      <c r="C39" s="42" t="s">
        <v>161</v>
      </c>
      <c r="D39" s="40" t="s">
        <v>23</v>
      </c>
      <c r="E39" s="230">
        <f>'LRAM and SSM Rate Rider'!L12</f>
        <v>0</v>
      </c>
    </row>
    <row r="40" spans="1:5" ht="15">
      <c r="A40" s="23"/>
      <c r="B40" s="228"/>
      <c r="C40" s="42" t="s">
        <v>166</v>
      </c>
      <c r="D40" s="40" t="s">
        <v>87</v>
      </c>
      <c r="E40" s="230">
        <f>'2012 Rate Rider'!D10</f>
        <v>0</v>
      </c>
    </row>
    <row r="41" spans="1:5" ht="15.75" thickBot="1">
      <c r="A41" s="23"/>
      <c r="B41" s="231"/>
      <c r="C41" s="232" t="s">
        <v>215</v>
      </c>
      <c r="D41" s="233" t="s">
        <v>23</v>
      </c>
      <c r="E41" s="234">
        <f>'2012 Rate Rider'!C10</f>
        <v>0</v>
      </c>
    </row>
    <row r="42" spans="1:5" ht="6.95" customHeight="1" thickBot="1">
      <c r="A42" s="23"/>
      <c r="B42" s="41"/>
      <c r="C42" s="42"/>
      <c r="D42" s="40"/>
      <c r="E42" s="43"/>
    </row>
    <row r="43" spans="1:5" ht="15.75">
      <c r="A43" s="23"/>
      <c r="B43" s="544" t="str">
        <f>'Distribution Rate Schedule'!A15</f>
        <v>Sentinel Lights</v>
      </c>
      <c r="C43" s="545"/>
      <c r="D43" s="545"/>
      <c r="E43" s="546"/>
    </row>
    <row r="44" spans="1:5" ht="15">
      <c r="A44" s="23"/>
      <c r="B44" s="228"/>
      <c r="C44" s="42" t="s">
        <v>71</v>
      </c>
      <c r="D44" s="40" t="s">
        <v>87</v>
      </c>
      <c r="E44" s="229">
        <f>'Distribution Rate Schedule'!B15</f>
        <v>2.9744000000000002</v>
      </c>
    </row>
    <row r="45" spans="1:5" ht="15">
      <c r="A45" s="23"/>
      <c r="B45" s="228"/>
      <c r="C45" s="42" t="s">
        <v>88</v>
      </c>
      <c r="D45" s="40" t="s">
        <v>23</v>
      </c>
      <c r="E45" s="230">
        <f>'Distribution Rate Schedule'!D15</f>
        <v>5.5830000000000002</v>
      </c>
    </row>
    <row r="46" spans="1:5" ht="15">
      <c r="A46" s="23"/>
      <c r="B46" s="228"/>
      <c r="C46" s="42" t="s">
        <v>217</v>
      </c>
      <c r="D46" s="40" t="s">
        <v>23</v>
      </c>
      <c r="E46" s="230">
        <f>'Distribution Rate Schedule'!D27</f>
        <v>0.34210000000000002</v>
      </c>
    </row>
    <row r="47" spans="1:5" ht="15">
      <c r="A47" s="23"/>
      <c r="B47" s="228"/>
      <c r="C47" s="42" t="s">
        <v>161</v>
      </c>
      <c r="D47" s="40" t="s">
        <v>23</v>
      </c>
      <c r="E47" s="230">
        <f>'LRAM and SSM Rate Rider'!L13</f>
        <v>0</v>
      </c>
    </row>
    <row r="48" spans="1:5" ht="15.75" thickBot="1">
      <c r="A48" s="23"/>
      <c r="B48" s="231"/>
      <c r="C48" s="232" t="s">
        <v>215</v>
      </c>
      <c r="D48" s="233" t="s">
        <v>23</v>
      </c>
      <c r="E48" s="234">
        <f>+'2012 Rate Rider'!C11</f>
        <v>26.854211057783228</v>
      </c>
    </row>
    <row r="49" spans="1:5" ht="6.95" customHeight="1" thickBot="1">
      <c r="A49" s="23"/>
      <c r="B49" s="41"/>
      <c r="C49" s="42"/>
      <c r="D49" s="40"/>
      <c r="E49" s="43"/>
    </row>
    <row r="50" spans="1:5" ht="15.75">
      <c r="A50" s="23"/>
      <c r="B50" s="544" t="str">
        <f>'Distribution Rate Schedule'!A16</f>
        <v>Street Lighting</v>
      </c>
      <c r="C50" s="545"/>
      <c r="D50" s="545"/>
      <c r="E50" s="546"/>
    </row>
    <row r="51" spans="1:5" ht="15">
      <c r="A51" s="23"/>
      <c r="B51" s="228"/>
      <c r="C51" s="42" t="s">
        <v>71</v>
      </c>
      <c r="D51" s="40" t="s">
        <v>87</v>
      </c>
      <c r="E51" s="229">
        <f>'Distribution Rate Schedule'!B16</f>
        <v>1.1132</v>
      </c>
    </row>
    <row r="52" spans="1:5" ht="15">
      <c r="A52" s="23"/>
      <c r="B52" s="228"/>
      <c r="C52" s="42" t="s">
        <v>88</v>
      </c>
      <c r="D52" s="40" t="s">
        <v>23</v>
      </c>
      <c r="E52" s="230">
        <f>'Distribution Rate Schedule'!D16</f>
        <v>10.8421</v>
      </c>
    </row>
    <row r="53" spans="1:5" ht="15">
      <c r="A53" s="23"/>
      <c r="B53" s="228"/>
      <c r="C53" s="42" t="s">
        <v>217</v>
      </c>
      <c r="D53" s="40" t="s">
        <v>23</v>
      </c>
      <c r="E53" s="230">
        <f>'Distribution Rate Schedule'!D28</f>
        <v>0.33510000000000001</v>
      </c>
    </row>
    <row r="54" spans="1:5" ht="15">
      <c r="A54" s="23"/>
      <c r="B54" s="228"/>
      <c r="C54" s="42" t="s">
        <v>161</v>
      </c>
      <c r="D54" s="40" t="s">
        <v>23</v>
      </c>
      <c r="E54" s="230">
        <f>'LRAM and SSM Rate Rider'!L14</f>
        <v>0</v>
      </c>
    </row>
    <row r="55" spans="1:5" ht="15.75" thickBot="1">
      <c r="A55" s="23"/>
      <c r="B55" s="231"/>
      <c r="C55" s="232" t="s">
        <v>215</v>
      </c>
      <c r="D55" s="233" t="s">
        <v>23</v>
      </c>
      <c r="E55" s="234">
        <f>'2012 Rate Rider'!C12</f>
        <v>-3.2839032404987774</v>
      </c>
    </row>
    <row r="56" spans="1:5" ht="6.95" customHeight="1" thickBot="1">
      <c r="A56" s="23"/>
      <c r="B56" s="41"/>
      <c r="C56" s="42"/>
      <c r="D56" s="40"/>
      <c r="E56" s="43"/>
    </row>
    <row r="57" spans="1:5" ht="15.75">
      <c r="A57" s="23"/>
      <c r="B57" s="544" t="str">
        <f>'Distribution Rate Schedule'!A17</f>
        <v>USL</v>
      </c>
      <c r="C57" s="545"/>
      <c r="D57" s="545"/>
      <c r="E57" s="546"/>
    </row>
    <row r="58" spans="1:5" ht="15">
      <c r="A58" s="23"/>
      <c r="B58" s="228"/>
      <c r="C58" s="42" t="s">
        <v>71</v>
      </c>
      <c r="D58" s="40" t="s">
        <v>87</v>
      </c>
      <c r="E58" s="229">
        <f>'Distribution Rate Schedule'!B17</f>
        <v>6.0778999999999996</v>
      </c>
    </row>
    <row r="59" spans="1:5" ht="15">
      <c r="A59" s="23"/>
      <c r="B59" s="228"/>
      <c r="C59" s="42" t="s">
        <v>88</v>
      </c>
      <c r="D59" s="40" t="s">
        <v>56</v>
      </c>
      <c r="E59" s="230">
        <f>'Distribution Rate Schedule'!E17</f>
        <v>1.9E-3</v>
      </c>
    </row>
    <row r="60" spans="1:5" ht="15">
      <c r="A60" s="23"/>
      <c r="B60" s="228"/>
      <c r="C60" s="42" t="s">
        <v>217</v>
      </c>
      <c r="D60" s="40" t="s">
        <v>56</v>
      </c>
      <c r="E60" s="230">
        <f>'Distribution Rate Schedule'!E29</f>
        <v>1.1000000000000001E-3</v>
      </c>
    </row>
    <row r="61" spans="1:5" ht="15">
      <c r="A61" s="23"/>
      <c r="B61" s="228"/>
      <c r="C61" s="42" t="s">
        <v>161</v>
      </c>
      <c r="D61" s="40" t="s">
        <v>56</v>
      </c>
      <c r="E61" s="230">
        <f>'LRAM and SSM Rate Rider'!L15</f>
        <v>0</v>
      </c>
    </row>
    <row r="62" spans="1:5" ht="15.75" thickBot="1">
      <c r="A62" s="23"/>
      <c r="B62" s="231"/>
      <c r="C62" s="232" t="s">
        <v>215</v>
      </c>
      <c r="D62" s="233" t="s">
        <v>56</v>
      </c>
      <c r="E62" s="234">
        <f>'2012 Rate Rider'!C13</f>
        <v>0</v>
      </c>
    </row>
    <row r="63" spans="1:5">
      <c r="B63" s="16"/>
      <c r="C63" s="25"/>
      <c r="D63" s="25"/>
      <c r="E63" s="44"/>
    </row>
    <row r="64" spans="1:5">
      <c r="B64" s="8"/>
    </row>
    <row r="65" spans="2:2">
      <c r="B65" s="8"/>
    </row>
    <row r="66" spans="2:2">
      <c r="B66" s="8"/>
    </row>
    <row r="67" spans="2:2">
      <c r="B67" s="8"/>
    </row>
    <row r="68" spans="2:2">
      <c r="B68" s="8"/>
    </row>
    <row r="69" spans="2:2">
      <c r="B69" s="8"/>
    </row>
    <row r="70" spans="2:2">
      <c r="B70" s="8"/>
    </row>
    <row r="71" spans="2:2">
      <c r="B71" s="8"/>
    </row>
    <row r="72" spans="2:2">
      <c r="B72" s="8"/>
    </row>
    <row r="73" spans="2:2">
      <c r="B73" s="8"/>
    </row>
    <row r="74" spans="2:2">
      <c r="B74" s="8"/>
    </row>
    <row r="75" spans="2:2">
      <c r="B75" s="8"/>
    </row>
    <row r="76" spans="2:2">
      <c r="B76" s="8"/>
    </row>
    <row r="77" spans="2:2">
      <c r="B77" s="8"/>
    </row>
    <row r="78" spans="2:2">
      <c r="B78" s="8"/>
    </row>
    <row r="79" spans="2:2">
      <c r="B79" s="8"/>
    </row>
    <row r="80" spans="2:2">
      <c r="B80" s="8"/>
    </row>
    <row r="81" spans="2:2">
      <c r="B81" s="8"/>
    </row>
    <row r="82" spans="2:2">
      <c r="B82" s="8"/>
    </row>
    <row r="83" spans="2:2">
      <c r="B83" s="8"/>
    </row>
    <row r="84" spans="2:2">
      <c r="B84" s="8"/>
    </row>
    <row r="85" spans="2:2">
      <c r="B85" s="8"/>
    </row>
    <row r="86" spans="2:2">
      <c r="B86" s="8"/>
    </row>
    <row r="87" spans="2:2">
      <c r="B87" s="8"/>
    </row>
    <row r="88" spans="2:2">
      <c r="B88" s="8"/>
    </row>
    <row r="89" spans="2:2">
      <c r="B89" s="8"/>
    </row>
    <row r="90" spans="2:2">
      <c r="B90" s="8"/>
    </row>
  </sheetData>
  <mergeCells count="15">
    <mergeCell ref="A1:E1"/>
    <mergeCell ref="A2:E2"/>
    <mergeCell ref="A3:E3"/>
    <mergeCell ref="A4:E4"/>
    <mergeCell ref="A5:E5"/>
    <mergeCell ref="A6:E6"/>
    <mergeCell ref="A7:E7"/>
    <mergeCell ref="A8:E8"/>
    <mergeCell ref="B43:E43"/>
    <mergeCell ref="B50:E50"/>
    <mergeCell ref="B57:E57"/>
    <mergeCell ref="B11:E11"/>
    <mergeCell ref="B19:E19"/>
    <mergeCell ref="B27:E27"/>
    <mergeCell ref="B35:E35"/>
  </mergeCells>
  <phoneticPr fontId="0" type="noConversion"/>
  <pageMargins left="0.75" right="0.75" top="1" bottom="1" header="0.5" footer="0.5"/>
  <pageSetup scale="73" orientation="portrait" horizontalDpi="355" verticalDpi="355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6">
    <pageSetUpPr fitToPage="1"/>
  </sheetPr>
  <dimension ref="A1:D51"/>
  <sheetViews>
    <sheetView view="pageBreakPreview" topLeftCell="A28" zoomScale="60" zoomScaleNormal="100" workbookViewId="0">
      <selection activeCell="A7" sqref="A7:D7"/>
    </sheetView>
  </sheetViews>
  <sheetFormatPr defaultColWidth="9.7109375" defaultRowHeight="12.75"/>
  <cols>
    <col min="1" max="1" width="1.5703125" customWidth="1"/>
    <col min="2" max="2" width="74.7109375" customWidth="1"/>
    <col min="3" max="3" width="14.85546875" customWidth="1"/>
    <col min="4" max="4" width="9.85546875" bestFit="1" customWidth="1"/>
  </cols>
  <sheetData>
    <row r="1" spans="1:4">
      <c r="A1" s="493" t="str">
        <f>+'Revenue Input'!A1</f>
        <v xml:space="preserve">E.L.K. Energy Inc., </v>
      </c>
      <c r="B1" s="493"/>
      <c r="C1" s="493"/>
      <c r="D1" s="493"/>
    </row>
    <row r="2" spans="1:4">
      <c r="A2" s="493" t="str">
        <f>+'Revenue Input'!A2</f>
        <v>ED-2003-0015 , EB-2011-099</v>
      </c>
      <c r="B2" s="493"/>
      <c r="C2" s="493"/>
      <c r="D2" s="493"/>
    </row>
    <row r="3" spans="1:4">
      <c r="A3" s="493">
        <f>+'Revenue Input'!A3</f>
        <v>0</v>
      </c>
      <c r="B3" s="493"/>
      <c r="C3" s="493"/>
      <c r="D3" s="493"/>
    </row>
    <row r="4" spans="1:4">
      <c r="A4" s="555"/>
      <c r="B4" s="555"/>
      <c r="C4" s="555"/>
      <c r="D4" s="555"/>
    </row>
    <row r="5" spans="1:4" ht="20.100000000000001" customHeight="1">
      <c r="A5" s="523" t="s">
        <v>127</v>
      </c>
      <c r="B5" s="523"/>
      <c r="C5" s="523"/>
      <c r="D5" s="523"/>
    </row>
    <row r="6" spans="1:4" ht="20.100000000000001" customHeight="1">
      <c r="A6" s="547" t="s">
        <v>89</v>
      </c>
      <c r="B6" s="547"/>
      <c r="C6" s="547"/>
      <c r="D6" s="547"/>
    </row>
    <row r="7" spans="1:4" ht="20.100000000000001" customHeight="1">
      <c r="A7" s="547" t="s">
        <v>260</v>
      </c>
      <c r="B7" s="547"/>
      <c r="C7" s="547"/>
      <c r="D7" s="547"/>
    </row>
    <row r="8" spans="1:4" ht="20.100000000000001" customHeight="1">
      <c r="A8" s="551"/>
      <c r="B8" s="551"/>
      <c r="C8" s="551"/>
      <c r="D8" s="551"/>
    </row>
    <row r="9" spans="1:4" ht="30.75" customHeight="1">
      <c r="A9" s="29"/>
      <c r="B9" s="235" t="s">
        <v>92</v>
      </c>
      <c r="C9" s="235" t="s">
        <v>93</v>
      </c>
      <c r="D9" s="235" t="s">
        <v>180</v>
      </c>
    </row>
    <row r="10" spans="1:4" ht="44.45" customHeight="1">
      <c r="A10" s="30"/>
      <c r="B10" s="238" t="s">
        <v>94</v>
      </c>
      <c r="C10" s="241" t="s">
        <v>124</v>
      </c>
      <c r="D10" s="242">
        <v>15</v>
      </c>
    </row>
    <row r="11" spans="1:4" ht="44.45" customHeight="1">
      <c r="A11" s="30"/>
      <c r="B11" s="238" t="s">
        <v>95</v>
      </c>
      <c r="C11" s="241" t="s">
        <v>124</v>
      </c>
      <c r="D11" s="242">
        <v>15</v>
      </c>
    </row>
    <row r="12" spans="1:4" ht="44.45" customHeight="1">
      <c r="A12" s="30"/>
      <c r="B12" s="238" t="s">
        <v>96</v>
      </c>
      <c r="C12" s="241" t="s">
        <v>124</v>
      </c>
      <c r="D12" s="242">
        <v>15</v>
      </c>
    </row>
    <row r="13" spans="1:4" ht="44.45" customHeight="1">
      <c r="A13" s="30"/>
      <c r="B13" s="238" t="s">
        <v>97</v>
      </c>
      <c r="C13" s="241" t="s">
        <v>124</v>
      </c>
      <c r="D13" s="242">
        <v>15</v>
      </c>
    </row>
    <row r="14" spans="1:4" ht="44.45" customHeight="1">
      <c r="A14" s="30"/>
      <c r="B14" s="238" t="s">
        <v>98</v>
      </c>
      <c r="C14" s="241" t="s">
        <v>124</v>
      </c>
      <c r="D14" s="242">
        <v>15</v>
      </c>
    </row>
    <row r="15" spans="1:4" ht="44.45" customHeight="1">
      <c r="A15" s="30"/>
      <c r="B15" s="238" t="s">
        <v>99</v>
      </c>
      <c r="C15" s="241" t="s">
        <v>124</v>
      </c>
      <c r="D15" s="242">
        <v>15</v>
      </c>
    </row>
    <row r="16" spans="1:4" ht="44.45" customHeight="1">
      <c r="A16" s="30"/>
      <c r="B16" s="238" t="s">
        <v>100</v>
      </c>
      <c r="C16" s="241" t="s">
        <v>124</v>
      </c>
      <c r="D16" s="242">
        <v>15</v>
      </c>
    </row>
    <row r="17" spans="1:4" ht="44.45" customHeight="1">
      <c r="A17" s="30"/>
      <c r="B17" s="238" t="s">
        <v>101</v>
      </c>
      <c r="C17" s="241" t="s">
        <v>124</v>
      </c>
      <c r="D17" s="242">
        <v>15</v>
      </c>
    </row>
    <row r="18" spans="1:4" ht="44.45" customHeight="1">
      <c r="A18" s="30"/>
      <c r="B18" s="238" t="s">
        <v>102</v>
      </c>
      <c r="C18" s="241" t="s">
        <v>124</v>
      </c>
      <c r="D18" s="242">
        <v>15</v>
      </c>
    </row>
    <row r="19" spans="1:4" ht="44.45" customHeight="1">
      <c r="A19" s="30"/>
      <c r="B19" s="238" t="s">
        <v>103</v>
      </c>
      <c r="C19" s="241" t="s">
        <v>124</v>
      </c>
      <c r="D19" s="242">
        <v>15</v>
      </c>
    </row>
    <row r="20" spans="1:4" ht="44.45" customHeight="1">
      <c r="A20" s="30"/>
      <c r="B20" s="238" t="s">
        <v>104</v>
      </c>
      <c r="C20" s="241" t="s">
        <v>124</v>
      </c>
      <c r="D20" s="242">
        <v>15</v>
      </c>
    </row>
    <row r="21" spans="1:4" ht="44.45" customHeight="1">
      <c r="A21" s="30"/>
      <c r="B21" s="238" t="s">
        <v>105</v>
      </c>
      <c r="C21" s="241" t="s">
        <v>124</v>
      </c>
      <c r="D21" s="242">
        <v>15</v>
      </c>
    </row>
    <row r="22" spans="1:4" ht="44.45" customHeight="1">
      <c r="A22" s="30"/>
      <c r="B22" s="238" t="s">
        <v>106</v>
      </c>
      <c r="C22" s="241" t="s">
        <v>124</v>
      </c>
      <c r="D22" s="242">
        <v>15</v>
      </c>
    </row>
    <row r="23" spans="1:4" ht="44.45" customHeight="1">
      <c r="A23" s="30"/>
      <c r="B23" s="238" t="s">
        <v>107</v>
      </c>
      <c r="C23" s="241" t="s">
        <v>124</v>
      </c>
      <c r="D23" s="242">
        <v>30</v>
      </c>
    </row>
    <row r="24" spans="1:4" ht="44.45" customHeight="1">
      <c r="A24" s="30"/>
      <c r="B24" s="238" t="s">
        <v>108</v>
      </c>
      <c r="C24" s="241" t="s">
        <v>124</v>
      </c>
      <c r="D24" s="242">
        <v>30</v>
      </c>
    </row>
    <row r="25" spans="1:4" ht="44.45" customHeight="1">
      <c r="A25" s="30"/>
      <c r="B25" s="238" t="s">
        <v>109</v>
      </c>
      <c r="C25" s="241" t="s">
        <v>124</v>
      </c>
      <c r="D25" s="242">
        <v>30</v>
      </c>
    </row>
    <row r="26" spans="1:4" ht="44.45" customHeight="1">
      <c r="A26" s="30"/>
      <c r="B26" s="238" t="s">
        <v>110</v>
      </c>
      <c r="C26" s="241" t="s">
        <v>124</v>
      </c>
      <c r="D26" s="242">
        <v>165</v>
      </c>
    </row>
    <row r="27" spans="1:4" ht="44.45" customHeight="1">
      <c r="A27" s="30"/>
      <c r="B27" s="238" t="s">
        <v>111</v>
      </c>
      <c r="C27" s="241" t="s">
        <v>124</v>
      </c>
      <c r="D27" s="242">
        <v>65</v>
      </c>
    </row>
    <row r="28" spans="1:4" ht="44.45" customHeight="1">
      <c r="A28" s="30"/>
      <c r="B28" s="238" t="s">
        <v>112</v>
      </c>
      <c r="C28" s="241" t="s">
        <v>124</v>
      </c>
      <c r="D28" s="242">
        <v>65</v>
      </c>
    </row>
    <row r="29" spans="1:4" ht="44.45" customHeight="1">
      <c r="A29" s="30"/>
      <c r="B29" s="238" t="s">
        <v>113</v>
      </c>
      <c r="C29" s="241" t="s">
        <v>124</v>
      </c>
      <c r="D29" s="242">
        <v>185</v>
      </c>
    </row>
    <row r="30" spans="1:4" ht="44.45" customHeight="1">
      <c r="A30" s="30"/>
      <c r="B30" s="238" t="s">
        <v>114</v>
      </c>
      <c r="C30" s="241" t="s">
        <v>124</v>
      </c>
      <c r="D30" s="242">
        <v>185</v>
      </c>
    </row>
    <row r="31" spans="1:4" ht="44.45" customHeight="1">
      <c r="A31" s="30"/>
      <c r="B31" s="238" t="s">
        <v>115</v>
      </c>
      <c r="C31" s="241" t="s">
        <v>124</v>
      </c>
      <c r="D31" s="242">
        <v>185</v>
      </c>
    </row>
    <row r="32" spans="1:4" ht="44.45" customHeight="1">
      <c r="A32" s="30"/>
      <c r="B32" s="238" t="s">
        <v>116</v>
      </c>
      <c r="C32" s="241" t="s">
        <v>124</v>
      </c>
      <c r="D32" s="242">
        <v>415</v>
      </c>
    </row>
    <row r="33" spans="1:4" ht="44.45" customHeight="1">
      <c r="A33" s="30"/>
      <c r="B33" s="238" t="s">
        <v>117</v>
      </c>
      <c r="C33" s="241" t="s">
        <v>124</v>
      </c>
      <c r="D33" s="242">
        <v>30</v>
      </c>
    </row>
    <row r="34" spans="1:4" ht="44.45" customHeight="1">
      <c r="A34" s="30"/>
      <c r="B34" s="238" t="s">
        <v>118</v>
      </c>
      <c r="C34" s="241" t="s">
        <v>124</v>
      </c>
      <c r="D34" s="242">
        <v>30</v>
      </c>
    </row>
    <row r="35" spans="1:4" ht="44.45" customHeight="1">
      <c r="A35" s="30"/>
      <c r="B35" s="238" t="s">
        <v>119</v>
      </c>
      <c r="C35" s="241" t="s">
        <v>124</v>
      </c>
      <c r="D35" s="242">
        <v>165</v>
      </c>
    </row>
    <row r="36" spans="1:4" ht="44.45" customHeight="1">
      <c r="A36" s="30"/>
      <c r="B36" s="238" t="s">
        <v>120</v>
      </c>
      <c r="C36" s="241" t="s">
        <v>124</v>
      </c>
      <c r="D36" s="242">
        <v>500</v>
      </c>
    </row>
    <row r="37" spans="1:4" ht="44.45" customHeight="1">
      <c r="A37" s="30"/>
      <c r="B37" s="238" t="s">
        <v>121</v>
      </c>
      <c r="C37" s="241" t="s">
        <v>124</v>
      </c>
      <c r="D37" s="242">
        <v>300</v>
      </c>
    </row>
    <row r="38" spans="1:4" ht="44.45" customHeight="1">
      <c r="A38" s="30"/>
      <c r="B38" s="238" t="s">
        <v>122</v>
      </c>
      <c r="C38" s="241" t="s">
        <v>124</v>
      </c>
      <c r="D38" s="242">
        <v>1000</v>
      </c>
    </row>
    <row r="39" spans="1:4" ht="44.45" customHeight="1">
      <c r="A39" s="30"/>
      <c r="B39" s="238" t="s">
        <v>123</v>
      </c>
      <c r="C39" s="241" t="s">
        <v>124</v>
      </c>
      <c r="D39" s="242">
        <v>22.35</v>
      </c>
    </row>
    <row r="40" spans="1:4" ht="28.5" customHeight="1">
      <c r="A40" s="36"/>
      <c r="B40" s="239" t="s">
        <v>125</v>
      </c>
      <c r="C40" s="240" t="s">
        <v>169</v>
      </c>
      <c r="D40" s="236">
        <v>150</v>
      </c>
    </row>
    <row r="41" spans="1:4" s="8" customFormat="1" ht="12" customHeight="1">
      <c r="A41" s="36"/>
      <c r="B41" s="243"/>
      <c r="C41" s="244"/>
      <c r="D41" s="245"/>
    </row>
    <row r="42" spans="1:4" ht="18">
      <c r="A42" s="30"/>
      <c r="B42" s="552" t="s">
        <v>126</v>
      </c>
      <c r="C42" s="553"/>
      <c r="D42" s="554"/>
    </row>
    <row r="43" spans="1:4" ht="15.75">
      <c r="B43" s="549" t="s">
        <v>57</v>
      </c>
      <c r="C43" s="550"/>
      <c r="D43" s="237" t="e">
        <f>+'Other Electriciy Rates'!#REF!</f>
        <v>#REF!</v>
      </c>
    </row>
    <row r="44" spans="1:4" ht="15.75">
      <c r="B44" s="549" t="s">
        <v>58</v>
      </c>
      <c r="C44" s="550"/>
      <c r="D44" s="237" t="e">
        <f>+'Other Electriciy Rates'!#REF!</f>
        <v>#REF!</v>
      </c>
    </row>
    <row r="45" spans="1:4" ht="15.75">
      <c r="B45" s="549" t="s">
        <v>59</v>
      </c>
      <c r="C45" s="550"/>
      <c r="D45" s="237" t="e">
        <f>+'Other Electriciy Rates'!#REF!</f>
        <v>#REF!</v>
      </c>
    </row>
    <row r="46" spans="1:4" ht="15.75">
      <c r="B46" s="549" t="s">
        <v>60</v>
      </c>
      <c r="C46" s="550"/>
      <c r="D46" s="237" t="e">
        <f>+'Other Electriciy Rates'!#REF!</f>
        <v>#REF!</v>
      </c>
    </row>
    <row r="47" spans="1:4" ht="15.75">
      <c r="B47" s="549" t="s">
        <v>61</v>
      </c>
      <c r="C47" s="550"/>
      <c r="D47" s="237" t="e">
        <f>+'Other Electriciy Rates'!#REF!</f>
        <v>#REF!</v>
      </c>
    </row>
    <row r="48" spans="1:4" ht="15.75">
      <c r="B48" s="549" t="s">
        <v>62</v>
      </c>
      <c r="C48" s="550"/>
      <c r="D48" s="237" t="e">
        <f>+'Other Electriciy Rates'!#REF!</f>
        <v>#REF!</v>
      </c>
    </row>
    <row r="49" spans="2:4" ht="15.75">
      <c r="B49" s="549" t="s">
        <v>63</v>
      </c>
      <c r="C49" s="550"/>
      <c r="D49" s="237" t="e">
        <f>+'Other Electriciy Rates'!#REF!</f>
        <v>#REF!</v>
      </c>
    </row>
    <row r="50" spans="2:4" ht="15.75">
      <c r="B50" s="549" t="s">
        <v>64</v>
      </c>
      <c r="C50" s="550"/>
      <c r="D50" s="237" t="e">
        <f>+'Other Electriciy Rates'!#REF!</f>
        <v>#REF!</v>
      </c>
    </row>
    <row r="51" spans="2:4" ht="15.75">
      <c r="B51" s="549" t="s">
        <v>65</v>
      </c>
      <c r="C51" s="550"/>
      <c r="D51" s="237" t="e">
        <f>+'Other Electriciy Rates'!#REF!</f>
        <v>#REF!</v>
      </c>
    </row>
  </sheetData>
  <mergeCells count="18">
    <mergeCell ref="A1:D1"/>
    <mergeCell ref="A2:D2"/>
    <mergeCell ref="A3:D3"/>
    <mergeCell ref="A4:D4"/>
    <mergeCell ref="A5:D5"/>
    <mergeCell ref="A6:D6"/>
    <mergeCell ref="A7:D7"/>
    <mergeCell ref="A8:D8"/>
    <mergeCell ref="B42:D42"/>
    <mergeCell ref="B43:C43"/>
    <mergeCell ref="B44:C44"/>
    <mergeCell ref="B45:C45"/>
    <mergeCell ref="B50:C50"/>
    <mergeCell ref="B51:C51"/>
    <mergeCell ref="B46:C46"/>
    <mergeCell ref="B47:C47"/>
    <mergeCell ref="B48:C48"/>
    <mergeCell ref="B49:C49"/>
  </mergeCells>
  <phoneticPr fontId="0" type="noConversion"/>
  <pageMargins left="0.75" right="0.75" top="1" bottom="1" header="0.5" footer="0.5"/>
  <pageSetup scale="81" fitToHeight="2" orientation="portrait" horizontalDpi="355" verticalDpi="355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7">
    <pageSetUpPr fitToPage="1"/>
  </sheetPr>
  <dimension ref="A1:L24"/>
  <sheetViews>
    <sheetView view="pageBreakPreview" topLeftCell="A6" zoomScale="60" zoomScaleNormal="100" workbookViewId="0">
      <selection activeCell="E13" sqref="E13"/>
    </sheetView>
  </sheetViews>
  <sheetFormatPr defaultRowHeight="12.75"/>
  <cols>
    <col min="1" max="1" width="31.28515625" bestFit="1" customWidth="1"/>
    <col min="2" max="2" width="15.140625" customWidth="1"/>
    <col min="3" max="3" width="13.7109375" customWidth="1"/>
    <col min="4" max="4" width="14" bestFit="1" customWidth="1"/>
    <col min="5" max="5" width="16" customWidth="1"/>
    <col min="6" max="6" width="15.5703125" customWidth="1"/>
    <col min="7" max="7" width="20.140625" bestFit="1" customWidth="1"/>
    <col min="8" max="8" width="14.140625" bestFit="1" customWidth="1"/>
    <col min="9" max="9" width="13.140625" bestFit="1" customWidth="1"/>
    <col min="10" max="10" width="14.140625" bestFit="1" customWidth="1"/>
    <col min="11" max="11" width="11.42578125" bestFit="1" customWidth="1"/>
    <col min="12" max="12" width="14.140625" bestFit="1" customWidth="1"/>
  </cols>
  <sheetData>
    <row r="1" spans="1:12">
      <c r="A1" s="493" t="str">
        <f>+'Revenue Input'!A1</f>
        <v xml:space="preserve">E.L.K. Energy Inc., </v>
      </c>
      <c r="B1" s="493"/>
      <c r="C1" s="493"/>
      <c r="D1" s="493"/>
      <c r="E1" s="493"/>
      <c r="F1" s="493"/>
    </row>
    <row r="2" spans="1:12">
      <c r="A2" s="493" t="str">
        <f>+'Revenue Input'!A2</f>
        <v>ED-2003-0015 , EB-2011-099</v>
      </c>
      <c r="B2" s="493"/>
      <c r="C2" s="493"/>
      <c r="D2" s="493"/>
      <c r="E2" s="493"/>
      <c r="F2" s="493"/>
    </row>
    <row r="3" spans="1:12">
      <c r="A3" s="493">
        <f>+'Revenue Input'!A3</f>
        <v>0</v>
      </c>
      <c r="B3" s="493"/>
      <c r="C3" s="493"/>
      <c r="D3" s="493"/>
      <c r="E3" s="493"/>
      <c r="F3" s="493"/>
    </row>
    <row r="4" spans="1:12">
      <c r="A4" s="471"/>
      <c r="B4" s="471"/>
      <c r="C4" s="471"/>
      <c r="D4" s="471"/>
      <c r="E4" s="471"/>
      <c r="F4" s="471"/>
    </row>
    <row r="5" spans="1:12" ht="20.25">
      <c r="A5" s="512" t="s">
        <v>261</v>
      </c>
      <c r="B5" s="512"/>
      <c r="C5" s="512"/>
      <c r="D5" s="512"/>
      <c r="E5" s="512"/>
      <c r="F5" s="512"/>
    </row>
    <row r="6" spans="1:12">
      <c r="A6" s="556"/>
      <c r="B6" s="556"/>
      <c r="C6" s="556"/>
      <c r="D6" s="556"/>
      <c r="E6" s="556"/>
      <c r="F6" s="556"/>
    </row>
    <row r="7" spans="1:12" ht="38.25">
      <c r="A7" s="86" t="s">
        <v>0</v>
      </c>
      <c r="B7" s="91" t="s">
        <v>11</v>
      </c>
      <c r="C7" s="91" t="s">
        <v>12</v>
      </c>
      <c r="D7" s="91" t="s">
        <v>31</v>
      </c>
      <c r="E7" s="91" t="s">
        <v>29</v>
      </c>
      <c r="F7" s="86" t="s">
        <v>33</v>
      </c>
      <c r="G7" s="11"/>
      <c r="H7" s="11"/>
      <c r="I7" s="11"/>
      <c r="J7" s="11"/>
      <c r="K7" s="11"/>
      <c r="L7" s="11"/>
    </row>
    <row r="8" spans="1:12" ht="20.100000000000001" customHeight="1">
      <c r="A8" s="287" t="str">
        <f>'Rates By Rate Class'!A8</f>
        <v>Residential</v>
      </c>
      <c r="B8" s="106">
        <f>+'Distribution Rate Schedule'!C35*'Forecast Data For 2012'!C7*12</f>
        <v>1331511.8671571012</v>
      </c>
      <c r="C8" s="106">
        <f>+'Distribution Rate Schedule'!E35*'Forecast Data For 2012'!C8</f>
        <v>758237.56073858368</v>
      </c>
      <c r="D8" s="303"/>
      <c r="E8" s="106">
        <f>+B8+C8+D8</f>
        <v>2089749.4278956847</v>
      </c>
      <c r="F8" s="106">
        <f>+'Rates By Rate Class'!K8-'Rates By Rate Class'!H8-'Rates By Rate Class'!J8</f>
        <v>2085756.2673529475</v>
      </c>
      <c r="G8" s="12"/>
      <c r="H8" s="12"/>
      <c r="I8" s="13"/>
      <c r="J8" s="14"/>
      <c r="K8" s="14"/>
      <c r="L8" s="14"/>
    </row>
    <row r="9" spans="1:12" ht="20.100000000000001" customHeight="1">
      <c r="A9" s="287" t="str">
        <f>'Rates By Rate Class'!A9</f>
        <v>GS &lt; 50 kW</v>
      </c>
      <c r="B9" s="106">
        <f>+'Distribution Rate Schedule'!C36*'Forecast Data For 2012'!C9*12</f>
        <v>218023.47197754774</v>
      </c>
      <c r="C9" s="106">
        <f>+'Distribution Rate Schedule'!E36*'Forecast Data For 2012'!C10</f>
        <v>153196.31949706041</v>
      </c>
      <c r="D9" s="303"/>
      <c r="E9" s="106">
        <f t="shared" ref="E9:E16" si="0">+B9+C9+D9</f>
        <v>371219.79147460812</v>
      </c>
      <c r="F9" s="106">
        <f>+'Rates By Rate Class'!K9-'Rates By Rate Class'!H9-'Rates By Rate Class'!J9</f>
        <v>369563.53603960318</v>
      </c>
      <c r="G9" s="12"/>
      <c r="H9" s="12"/>
      <c r="I9" s="13"/>
      <c r="J9" s="14"/>
      <c r="K9" s="14"/>
      <c r="L9" s="14"/>
    </row>
    <row r="10" spans="1:12" ht="20.100000000000001" customHeight="1">
      <c r="A10" s="287" t="str">
        <f>'Rates By Rate Class'!A10</f>
        <v>GS &gt;50</v>
      </c>
      <c r="B10" s="106">
        <f>+'Distribution Rate Schedule'!C37*'Forecast Data For 2012'!C11*12</f>
        <v>198873.13694263209</v>
      </c>
      <c r="C10" s="106">
        <f>+'Distribution Rate Schedule'!D37*'Forecast Data For 2012'!C12</f>
        <v>321143.18275425956</v>
      </c>
      <c r="D10" s="303">
        <f>'Transformer Allowance'!C12</f>
        <v>-88617.524155018124</v>
      </c>
      <c r="E10" s="106">
        <f t="shared" si="0"/>
        <v>431398.79554187355</v>
      </c>
      <c r="F10" s="106">
        <f>+'Rates By Rate Class'!K10-'Rates By Rate Class'!H10-'Rates By Rate Class'!J10</f>
        <v>431397.7730513452</v>
      </c>
      <c r="G10" s="12"/>
      <c r="H10" s="12"/>
      <c r="I10" s="12"/>
      <c r="J10" s="14"/>
      <c r="K10" s="14"/>
      <c r="L10" s="14"/>
    </row>
    <row r="11" spans="1:12" ht="20.100000000000001" customHeight="1">
      <c r="A11" s="287" t="str">
        <f>'Rates By Rate Class'!A11</f>
        <v xml:space="preserve">   </v>
      </c>
      <c r="B11" s="106"/>
      <c r="C11" s="106"/>
      <c r="D11" s="303"/>
      <c r="E11" s="106"/>
      <c r="F11" s="106"/>
      <c r="G11" s="12"/>
      <c r="H11" s="12"/>
      <c r="I11" s="12"/>
      <c r="J11" s="14"/>
      <c r="K11" s="14"/>
      <c r="L11" s="14"/>
    </row>
    <row r="12" spans="1:12" ht="20.100000000000001" customHeight="1">
      <c r="A12" s="287" t="str">
        <f>'Rates By Rate Class'!A12</f>
        <v>Sentinel Lights</v>
      </c>
      <c r="B12" s="106">
        <f>+'Distribution Rate Schedule'!B39*'Forecast Data For 2012'!C17*12</f>
        <v>249.84960000000001</v>
      </c>
      <c r="C12" s="106">
        <f>+'Distribution Rate Schedule'!D39*'Forecast Data For 2012'!C18</f>
        <v>84.256886764444104</v>
      </c>
      <c r="D12" s="303"/>
      <c r="E12" s="106">
        <f t="shared" si="0"/>
        <v>334.10648676444413</v>
      </c>
      <c r="F12" s="106">
        <f>+'Rates By Rate Class'!K12-'Rates By Rate Class'!H12-'Rates By Rate Class'!J12</f>
        <v>334.10659666549964</v>
      </c>
      <c r="G12" s="12"/>
      <c r="H12" s="12"/>
      <c r="I12" s="13"/>
      <c r="J12" s="14"/>
      <c r="K12" s="14"/>
      <c r="L12" s="14"/>
    </row>
    <row r="13" spans="1:12" ht="20.100000000000001" customHeight="1">
      <c r="A13" s="287" t="str">
        <f>'Rates By Rate Class'!A13</f>
        <v>Street Lighting</v>
      </c>
      <c r="B13" s="106">
        <f>+'Distribution Rate Schedule'!B40*'Forecast Data For 2012'!C20*12</f>
        <v>37419.465114892024</v>
      </c>
      <c r="C13" s="106">
        <f>+'Distribution Rate Schedule'!D40*'Forecast Data For 2012'!C21</f>
        <v>65950.967178258768</v>
      </c>
      <c r="D13" s="303"/>
      <c r="E13" s="106">
        <f t="shared" si="0"/>
        <v>103370.43229315079</v>
      </c>
      <c r="F13" s="106">
        <f>+'Rates By Rate Class'!K13-'Rates By Rate Class'!H13-'Rates By Rate Class'!J13</f>
        <v>103368.65113685135</v>
      </c>
      <c r="G13" s="12"/>
      <c r="H13" s="12"/>
      <c r="I13" s="13"/>
      <c r="J13" s="14"/>
      <c r="K13" s="14"/>
      <c r="L13" s="14"/>
    </row>
    <row r="14" spans="1:12" ht="20.100000000000001" customHeight="1">
      <c r="A14" s="287" t="str">
        <f>'Rates By Rate Class'!A14</f>
        <v>USL</v>
      </c>
      <c r="B14" s="106">
        <f>+'Distribution Rate Schedule'!B41*'Forecast Data For 2012'!C23*12</f>
        <v>2335.9985343806225</v>
      </c>
      <c r="C14" s="106">
        <f>+'Distribution Rate Schedule'!E41*'Forecast Data For 2012'!C24</f>
        <v>359.08368958111043</v>
      </c>
      <c r="D14" s="303"/>
      <c r="E14" s="106">
        <f t="shared" si="0"/>
        <v>2695.0822239617328</v>
      </c>
      <c r="F14" s="106">
        <f>+'Rates By Rate Class'!K14-'Rates By Rate Class'!H14-'Rates By Rate Class'!J14</f>
        <v>2688.4696037598292</v>
      </c>
      <c r="G14" s="12"/>
      <c r="H14" s="12"/>
      <c r="I14" s="13"/>
      <c r="J14" s="14"/>
      <c r="K14" s="14"/>
      <c r="L14" s="14"/>
    </row>
    <row r="15" spans="1:12" ht="20.100000000000001" customHeight="1">
      <c r="A15" s="287" t="str">
        <f>'Rates By Rate Class'!A15</f>
        <v xml:space="preserve">   </v>
      </c>
      <c r="B15" s="106"/>
      <c r="C15" s="106"/>
      <c r="D15" s="303"/>
      <c r="E15" s="106"/>
      <c r="F15" s="106"/>
      <c r="G15" s="12"/>
      <c r="H15" s="12"/>
      <c r="I15" s="13"/>
      <c r="J15" s="14"/>
      <c r="K15" s="14"/>
      <c r="L15" s="14"/>
    </row>
    <row r="16" spans="1:12" ht="20.100000000000001" customHeight="1">
      <c r="A16" s="287" t="str">
        <f>'Rates By Rate Class'!A16</f>
        <v xml:space="preserve">Hydro One </v>
      </c>
      <c r="B16" s="407">
        <f>'Distribution Rate Schedule'!C43*'Forecast Data For 2012'!C27*12</f>
        <v>84157.92</v>
      </c>
      <c r="C16" s="106">
        <f>'Forecast Data For 2012'!C28*'Rates By Rate Class'!E16</f>
        <v>25046.680037671878</v>
      </c>
      <c r="D16" s="418"/>
      <c r="E16" s="106">
        <f t="shared" si="0"/>
        <v>109204.60003767187</v>
      </c>
      <c r="F16" s="106">
        <f>+'Rates By Rate Class'!K16-'Rates By Rate Class'!H16-'Rates By Rate Class'!J16</f>
        <v>109204.36353266142</v>
      </c>
      <c r="G16" s="12"/>
      <c r="H16" s="12"/>
      <c r="I16" s="13"/>
      <c r="J16" s="14"/>
      <c r="K16" s="14"/>
      <c r="L16" s="14"/>
    </row>
    <row r="17" spans="1:12" ht="31.5" customHeight="1" thickBot="1">
      <c r="A17" s="57" t="s">
        <v>32</v>
      </c>
      <c r="B17" s="249">
        <f>SUM(B8:B16)</f>
        <v>1872571.7093265536</v>
      </c>
      <c r="C17" s="249">
        <f>SUM(C8:C16)</f>
        <v>1324018.0507821799</v>
      </c>
      <c r="D17" s="304">
        <f>SUM(D8:D16)</f>
        <v>-88617.524155018124</v>
      </c>
      <c r="E17" s="249">
        <f>SUM(E8:E16)</f>
        <v>3107972.2359537152</v>
      </c>
      <c r="F17" s="249">
        <f>SUM(F8:F16)</f>
        <v>3102313.1673138342</v>
      </c>
      <c r="G17" s="15"/>
      <c r="H17" s="15"/>
      <c r="I17" s="15"/>
      <c r="J17" s="15"/>
      <c r="K17" s="15"/>
      <c r="L17" s="15"/>
    </row>
    <row r="18" spans="1:12" ht="13.5" thickTop="1">
      <c r="F18" s="9"/>
      <c r="G18" s="16"/>
      <c r="H18" s="16"/>
      <c r="I18" s="16"/>
      <c r="J18" s="16"/>
      <c r="K18" s="16"/>
      <c r="L18" s="16"/>
    </row>
    <row r="19" spans="1:12">
      <c r="E19" s="557" t="s">
        <v>167</v>
      </c>
      <c r="F19" s="557"/>
      <c r="G19" s="8"/>
    </row>
    <row r="20" spans="1:12">
      <c r="E20" s="246"/>
      <c r="F20" s="247"/>
    </row>
    <row r="21" spans="1:12" ht="13.5" thickBot="1">
      <c r="E21" s="248">
        <f>+F17-E17</f>
        <v>-5659.0686398809776</v>
      </c>
      <c r="F21" s="247"/>
    </row>
    <row r="24" spans="1:12">
      <c r="E24" s="9"/>
    </row>
  </sheetData>
  <mergeCells count="7">
    <mergeCell ref="A6:F6"/>
    <mergeCell ref="E19:F19"/>
    <mergeCell ref="A5:F5"/>
    <mergeCell ref="A1:F1"/>
    <mergeCell ref="A2:F2"/>
    <mergeCell ref="A3:F3"/>
    <mergeCell ref="A4:F4"/>
  </mergeCells>
  <phoneticPr fontId="0" type="noConversion"/>
  <pageMargins left="0.74803149606299213" right="0.74803149606299213" top="0.98425196850393704" bottom="0.98425196850393704" header="0.51181102362204722" footer="0.51181102362204722"/>
  <pageSetup orientation="landscape" horizontalDpi="355" verticalDpi="355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8">
    <pageSetUpPr fitToPage="1"/>
  </sheetPr>
  <dimension ref="A1:L34"/>
  <sheetViews>
    <sheetView view="pageBreakPreview" zoomScale="60" zoomScaleNormal="100" workbookViewId="0">
      <selection activeCell="I30" sqref="I30"/>
    </sheetView>
  </sheetViews>
  <sheetFormatPr defaultRowHeight="12.75"/>
  <cols>
    <col min="1" max="1" width="41.85546875" bestFit="1" customWidth="1"/>
    <col min="2" max="2" width="17.28515625" bestFit="1" customWidth="1"/>
    <col min="3" max="4" width="12.7109375" customWidth="1"/>
    <col min="5" max="5" width="13.140625" customWidth="1"/>
    <col min="6" max="6" width="12.28515625" customWidth="1"/>
    <col min="7" max="8" width="14.5703125" bestFit="1" customWidth="1"/>
    <col min="9" max="9" width="16.5703125" bestFit="1" customWidth="1"/>
    <col min="10" max="12" width="10.140625" bestFit="1" customWidth="1"/>
  </cols>
  <sheetData>
    <row r="1" spans="1:12">
      <c r="A1" s="493" t="str">
        <f>+'Revenue Input'!A1</f>
        <v xml:space="preserve">E.L.K. Energy Inc., </v>
      </c>
      <c r="B1" s="493"/>
      <c r="C1" s="493"/>
      <c r="D1" s="493"/>
      <c r="E1" s="493"/>
      <c r="F1" s="493"/>
      <c r="G1" s="493"/>
      <c r="H1" s="493"/>
      <c r="I1" s="493"/>
    </row>
    <row r="2" spans="1:12">
      <c r="A2" s="493" t="str">
        <f>+'Revenue Input'!A2</f>
        <v>ED-2003-0015 , EB-2011-099</v>
      </c>
      <c r="B2" s="493"/>
      <c r="C2" s="493"/>
      <c r="D2" s="493"/>
      <c r="E2" s="493"/>
      <c r="F2" s="493"/>
      <c r="G2" s="493"/>
      <c r="H2" s="493"/>
      <c r="I2" s="493"/>
    </row>
    <row r="3" spans="1:12">
      <c r="A3" s="493">
        <f>+'Revenue Input'!A3</f>
        <v>0</v>
      </c>
      <c r="B3" s="493"/>
      <c r="C3" s="493"/>
      <c r="D3" s="493"/>
      <c r="E3" s="493"/>
      <c r="F3" s="493"/>
      <c r="G3" s="493"/>
      <c r="H3" s="493"/>
      <c r="I3" s="493"/>
    </row>
    <row r="4" spans="1:12" ht="7.5" customHeight="1">
      <c r="A4" s="471"/>
      <c r="B4" s="471"/>
      <c r="C4" s="471"/>
      <c r="D4" s="471"/>
      <c r="E4" s="471"/>
      <c r="F4" s="471"/>
      <c r="G4" s="471"/>
      <c r="H4" s="471"/>
      <c r="I4" s="471"/>
    </row>
    <row r="5" spans="1:12" ht="15.75">
      <c r="A5" s="495" t="s">
        <v>262</v>
      </c>
      <c r="B5" s="495"/>
      <c r="C5" s="495"/>
      <c r="D5" s="495"/>
      <c r="E5" s="495"/>
      <c r="F5" s="495"/>
      <c r="G5" s="495"/>
      <c r="H5" s="495"/>
      <c r="I5" s="495"/>
    </row>
    <row r="6" spans="1:12" ht="8.25" customHeight="1">
      <c r="A6" s="495"/>
      <c r="B6" s="495"/>
      <c r="C6" s="495"/>
      <c r="D6" s="495"/>
      <c r="E6" s="495"/>
      <c r="F6" s="495"/>
      <c r="G6" s="495"/>
      <c r="H6" s="495"/>
      <c r="I6" s="495"/>
    </row>
    <row r="7" spans="1:12" ht="38.25">
      <c r="A7" s="86" t="s">
        <v>0</v>
      </c>
      <c r="B7" s="91" t="s">
        <v>7</v>
      </c>
      <c r="C7" s="91" t="s">
        <v>8</v>
      </c>
      <c r="D7" s="91" t="s">
        <v>9</v>
      </c>
      <c r="E7" s="91" t="s">
        <v>10</v>
      </c>
      <c r="F7" s="91" t="s">
        <v>27</v>
      </c>
      <c r="G7" s="91" t="s">
        <v>11</v>
      </c>
      <c r="H7" s="91" t="s">
        <v>12</v>
      </c>
      <c r="I7" s="91" t="s">
        <v>128</v>
      </c>
    </row>
    <row r="8" spans="1:12" ht="20.100000000000001" customHeight="1">
      <c r="A8" s="288" t="str">
        <f>'Dist. Rev. Reconciliation'!A8</f>
        <v>Residential</v>
      </c>
      <c r="B8" s="250">
        <f>+'Forecast Data For 2012'!$C$8</f>
        <v>95979438.068175137</v>
      </c>
      <c r="C8" s="250"/>
      <c r="D8" s="250"/>
      <c r="E8" s="250">
        <f>+'Forecast Data For 2012'!$C$7*12</f>
        <v>120281.1081442729</v>
      </c>
      <c r="F8" s="250"/>
      <c r="G8" s="291">
        <f>+E8*'2011 Existing Rates'!$C$8</f>
        <v>1338728.7336457574</v>
      </c>
      <c r="H8" s="291">
        <f>+B8*'2011 Existing Rates'!$E$8</f>
        <v>758237.56073858368</v>
      </c>
      <c r="I8" s="291">
        <f>+G8+H8</f>
        <v>2096966.2943843412</v>
      </c>
      <c r="K8" s="315"/>
      <c r="L8" s="315"/>
    </row>
    <row r="9" spans="1:12" ht="20.100000000000001" customHeight="1">
      <c r="A9" s="288" t="str">
        <f>'Dist. Rev. Reconciliation'!A9</f>
        <v>GS &lt; 50 kW</v>
      </c>
      <c r="B9" s="250">
        <f>+'Forecast Data For 2012'!$C$10</f>
        <v>32594961.595119234</v>
      </c>
      <c r="C9" s="250"/>
      <c r="D9" s="250"/>
      <c r="E9" s="250">
        <f>+'Forecast Data For 2012'!$C$9*12</f>
        <v>14573.761495825383</v>
      </c>
      <c r="F9" s="250"/>
      <c r="G9" s="291">
        <f>+E9*'2011 Existing Rates'!$C$9</f>
        <v>161185.80214382874</v>
      </c>
      <c r="H9" s="291">
        <f>+B9*'2011 Existing Rates'!$E$9</f>
        <v>55411.434711702692</v>
      </c>
      <c r="I9" s="291">
        <f t="shared" ref="I9:I16" si="0">+G9+H9</f>
        <v>216597.23685553143</v>
      </c>
      <c r="K9" s="315"/>
      <c r="L9" s="315"/>
    </row>
    <row r="10" spans="1:12" ht="20.100000000000001" customHeight="1">
      <c r="A10" s="288" t="str">
        <f>'Dist. Rev. Reconciliation'!A10</f>
        <v>GS &gt;50</v>
      </c>
      <c r="B10" s="250">
        <f>+'Forecast Data For 2012'!$C$13</f>
        <v>66668106.413480408</v>
      </c>
      <c r="C10" s="250">
        <f>+'Forecast Data For 2012'!$C$12</f>
        <v>214066.91291445112</v>
      </c>
      <c r="D10" s="250">
        <f>'Transformer Allowance'!B12</f>
        <v>147695.87359169687</v>
      </c>
      <c r="E10" s="250">
        <f>+'Forecast Data For 2012'!$C$11*12</f>
        <v>1121.5493849685997</v>
      </c>
      <c r="F10" s="250"/>
      <c r="G10" s="291">
        <f>+E10*'2012 Test Yr On Existing Rates'!F22</f>
        <v>494971.38573742844</v>
      </c>
      <c r="H10" s="291">
        <f>+C10*'2012 Test Yr On Existing Rates'!G22</f>
        <v>451374.81957822823</v>
      </c>
      <c r="I10" s="291">
        <f t="shared" si="0"/>
        <v>946346.20531565673</v>
      </c>
      <c r="K10" s="315"/>
      <c r="L10" s="315"/>
    </row>
    <row r="11" spans="1:12" ht="20.100000000000001" customHeight="1">
      <c r="A11" s="288" t="str">
        <f>'Dist. Rev. Reconciliation'!A11</f>
        <v xml:space="preserve">   </v>
      </c>
      <c r="B11" s="250">
        <f>'Forecast Data For 2012'!C16</f>
        <v>0</v>
      </c>
      <c r="C11" s="250">
        <f>+'Forecast Data For 2012'!$C$15</f>
        <v>0</v>
      </c>
      <c r="D11" s="250">
        <f>'Transformer Allowance'!B13</f>
        <v>0</v>
      </c>
      <c r="E11" s="250">
        <f>+'Forecast Data For 2012'!$C$14*12</f>
        <v>0</v>
      </c>
      <c r="F11" s="250"/>
      <c r="G11" s="291">
        <f>+E11*'2011 Existing Rates'!$C$11</f>
        <v>0</v>
      </c>
      <c r="H11" s="291">
        <f>+C11*'2011 Existing Rates'!$D$11</f>
        <v>0</v>
      </c>
      <c r="I11" s="291">
        <f t="shared" si="0"/>
        <v>0</v>
      </c>
      <c r="K11" s="315"/>
      <c r="L11" s="315"/>
    </row>
    <row r="12" spans="1:12" ht="20.100000000000001" customHeight="1">
      <c r="A12" s="288" t="str">
        <f>'Dist. Rev. Reconciliation'!A12</f>
        <v>Sentinel Lights</v>
      </c>
      <c r="B12" s="250">
        <f>+'Forecast Data For 2012'!$C$19</f>
        <v>5564.2966477781893</v>
      </c>
      <c r="C12" s="250">
        <f>+'Forecast Data For 2012'!$C$18</f>
        <v>15.091686685374189</v>
      </c>
      <c r="D12" s="250"/>
      <c r="E12" s="250"/>
      <c r="F12" s="250">
        <f>+'Forecast Data For 2012'!$C$17*12</f>
        <v>84</v>
      </c>
      <c r="G12" s="291">
        <f>+F12*'2011 Existing Rates'!$B$12</f>
        <v>33.6</v>
      </c>
      <c r="H12" s="291">
        <f>+C12*'2011 Existing Rates'!$D$12</f>
        <v>11.330838363378941</v>
      </c>
      <c r="I12" s="291">
        <f t="shared" si="0"/>
        <v>44.930838363378939</v>
      </c>
      <c r="K12" s="315"/>
      <c r="L12" s="315"/>
    </row>
    <row r="13" spans="1:12" ht="20.100000000000001" customHeight="1">
      <c r="A13" s="288" t="str">
        <f>'Dist. Rev. Reconciliation'!A13</f>
        <v>Street Lighting</v>
      </c>
      <c r="B13" s="250">
        <f>+'Forecast Data For 2012'!$C$22</f>
        <v>2225083.8466967554</v>
      </c>
      <c r="C13" s="250">
        <f>+'Forecast Data For 2012'!$C$21</f>
        <v>6082.8591488972397</v>
      </c>
      <c r="D13" s="250"/>
      <c r="E13" s="250"/>
      <c r="F13" s="250">
        <f>+'Forecast Data For 2012'!$C$20*12</f>
        <v>33614.323674894018</v>
      </c>
      <c r="G13" s="291">
        <f>+F13*'2011 Existing Rates'!$B$13</f>
        <v>336.14323674894018</v>
      </c>
      <c r="H13" s="291">
        <f>+C13*'2011 Existing Rates'!$D$13</f>
        <v>592.47048110259118</v>
      </c>
      <c r="I13" s="291">
        <f t="shared" si="0"/>
        <v>928.61371785153142</v>
      </c>
      <c r="K13" s="315"/>
      <c r="L13" s="315"/>
    </row>
    <row r="14" spans="1:12" ht="20.100000000000001" customHeight="1">
      <c r="A14" s="288" t="str">
        <f>'Dist. Rev. Reconciliation'!A14</f>
        <v>USL</v>
      </c>
      <c r="B14" s="250">
        <f>+'Forecast Data For 2012'!$C$24</f>
        <v>188991.4155690055</v>
      </c>
      <c r="C14" s="250"/>
      <c r="D14" s="250"/>
      <c r="E14" s="250"/>
      <c r="F14" s="250">
        <f>+'Forecast Data For 2012'!$C$23*12</f>
        <v>384.34303532151273</v>
      </c>
      <c r="G14" s="291">
        <f>+F14*'2011 Existing Rates'!$C$14</f>
        <v>2129.2604156811803</v>
      </c>
      <c r="H14" s="291">
        <f>+B14*'2011 Existing Rates'!$E$14</f>
        <v>321.28540646730931</v>
      </c>
      <c r="I14" s="291">
        <f t="shared" si="0"/>
        <v>2450.5458221484896</v>
      </c>
      <c r="K14" s="315"/>
      <c r="L14" s="315"/>
    </row>
    <row r="15" spans="1:12" ht="20.100000000000001" customHeight="1">
      <c r="A15" s="288" t="str">
        <f>'Dist. Rev. Reconciliation'!A15</f>
        <v xml:space="preserve">   </v>
      </c>
      <c r="B15" s="250"/>
      <c r="C15" s="250">
        <f>'Forecast Data For 2012'!C26</f>
        <v>0</v>
      </c>
      <c r="D15" s="250"/>
      <c r="E15" s="250"/>
      <c r="F15" s="250"/>
      <c r="G15" s="291">
        <f>+F15*'2011 Existing Rates'!$B$14</f>
        <v>0</v>
      </c>
      <c r="H15" s="291">
        <f>C15*'2011 Existing Rates'!D15</f>
        <v>0</v>
      </c>
      <c r="I15" s="291">
        <f t="shared" si="0"/>
        <v>0</v>
      </c>
      <c r="J15" s="25"/>
      <c r="K15" s="315"/>
      <c r="L15" s="315"/>
    </row>
    <row r="16" spans="1:12" ht="20.100000000000001" customHeight="1">
      <c r="A16" s="288" t="str">
        <f>'Dist. Rev. Reconciliation'!A16</f>
        <v xml:space="preserve">Hydro One </v>
      </c>
      <c r="B16" s="250">
        <f>'Forecast Data For 2012'!C29</f>
        <v>42996782.152953438</v>
      </c>
      <c r="C16" s="250">
        <f>'Forecast Data For 2012'!C28</f>
        <v>96048.524183723959</v>
      </c>
      <c r="D16" s="250"/>
      <c r="E16" s="250">
        <f>'Forecast Data For 2012'!C27*12</f>
        <v>48</v>
      </c>
      <c r="F16" s="250"/>
      <c r="G16" s="291">
        <f>E16*'2011 Existing Rates'!C16</f>
        <v>40437.600000000006</v>
      </c>
      <c r="H16" s="291">
        <f>C16*'2011 Existing Rates'!D68</f>
        <v>12034.880080220611</v>
      </c>
      <c r="I16" s="291">
        <f t="shared" si="0"/>
        <v>52472.480080220615</v>
      </c>
      <c r="J16" s="25"/>
      <c r="K16" s="315"/>
      <c r="L16" s="315"/>
    </row>
    <row r="17" spans="1:11" ht="24.75" customHeight="1" thickBot="1">
      <c r="A17" s="57" t="s">
        <v>41</v>
      </c>
      <c r="B17" s="251">
        <f t="shared" ref="B17:I17" si="1">SUM(B8:B16)</f>
        <v>240658927.78864178</v>
      </c>
      <c r="C17" s="251">
        <f t="shared" si="1"/>
        <v>316213.38793375768</v>
      </c>
      <c r="D17" s="251">
        <f t="shared" si="1"/>
        <v>147695.87359169687</v>
      </c>
      <c r="E17" s="251">
        <f t="shared" si="1"/>
        <v>136024.41902506689</v>
      </c>
      <c r="F17" s="251">
        <f t="shared" si="1"/>
        <v>34082.666710215533</v>
      </c>
      <c r="G17" s="251">
        <f t="shared" si="1"/>
        <v>2037822.5251794448</v>
      </c>
      <c r="H17" s="251">
        <f t="shared" si="1"/>
        <v>1277983.7818346685</v>
      </c>
      <c r="I17" s="251">
        <f t="shared" si="1"/>
        <v>3315806.3070141142</v>
      </c>
      <c r="J17" s="398"/>
    </row>
    <row r="18" spans="1:11" ht="9.75" customHeight="1" thickTop="1">
      <c r="A18" s="471"/>
      <c r="B18" s="471"/>
      <c r="C18" s="471"/>
      <c r="D18" s="471"/>
      <c r="E18" s="471"/>
      <c r="F18" s="471"/>
      <c r="G18" s="471"/>
      <c r="H18" s="471"/>
      <c r="I18" s="471"/>
    </row>
    <row r="19" spans="1:11" ht="18" customHeight="1">
      <c r="A19" s="558" t="s">
        <v>143</v>
      </c>
      <c r="B19" s="471"/>
      <c r="C19" s="471"/>
      <c r="D19" s="471"/>
      <c r="E19" s="471"/>
      <c r="F19" s="471"/>
      <c r="G19" s="471"/>
      <c r="H19" s="471"/>
      <c r="I19" s="8"/>
    </row>
    <row r="20" spans="1:11" ht="18" customHeight="1">
      <c r="A20" s="559" t="str">
        <f>A10</f>
        <v>GS &gt;50</v>
      </c>
      <c r="B20" s="471"/>
      <c r="C20" s="471"/>
      <c r="D20" s="471"/>
      <c r="E20" s="471"/>
      <c r="F20" s="471"/>
      <c r="G20" s="471"/>
      <c r="H20" s="471"/>
      <c r="I20" s="295">
        <f>'Transformer Allowance'!C12</f>
        <v>-88617.524155018124</v>
      </c>
    </row>
    <row r="21" spans="1:11" ht="18" customHeight="1">
      <c r="A21" s="559" t="str">
        <f>A11</f>
        <v xml:space="preserve">   </v>
      </c>
      <c r="B21" s="471"/>
      <c r="C21" s="471"/>
      <c r="D21" s="471"/>
      <c r="E21" s="471"/>
      <c r="F21" s="471"/>
      <c r="G21" s="471"/>
      <c r="H21" s="471"/>
      <c r="I21" s="295">
        <f>'Transformer Allowance'!C13</f>
        <v>0</v>
      </c>
    </row>
    <row r="22" spans="1:11" ht="8.1" customHeight="1">
      <c r="A22" s="471"/>
      <c r="B22" s="471"/>
      <c r="C22" s="471"/>
      <c r="D22" s="471"/>
      <c r="E22" s="471"/>
      <c r="F22" s="471"/>
      <c r="G22" s="471"/>
      <c r="H22" s="471"/>
      <c r="I22" s="295"/>
    </row>
    <row r="23" spans="1:11" ht="18" customHeight="1" thickBot="1">
      <c r="A23" s="479" t="s">
        <v>144</v>
      </c>
      <c r="B23" s="479"/>
      <c r="C23" s="479"/>
      <c r="D23" s="479"/>
      <c r="E23" s="479"/>
      <c r="F23" s="479"/>
      <c r="G23" s="479"/>
      <c r="H23" s="479"/>
      <c r="I23" s="296">
        <f>+I17+I20+I21</f>
        <v>3227188.7828590963</v>
      </c>
    </row>
    <row r="24" spans="1:11" ht="8.1" customHeight="1" thickTop="1">
      <c r="A24" s="471"/>
      <c r="B24" s="471"/>
      <c r="C24" s="471"/>
      <c r="D24" s="471"/>
      <c r="E24" s="471"/>
      <c r="F24" s="471"/>
      <c r="G24" s="471"/>
      <c r="H24" s="471"/>
      <c r="I24" s="297"/>
    </row>
    <row r="25" spans="1:11" ht="18" customHeight="1">
      <c r="A25" s="556" t="s">
        <v>141</v>
      </c>
      <c r="B25" s="556"/>
      <c r="C25" s="556"/>
      <c r="D25" s="556"/>
      <c r="E25" s="556"/>
      <c r="F25" s="556"/>
      <c r="G25" s="556"/>
      <c r="H25" s="556"/>
      <c r="I25" s="298">
        <f>+'Revenue Input'!B9</f>
        <v>627805.125</v>
      </c>
    </row>
    <row r="26" spans="1:11" ht="18" customHeight="1" thickBot="1">
      <c r="A26" s="479" t="s">
        <v>142</v>
      </c>
      <c r="B26" s="479"/>
      <c r="C26" s="479"/>
      <c r="D26" s="479"/>
      <c r="E26" s="479"/>
      <c r="F26" s="479"/>
      <c r="G26" s="479"/>
      <c r="H26" s="479"/>
      <c r="I26" s="299">
        <f>+I23+I25</f>
        <v>3854993.9078590963</v>
      </c>
    </row>
    <row r="27" spans="1:11" ht="8.1" customHeight="1">
      <c r="A27" s="471"/>
      <c r="B27" s="471"/>
      <c r="C27" s="471"/>
      <c r="D27" s="471"/>
      <c r="E27" s="471"/>
      <c r="F27" s="471"/>
      <c r="G27" s="471"/>
      <c r="H27" s="471"/>
      <c r="I27" s="297"/>
    </row>
    <row r="28" spans="1:11" ht="18" customHeight="1" thickBot="1">
      <c r="A28" s="479" t="s">
        <v>139</v>
      </c>
      <c r="B28" s="479"/>
      <c r="C28" s="479"/>
      <c r="D28" s="479"/>
      <c r="E28" s="479"/>
      <c r="F28" s="479"/>
      <c r="G28" s="479"/>
      <c r="H28" s="479"/>
      <c r="I28" s="299">
        <f>+'Revenue Input'!B8</f>
        <v>3725085.0806821873</v>
      </c>
    </row>
    <row r="29" spans="1:11" ht="8.1" customHeight="1">
      <c r="A29" s="471"/>
      <c r="B29" s="471"/>
      <c r="C29" s="471"/>
      <c r="D29" s="471"/>
      <c r="E29" s="471"/>
      <c r="F29" s="471"/>
      <c r="G29" s="471"/>
      <c r="H29" s="471"/>
      <c r="I29" s="300"/>
    </row>
    <row r="30" spans="1:11" ht="18" customHeight="1" thickBot="1">
      <c r="A30" s="479" t="s">
        <v>140</v>
      </c>
      <c r="B30" s="479"/>
      <c r="C30" s="479"/>
      <c r="D30" s="479"/>
      <c r="E30" s="479"/>
      <c r="F30" s="479"/>
      <c r="G30" s="479"/>
      <c r="H30" s="479"/>
      <c r="I30" s="301">
        <f>+I28-I26</f>
        <v>-129908.82717690896</v>
      </c>
    </row>
    <row r="31" spans="1:11" ht="13.5" thickTop="1"/>
    <row r="32" spans="1:11">
      <c r="G32" s="16"/>
      <c r="H32" s="16"/>
      <c r="I32" s="16"/>
      <c r="J32" s="16"/>
      <c r="K32" s="16"/>
    </row>
    <row r="33" spans="7:11">
      <c r="G33" s="16"/>
      <c r="H33" s="16"/>
      <c r="I33" s="16"/>
      <c r="J33" s="16"/>
      <c r="K33" s="16"/>
    </row>
    <row r="34" spans="7:11">
      <c r="I34" s="9"/>
    </row>
  </sheetData>
  <mergeCells count="19">
    <mergeCell ref="A5:I5"/>
    <mergeCell ref="A6:I6"/>
    <mergeCell ref="A1:I1"/>
    <mergeCell ref="A2:I2"/>
    <mergeCell ref="A3:I3"/>
    <mergeCell ref="A4:I4"/>
    <mergeCell ref="A18:I18"/>
    <mergeCell ref="A19:H19"/>
    <mergeCell ref="A20:H20"/>
    <mergeCell ref="A21:H21"/>
    <mergeCell ref="A22:H22"/>
    <mergeCell ref="A23:H23"/>
    <mergeCell ref="A24:H24"/>
    <mergeCell ref="A25:H25"/>
    <mergeCell ref="A30:H30"/>
    <mergeCell ref="A26:H26"/>
    <mergeCell ref="A27:H27"/>
    <mergeCell ref="A28:H28"/>
    <mergeCell ref="A29:H29"/>
  </mergeCells>
  <phoneticPr fontId="0" type="noConversion"/>
  <pageMargins left="0.75" right="0.75" top="1" bottom="1" header="0.5" footer="0.5"/>
  <pageSetup scale="79" orientation="landscape" horizontalDpi="355" verticalDpi="355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I36"/>
  <sheetViews>
    <sheetView view="pageBreakPreview" zoomScale="60" zoomScaleNormal="100" workbookViewId="0">
      <selection activeCell="B12" sqref="B12"/>
    </sheetView>
  </sheetViews>
  <sheetFormatPr defaultRowHeight="12.75"/>
  <cols>
    <col min="1" max="1" width="40.85546875" customWidth="1"/>
    <col min="2" max="2" width="15.7109375" customWidth="1"/>
    <col min="3" max="3" width="17.5703125" bestFit="1" customWidth="1"/>
    <col min="4" max="4" width="15.7109375" customWidth="1"/>
    <col min="5" max="5" width="17.5703125" bestFit="1" customWidth="1"/>
    <col min="6" max="6" width="15.7109375" customWidth="1"/>
    <col min="7" max="7" width="17.5703125" bestFit="1" customWidth="1"/>
    <col min="8" max="8" width="15.7109375" customWidth="1"/>
    <col min="9" max="9" width="17.5703125" bestFit="1" customWidth="1"/>
  </cols>
  <sheetData>
    <row r="1" spans="1:9">
      <c r="A1" s="470" t="str">
        <f>+'Revenue Input'!A1</f>
        <v xml:space="preserve">E.L.K. Energy Inc., </v>
      </c>
      <c r="B1" s="470"/>
      <c r="C1" s="470"/>
      <c r="D1" s="470"/>
      <c r="E1" s="470"/>
      <c r="F1" s="470"/>
      <c r="G1" s="470"/>
      <c r="H1" s="470"/>
      <c r="I1" s="470"/>
    </row>
    <row r="2" spans="1:9">
      <c r="A2" s="470" t="str">
        <f>+'Revenue Input'!A2</f>
        <v>ED-2003-0015 , EB-2011-099</v>
      </c>
      <c r="B2" s="470"/>
      <c r="C2" s="470"/>
      <c r="D2" s="470"/>
      <c r="E2" s="470"/>
      <c r="F2" s="470"/>
      <c r="G2" s="470"/>
      <c r="H2" s="470"/>
      <c r="I2" s="470"/>
    </row>
    <row r="3" spans="1:9">
      <c r="A3" s="470">
        <f>+'Revenue Input'!A3</f>
        <v>0</v>
      </c>
      <c r="B3" s="470"/>
      <c r="C3" s="470"/>
      <c r="D3" s="470"/>
      <c r="E3" s="470"/>
      <c r="F3" s="470"/>
      <c r="G3" s="470"/>
      <c r="H3" s="470"/>
      <c r="I3" s="470"/>
    </row>
    <row r="4" spans="1:9" ht="8.25" customHeight="1">
      <c r="A4" s="471"/>
      <c r="B4" s="471"/>
      <c r="C4" s="471"/>
      <c r="D4" s="471"/>
      <c r="E4" s="471"/>
      <c r="F4" s="471"/>
      <c r="G4" s="471"/>
      <c r="H4" s="471"/>
      <c r="I4" s="471"/>
    </row>
    <row r="5" spans="1:9" ht="17.25" customHeight="1">
      <c r="A5" s="8"/>
      <c r="B5" s="8"/>
      <c r="C5" s="8"/>
      <c r="D5" s="8"/>
      <c r="E5" s="8"/>
      <c r="F5" s="8"/>
      <c r="G5" s="8"/>
      <c r="H5" s="8"/>
      <c r="I5" s="8"/>
    </row>
    <row r="6" spans="1:9" ht="15" customHeight="1">
      <c r="A6" s="475" t="s">
        <v>38</v>
      </c>
      <c r="B6" s="475"/>
      <c r="C6" s="475"/>
    </row>
    <row r="7" spans="1:9" ht="15" customHeight="1"/>
    <row r="8" spans="1:9" ht="15" customHeight="1">
      <c r="A8" s="476"/>
      <c r="B8" s="476"/>
      <c r="C8" s="476"/>
    </row>
    <row r="9" spans="1:9" ht="15.75">
      <c r="A9" s="473" t="s">
        <v>175</v>
      </c>
      <c r="B9" s="472" t="s">
        <v>238</v>
      </c>
      <c r="C9" s="472"/>
    </row>
    <row r="10" spans="1:9" ht="15.75">
      <c r="A10" s="474"/>
      <c r="B10" s="78" t="s">
        <v>34</v>
      </c>
      <c r="C10" s="79" t="s">
        <v>37</v>
      </c>
    </row>
    <row r="11" spans="1:9" ht="15.75">
      <c r="A11" s="80" t="s">
        <v>35</v>
      </c>
      <c r="B11" s="81"/>
      <c r="C11" s="82"/>
    </row>
    <row r="12" spans="1:9" ht="15.75">
      <c r="A12" s="83" t="str">
        <f>'Forecast Data For 2012'!A11</f>
        <v>GS &gt;50</v>
      </c>
      <c r="B12" s="425">
        <f>36722/53224*'Forecast Data For 2012'!C12</f>
        <v>147695.87359169687</v>
      </c>
      <c r="C12" s="292">
        <f>+B12*$B$17</f>
        <v>-88617.524155018124</v>
      </c>
      <c r="E12" s="56"/>
      <c r="F12" s="56"/>
      <c r="G12" s="56"/>
      <c r="H12" s="8"/>
      <c r="I12" s="8"/>
    </row>
    <row r="13" spans="1:9" ht="15.75">
      <c r="A13" s="83" t="str">
        <f>'Forecast Data For 2012'!A14</f>
        <v xml:space="preserve">   </v>
      </c>
      <c r="B13" s="285"/>
      <c r="C13" s="292">
        <f>+B13*$B$17</f>
        <v>0</v>
      </c>
      <c r="E13" s="56"/>
      <c r="F13" s="56"/>
      <c r="G13" s="56"/>
      <c r="H13" s="8"/>
      <c r="I13" s="8"/>
    </row>
    <row r="14" spans="1:9" ht="15.75">
      <c r="A14" s="83"/>
      <c r="B14" s="285">
        <v>0</v>
      </c>
      <c r="C14" s="292">
        <f>+B14*$B$17</f>
        <v>0</v>
      </c>
      <c r="E14" s="56"/>
      <c r="F14" s="56"/>
      <c r="G14" s="56"/>
      <c r="H14" s="8"/>
      <c r="I14" s="8"/>
    </row>
    <row r="15" spans="1:9" ht="15.75">
      <c r="A15" s="84" t="s">
        <v>36</v>
      </c>
      <c r="B15" s="286">
        <f>SUM(B12:B14)</f>
        <v>147695.87359169687</v>
      </c>
      <c r="C15" s="292">
        <f>SUM(C12:C14)</f>
        <v>-88617.524155018124</v>
      </c>
    </row>
    <row r="16" spans="1:9" ht="13.5" thickBot="1"/>
    <row r="17" spans="1:2" ht="16.5" thickBot="1">
      <c r="A17" s="5" t="s">
        <v>176</v>
      </c>
      <c r="B17" s="293">
        <v>-0.6</v>
      </c>
    </row>
    <row r="18" spans="1:2" ht="15">
      <c r="A18" s="4"/>
    </row>
    <row r="19" spans="1:2" ht="15.75">
      <c r="A19" s="5"/>
    </row>
    <row r="20" spans="1:2" ht="15">
      <c r="A20" s="4"/>
    </row>
    <row r="21" spans="1:2" ht="15">
      <c r="A21" s="4"/>
    </row>
    <row r="22" spans="1:2" ht="15">
      <c r="A22" s="4"/>
    </row>
    <row r="24" spans="1:2" ht="15.75">
      <c r="A24" s="5"/>
    </row>
    <row r="25" spans="1:2" ht="15">
      <c r="A25" s="4"/>
    </row>
    <row r="26" spans="1:2" ht="15.75">
      <c r="A26" s="5"/>
    </row>
    <row r="27" spans="1:2" ht="15">
      <c r="A27" s="4"/>
    </row>
    <row r="28" spans="1:2" ht="15">
      <c r="A28" s="4"/>
    </row>
    <row r="29" spans="1:2" ht="15">
      <c r="A29" s="4"/>
    </row>
    <row r="31" spans="1:2" ht="15.75">
      <c r="A31" s="5"/>
    </row>
    <row r="32" spans="1:2" ht="15">
      <c r="A32" s="4"/>
    </row>
    <row r="33" spans="1:1" ht="15.75">
      <c r="A33" s="5"/>
    </row>
    <row r="34" spans="1:1" ht="15">
      <c r="A34" s="4"/>
    </row>
    <row r="35" spans="1:1" ht="15">
      <c r="A35" s="4"/>
    </row>
    <row r="36" spans="1:1" ht="15">
      <c r="A36" s="4"/>
    </row>
  </sheetData>
  <mergeCells count="8">
    <mergeCell ref="A1:I1"/>
    <mergeCell ref="A2:I2"/>
    <mergeCell ref="A3:I3"/>
    <mergeCell ref="A4:I4"/>
    <mergeCell ref="B9:C9"/>
    <mergeCell ref="A9:A10"/>
    <mergeCell ref="A6:C6"/>
    <mergeCell ref="A8:C8"/>
  </mergeCells>
  <phoneticPr fontId="0" type="noConversion"/>
  <pageMargins left="0.75" right="0.75" top="1" bottom="1" header="0.5" footer="0.5"/>
  <pageSetup scale="71" orientation="landscape" horizontalDpi="355" verticalDpi="35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I82"/>
  <sheetViews>
    <sheetView view="pageBreakPreview" topLeftCell="A22" zoomScale="60" zoomScaleNormal="100" workbookViewId="0">
      <selection activeCell="D16" sqref="D16"/>
    </sheetView>
  </sheetViews>
  <sheetFormatPr defaultColWidth="9.28515625" defaultRowHeight="12.75"/>
  <cols>
    <col min="1" max="1" width="32.7109375" bestFit="1" customWidth="1"/>
    <col min="2" max="2" width="16.42578125" customWidth="1"/>
    <col min="3" max="3" width="15.140625" customWidth="1"/>
    <col min="4" max="4" width="12" customWidth="1"/>
    <col min="5" max="5" width="14.42578125" customWidth="1"/>
  </cols>
  <sheetData>
    <row r="1" spans="1:9">
      <c r="A1" s="470" t="str">
        <f>+'Revenue Input'!A1</f>
        <v xml:space="preserve">E.L.K. Energy Inc., </v>
      </c>
      <c r="B1" s="470"/>
      <c r="C1" s="470"/>
      <c r="D1" s="470"/>
      <c r="E1" s="470"/>
    </row>
    <row r="2" spans="1:9">
      <c r="A2" s="470" t="str">
        <f>+'Revenue Input'!A1</f>
        <v xml:space="preserve">E.L.K. Energy Inc., </v>
      </c>
      <c r="B2" s="470"/>
      <c r="C2" s="470"/>
      <c r="D2" s="470"/>
      <c r="E2" s="470"/>
    </row>
    <row r="3" spans="1:9">
      <c r="A3" s="470" t="str">
        <f>+'Revenue Input'!A2</f>
        <v>ED-2003-0015 , EB-2011-099</v>
      </c>
      <c r="B3" s="470"/>
      <c r="C3" s="470"/>
      <c r="D3" s="470"/>
      <c r="E3" s="470"/>
    </row>
    <row r="4" spans="1:9">
      <c r="A4" s="479"/>
      <c r="B4" s="479"/>
      <c r="C4" s="479"/>
      <c r="D4" s="479"/>
      <c r="E4" s="479"/>
    </row>
    <row r="5" spans="1:9" s="8" customFormat="1" ht="48.75" customHeight="1">
      <c r="A5" s="487" t="s">
        <v>236</v>
      </c>
      <c r="B5" s="487"/>
      <c r="C5" s="487"/>
      <c r="D5" s="487"/>
      <c r="E5" s="487"/>
    </row>
    <row r="6" spans="1:9" s="8" customFormat="1" ht="13.5" thickBot="1">
      <c r="A6" s="483"/>
      <c r="B6" s="483"/>
      <c r="C6" s="483"/>
      <c r="D6" s="483"/>
      <c r="E6" s="483"/>
    </row>
    <row r="7" spans="1:9" ht="13.5" thickBot="1">
      <c r="A7" s="87" t="s">
        <v>0</v>
      </c>
      <c r="B7" s="88" t="s">
        <v>25</v>
      </c>
      <c r="C7" s="88" t="s">
        <v>26</v>
      </c>
      <c r="D7" s="88" t="s">
        <v>17</v>
      </c>
      <c r="E7" s="88" t="s">
        <v>16</v>
      </c>
    </row>
    <row r="8" spans="1:9">
      <c r="A8" s="89" t="str">
        <f>'Forecast Data For 2012'!A7</f>
        <v>Residential</v>
      </c>
      <c r="B8" s="387"/>
      <c r="C8" s="394">
        <v>11.13</v>
      </c>
      <c r="D8" s="387"/>
      <c r="E8" s="387">
        <v>7.9000000000000008E-3</v>
      </c>
      <c r="F8" s="56"/>
      <c r="G8" s="8"/>
      <c r="H8" s="8"/>
      <c r="I8" s="8"/>
    </row>
    <row r="9" spans="1:9">
      <c r="A9" s="90" t="str">
        <f>'Forecast Data For 2012'!A9</f>
        <v>GS &lt; 50 kW</v>
      </c>
      <c r="B9" s="387"/>
      <c r="C9" s="394">
        <v>11.06</v>
      </c>
      <c r="D9" s="387"/>
      <c r="E9" s="387">
        <v>1.6999999999999999E-3</v>
      </c>
      <c r="F9" s="8"/>
      <c r="G9" s="8"/>
      <c r="H9" s="8"/>
      <c r="I9" s="8"/>
    </row>
    <row r="10" spans="1:9">
      <c r="A10" s="90" t="str">
        <f>'Forecast Data For 2012'!A11</f>
        <v>GS &gt;50</v>
      </c>
      <c r="B10" s="387"/>
      <c r="C10" s="394">
        <v>436.99</v>
      </c>
      <c r="D10" s="387">
        <v>2.8308</v>
      </c>
      <c r="E10" s="387"/>
      <c r="F10" s="8"/>
      <c r="G10" s="8"/>
      <c r="H10" s="8"/>
      <c r="I10" s="8"/>
    </row>
    <row r="11" spans="1:9">
      <c r="A11" s="90" t="str">
        <f>'Forecast Data For 2012'!A14</f>
        <v xml:space="preserve">   </v>
      </c>
      <c r="B11" s="387"/>
      <c r="C11" s="394">
        <v>842.45</v>
      </c>
      <c r="D11" s="387">
        <v>0.12529999999999999</v>
      </c>
      <c r="E11" s="387"/>
      <c r="F11" s="8"/>
      <c r="G11" s="8"/>
      <c r="H11" s="8"/>
      <c r="I11" s="8"/>
    </row>
    <row r="12" spans="1:9">
      <c r="A12" s="90" t="str">
        <f>'Forecast Data For 2012'!A17</f>
        <v>Sentinel Lights</v>
      </c>
      <c r="B12" s="394">
        <v>0.4</v>
      </c>
      <c r="C12" s="394"/>
      <c r="D12" s="387">
        <v>0.75080000000000002</v>
      </c>
      <c r="E12" s="387"/>
      <c r="F12" s="8"/>
      <c r="G12" s="8"/>
      <c r="H12" s="8"/>
      <c r="I12" s="8"/>
    </row>
    <row r="13" spans="1:9">
      <c r="A13" s="90" t="str">
        <f>'Forecast Data For 2012'!A20</f>
        <v>Street Lighting</v>
      </c>
      <c r="B13" s="394">
        <v>0.01</v>
      </c>
      <c r="C13" s="394"/>
      <c r="D13" s="387">
        <v>9.74E-2</v>
      </c>
      <c r="E13" s="387"/>
      <c r="F13" s="8"/>
      <c r="G13" s="8"/>
      <c r="H13" s="8"/>
      <c r="I13" s="8"/>
    </row>
    <row r="14" spans="1:9">
      <c r="A14" s="90" t="str">
        <f>'Forecast Data For 2012'!A23</f>
        <v>USL</v>
      </c>
      <c r="B14" s="394"/>
      <c r="C14" s="394">
        <v>5.54</v>
      </c>
      <c r="D14" s="387"/>
      <c r="E14" s="387">
        <v>1.6999999999999999E-3</v>
      </c>
      <c r="F14" s="8"/>
      <c r="G14" s="8"/>
      <c r="H14" s="8"/>
      <c r="I14" s="8"/>
    </row>
    <row r="15" spans="1:9">
      <c r="A15" s="90" t="str">
        <f>'Forecast Data For 2012'!A25</f>
        <v xml:space="preserve">   </v>
      </c>
      <c r="B15" s="394"/>
      <c r="C15" s="394"/>
      <c r="D15" s="387"/>
      <c r="E15" s="387"/>
      <c r="F15" s="8"/>
      <c r="G15" s="8"/>
      <c r="H15" s="8"/>
      <c r="I15" s="8"/>
    </row>
    <row r="16" spans="1:9">
      <c r="A16" s="90" t="str">
        <f>'Forecast Data For 2012'!A27</f>
        <v xml:space="preserve">Hydro One </v>
      </c>
      <c r="B16" s="387"/>
      <c r="C16" s="394">
        <v>842.45</v>
      </c>
      <c r="D16" s="387">
        <v>0.12529999999999999</v>
      </c>
      <c r="E16" s="387"/>
      <c r="F16" s="8"/>
      <c r="G16" s="8"/>
      <c r="H16" s="8"/>
      <c r="I16" s="8"/>
    </row>
    <row r="17" spans="1:9" s="8" customFormat="1">
      <c r="A17" s="471"/>
      <c r="B17" s="471"/>
      <c r="C17" s="471"/>
      <c r="D17" s="471"/>
      <c r="E17" s="471"/>
    </row>
    <row r="18" spans="1:9" s="8" customFormat="1" ht="18">
      <c r="A18" s="478" t="s">
        <v>240</v>
      </c>
      <c r="B18" s="478"/>
      <c r="C18" s="478"/>
      <c r="D18" s="478"/>
      <c r="E18" s="478"/>
    </row>
    <row r="19" spans="1:9" s="8" customFormat="1" ht="13.5" thickBot="1">
      <c r="A19" s="479"/>
      <c r="B19" s="479"/>
      <c r="C19" s="479"/>
      <c r="D19" s="479"/>
      <c r="E19" s="479"/>
    </row>
    <row r="20" spans="1:9" ht="51.75" customHeight="1" thickBot="1">
      <c r="A20" s="87" t="s">
        <v>0</v>
      </c>
      <c r="B20" s="480" t="s">
        <v>46</v>
      </c>
      <c r="C20" s="484"/>
      <c r="D20" s="480" t="s">
        <v>47</v>
      </c>
      <c r="E20" s="484"/>
      <c r="F20" s="8"/>
      <c r="G20" s="8"/>
      <c r="H20" s="8"/>
      <c r="I20" s="8"/>
    </row>
    <row r="21" spans="1:9">
      <c r="A21" s="89" t="str">
        <f t="shared" ref="A21:A29" si="0">A8</f>
        <v>Residential</v>
      </c>
      <c r="B21" s="486">
        <v>8.6E-3</v>
      </c>
      <c r="C21" s="486"/>
      <c r="D21" s="486"/>
      <c r="E21" s="486"/>
    </row>
    <row r="22" spans="1:9">
      <c r="A22" s="89" t="str">
        <f t="shared" si="0"/>
        <v>GS &lt; 50 kW</v>
      </c>
      <c r="B22" s="477">
        <v>6.7000000000000002E-3</v>
      </c>
      <c r="C22" s="477"/>
      <c r="D22" s="477"/>
      <c r="E22" s="477"/>
    </row>
    <row r="23" spans="1:9">
      <c r="A23" s="89" t="str">
        <f t="shared" si="0"/>
        <v>GS &gt;50</v>
      </c>
      <c r="B23" s="485"/>
      <c r="C23" s="485"/>
      <c r="D23" s="477">
        <v>5.9561999999999999</v>
      </c>
      <c r="E23" s="477"/>
    </row>
    <row r="24" spans="1:9">
      <c r="A24" s="89" t="str">
        <f t="shared" si="0"/>
        <v xml:space="preserve">   </v>
      </c>
      <c r="B24" s="477"/>
      <c r="C24" s="477"/>
      <c r="D24" s="477"/>
      <c r="E24" s="477"/>
    </row>
    <row r="25" spans="1:9">
      <c r="A25" s="89" t="str">
        <f t="shared" si="0"/>
        <v>Sentinel Lights</v>
      </c>
      <c r="B25" s="485"/>
      <c r="C25" s="485"/>
      <c r="D25" s="477"/>
      <c r="E25" s="477"/>
    </row>
    <row r="26" spans="1:9">
      <c r="A26" s="89" t="str">
        <f t="shared" si="0"/>
        <v>Street Lighting</v>
      </c>
      <c r="B26" s="485"/>
      <c r="C26" s="485"/>
      <c r="D26" s="477">
        <v>2.0899999999999998E-2</v>
      </c>
      <c r="E26" s="477"/>
    </row>
    <row r="27" spans="1:9">
      <c r="A27" s="89" t="str">
        <f t="shared" si="0"/>
        <v>USL</v>
      </c>
      <c r="B27" s="477">
        <v>1E-4</v>
      </c>
      <c r="C27" s="477"/>
      <c r="D27" s="477"/>
      <c r="E27" s="477"/>
    </row>
    <row r="28" spans="1:9">
      <c r="A28" s="89" t="str">
        <f t="shared" si="0"/>
        <v xml:space="preserve">   </v>
      </c>
      <c r="B28" s="477"/>
      <c r="C28" s="477"/>
      <c r="D28" s="477"/>
      <c r="E28" s="477"/>
    </row>
    <row r="29" spans="1:9">
      <c r="A29" s="89" t="str">
        <f t="shared" si="0"/>
        <v xml:space="preserve">Hydro One </v>
      </c>
      <c r="B29" s="477"/>
      <c r="C29" s="477"/>
      <c r="D29" s="477"/>
      <c r="E29" s="477"/>
    </row>
    <row r="30" spans="1:9">
      <c r="A30" s="65"/>
      <c r="B30" s="389"/>
      <c r="C30" s="389"/>
      <c r="D30" s="389"/>
      <c r="E30" s="389"/>
    </row>
    <row r="31" spans="1:9" ht="18">
      <c r="A31" s="478" t="s">
        <v>241</v>
      </c>
      <c r="B31" s="478"/>
      <c r="C31" s="478"/>
      <c r="D31" s="478"/>
      <c r="E31" s="478"/>
    </row>
    <row r="32" spans="1:9" ht="13.5" thickBot="1">
      <c r="A32" s="479"/>
      <c r="B32" s="479"/>
      <c r="C32" s="479"/>
      <c r="D32" s="479"/>
      <c r="E32" s="479"/>
    </row>
    <row r="33" spans="1:5" ht="40.5" customHeight="1" thickBot="1">
      <c r="A33" s="87" t="s">
        <v>0</v>
      </c>
      <c r="B33" s="480" t="s">
        <v>170</v>
      </c>
      <c r="C33" s="481"/>
      <c r="D33" s="480" t="s">
        <v>171</v>
      </c>
      <c r="E33" s="481"/>
    </row>
    <row r="34" spans="1:5">
      <c r="A34" s="90" t="str">
        <f t="shared" ref="A34:A42" si="1">A21</f>
        <v>Residential</v>
      </c>
      <c r="B34" s="477">
        <v>1.6000000000000001E-3</v>
      </c>
      <c r="C34" s="477"/>
      <c r="D34" s="477"/>
      <c r="E34" s="477"/>
    </row>
    <row r="35" spans="1:5">
      <c r="A35" s="90" t="str">
        <f t="shared" si="1"/>
        <v>GS &lt; 50 kW</v>
      </c>
      <c r="B35" s="477">
        <v>1.4E-3</v>
      </c>
      <c r="C35" s="477"/>
      <c r="D35" s="477"/>
      <c r="E35" s="477"/>
    </row>
    <row r="36" spans="1:5">
      <c r="A36" s="90" t="str">
        <f t="shared" si="1"/>
        <v>GS &gt;50</v>
      </c>
      <c r="B36" s="477"/>
      <c r="C36" s="477"/>
      <c r="D36" s="477">
        <v>0.58220000000000005</v>
      </c>
      <c r="E36" s="477"/>
    </row>
    <row r="37" spans="1:5">
      <c r="A37" s="90" t="str">
        <f t="shared" si="1"/>
        <v xml:space="preserve">   </v>
      </c>
      <c r="B37" s="477"/>
      <c r="C37" s="477"/>
      <c r="D37" s="477"/>
      <c r="E37" s="477"/>
    </row>
    <row r="38" spans="1:5">
      <c r="A38" s="90" t="str">
        <f t="shared" si="1"/>
        <v>Sentinel Lights</v>
      </c>
      <c r="B38" s="477"/>
      <c r="C38" s="477"/>
      <c r="D38" s="477"/>
      <c r="E38" s="477"/>
    </row>
    <row r="39" spans="1:5">
      <c r="A39" s="90" t="str">
        <f t="shared" si="1"/>
        <v>Street Lighting</v>
      </c>
      <c r="B39" s="477"/>
      <c r="C39" s="477"/>
      <c r="D39" s="477">
        <v>0.43940000000000001</v>
      </c>
      <c r="E39" s="477"/>
    </row>
    <row r="40" spans="1:5">
      <c r="A40" s="90" t="str">
        <f t="shared" si="1"/>
        <v>USL</v>
      </c>
      <c r="B40" s="477">
        <v>1.4E-3</v>
      </c>
      <c r="C40" s="477"/>
      <c r="D40" s="477"/>
      <c r="E40" s="477"/>
    </row>
    <row r="41" spans="1:5">
      <c r="A41" s="90" t="str">
        <f t="shared" si="1"/>
        <v xml:space="preserve">   </v>
      </c>
      <c r="B41" s="477"/>
      <c r="C41" s="477"/>
      <c r="D41" s="477"/>
      <c r="E41" s="477"/>
    </row>
    <row r="42" spans="1:5">
      <c r="A42" s="90" t="str">
        <f t="shared" si="1"/>
        <v xml:space="preserve">Hydro One </v>
      </c>
      <c r="B42" s="477"/>
      <c r="C42" s="477"/>
      <c r="D42" s="477"/>
      <c r="E42" s="477"/>
    </row>
    <row r="43" spans="1:5">
      <c r="A43" s="65"/>
      <c r="B43" s="389"/>
      <c r="C43" s="389"/>
      <c r="D43" s="389"/>
      <c r="E43" s="389"/>
    </row>
    <row r="44" spans="1:5" ht="18">
      <c r="A44" s="478" t="s">
        <v>242</v>
      </c>
      <c r="B44" s="478"/>
      <c r="C44" s="478"/>
      <c r="D44" s="478"/>
      <c r="E44" s="478"/>
    </row>
    <row r="45" spans="1:5" ht="13.5" thickBot="1">
      <c r="A45" s="479"/>
      <c r="B45" s="479"/>
      <c r="C45" s="479"/>
      <c r="D45" s="479"/>
      <c r="E45" s="479"/>
    </row>
    <row r="46" spans="1:5" ht="13.5" thickBot="1">
      <c r="A46" s="274" t="s">
        <v>0</v>
      </c>
      <c r="B46" s="275" t="s">
        <v>188</v>
      </c>
    </row>
    <row r="47" spans="1:5">
      <c r="A47" s="90" t="str">
        <f t="shared" ref="A47:A55" si="2">A34</f>
        <v>Residential</v>
      </c>
      <c r="B47" s="386">
        <v>1.45</v>
      </c>
    </row>
    <row r="48" spans="1:5">
      <c r="A48" s="90" t="str">
        <f t="shared" si="2"/>
        <v>GS &lt; 50 kW</v>
      </c>
      <c r="B48" s="386">
        <v>1.45</v>
      </c>
    </row>
    <row r="49" spans="1:5">
      <c r="A49" s="90" t="str">
        <f t="shared" si="2"/>
        <v>GS &gt;50</v>
      </c>
      <c r="B49" s="386">
        <v>1.45</v>
      </c>
    </row>
    <row r="50" spans="1:5">
      <c r="A50" s="90" t="str">
        <f t="shared" si="2"/>
        <v xml:space="preserve">   </v>
      </c>
      <c r="B50" s="386"/>
    </row>
    <row r="51" spans="1:5">
      <c r="A51" s="90" t="str">
        <f t="shared" si="2"/>
        <v>Sentinel Lights</v>
      </c>
      <c r="B51" s="386"/>
    </row>
    <row r="52" spans="1:5">
      <c r="A52" s="90" t="str">
        <f t="shared" si="2"/>
        <v>Street Lighting</v>
      </c>
      <c r="B52" s="386"/>
    </row>
    <row r="53" spans="1:5">
      <c r="A53" s="90" t="str">
        <f t="shared" si="2"/>
        <v>USL</v>
      </c>
      <c r="B53" s="386"/>
    </row>
    <row r="54" spans="1:5">
      <c r="A54" s="90" t="str">
        <f t="shared" si="2"/>
        <v xml:space="preserve">   </v>
      </c>
      <c r="B54" s="386"/>
    </row>
    <row r="55" spans="1:5">
      <c r="A55" s="90" t="str">
        <f t="shared" si="2"/>
        <v xml:space="preserve">Hydro One </v>
      </c>
      <c r="B55" s="386"/>
    </row>
    <row r="57" spans="1:5" s="8" customFormat="1" ht="18">
      <c r="A57" s="478" t="s">
        <v>239</v>
      </c>
      <c r="B57" s="478"/>
      <c r="C57" s="478"/>
      <c r="D57" s="478"/>
      <c r="E57" s="478"/>
    </row>
    <row r="58" spans="1:5" ht="13.5" thickBot="1">
      <c r="A58" s="479"/>
      <c r="B58" s="479"/>
      <c r="C58" s="479"/>
      <c r="D58" s="479"/>
      <c r="E58" s="479"/>
    </row>
    <row r="59" spans="1:5" ht="13.5" thickBot="1">
      <c r="A59" s="87" t="s">
        <v>0</v>
      </c>
      <c r="B59" s="480" t="s">
        <v>56</v>
      </c>
      <c r="C59" s="481"/>
      <c r="D59" s="480" t="s">
        <v>23</v>
      </c>
      <c r="E59" s="481"/>
    </row>
    <row r="60" spans="1:5">
      <c r="A60" s="90" t="str">
        <f t="shared" ref="A60:A68" si="3">A34</f>
        <v>Residential</v>
      </c>
      <c r="B60" s="482">
        <f>E8</f>
        <v>7.9000000000000008E-3</v>
      </c>
      <c r="C60" s="482"/>
      <c r="D60" s="482">
        <f>D8</f>
        <v>0</v>
      </c>
      <c r="E60" s="482"/>
    </row>
    <row r="61" spans="1:5">
      <c r="A61" s="90" t="str">
        <f t="shared" si="3"/>
        <v>GS &lt; 50 kW</v>
      </c>
      <c r="B61" s="482">
        <f t="shared" ref="B61:B67" si="4">E9</f>
        <v>1.6999999999999999E-3</v>
      </c>
      <c r="C61" s="482"/>
      <c r="D61" s="482">
        <f t="shared" ref="D61:D68" si="5">D9</f>
        <v>0</v>
      </c>
      <c r="E61" s="482"/>
    </row>
    <row r="62" spans="1:5">
      <c r="A62" s="90" t="str">
        <f t="shared" si="3"/>
        <v>GS &gt;50</v>
      </c>
      <c r="B62" s="482">
        <f t="shared" si="4"/>
        <v>0</v>
      </c>
      <c r="C62" s="482"/>
      <c r="D62" s="482">
        <f t="shared" si="5"/>
        <v>2.8308</v>
      </c>
      <c r="E62" s="482"/>
    </row>
    <row r="63" spans="1:5">
      <c r="A63" s="90" t="str">
        <f t="shared" si="3"/>
        <v xml:space="preserve">   </v>
      </c>
      <c r="B63" s="482">
        <f t="shared" si="4"/>
        <v>0</v>
      </c>
      <c r="C63" s="482"/>
      <c r="D63" s="482">
        <f t="shared" si="5"/>
        <v>0.12529999999999999</v>
      </c>
      <c r="E63" s="482"/>
    </row>
    <row r="64" spans="1:5">
      <c r="A64" s="90" t="str">
        <f t="shared" si="3"/>
        <v>Sentinel Lights</v>
      </c>
      <c r="B64" s="482">
        <f t="shared" si="4"/>
        <v>0</v>
      </c>
      <c r="C64" s="482"/>
      <c r="D64" s="482">
        <f t="shared" si="5"/>
        <v>0.75080000000000002</v>
      </c>
      <c r="E64" s="482"/>
    </row>
    <row r="65" spans="1:5">
      <c r="A65" s="90" t="str">
        <f t="shared" si="3"/>
        <v>Street Lighting</v>
      </c>
      <c r="B65" s="482">
        <f t="shared" si="4"/>
        <v>0</v>
      </c>
      <c r="C65" s="482"/>
      <c r="D65" s="482">
        <f t="shared" si="5"/>
        <v>9.74E-2</v>
      </c>
      <c r="E65" s="482"/>
    </row>
    <row r="66" spans="1:5">
      <c r="A66" s="90" t="str">
        <f t="shared" si="3"/>
        <v>USL</v>
      </c>
      <c r="B66" s="482">
        <f t="shared" si="4"/>
        <v>1.6999999999999999E-3</v>
      </c>
      <c r="C66" s="482"/>
      <c r="D66" s="482">
        <f t="shared" si="5"/>
        <v>0</v>
      </c>
      <c r="E66" s="482"/>
    </row>
    <row r="67" spans="1:5">
      <c r="A67" s="90" t="str">
        <f t="shared" si="3"/>
        <v xml:space="preserve">   </v>
      </c>
      <c r="B67" s="482">
        <f t="shared" si="4"/>
        <v>0</v>
      </c>
      <c r="C67" s="482"/>
      <c r="D67" s="482">
        <f t="shared" si="5"/>
        <v>0</v>
      </c>
      <c r="E67" s="482"/>
    </row>
    <row r="68" spans="1:5">
      <c r="A68" s="90" t="str">
        <f t="shared" si="3"/>
        <v xml:space="preserve">Hydro One </v>
      </c>
      <c r="B68" s="482">
        <f>E16</f>
        <v>0</v>
      </c>
      <c r="C68" s="482"/>
      <c r="D68" s="482">
        <f t="shared" si="5"/>
        <v>0.12529999999999999</v>
      </c>
      <c r="E68" s="482"/>
    </row>
    <row r="71" spans="1:5" ht="18">
      <c r="A71" s="478" t="s">
        <v>269</v>
      </c>
      <c r="B71" s="478"/>
      <c r="C71" s="478"/>
      <c r="D71" s="478"/>
      <c r="E71" s="478"/>
    </row>
    <row r="72" spans="1:5" ht="13.5" thickBot="1">
      <c r="A72" s="479"/>
      <c r="B72" s="479"/>
      <c r="C72" s="479"/>
      <c r="D72" s="479"/>
      <c r="E72" s="479"/>
    </row>
    <row r="73" spans="1:5" ht="13.5" thickBot="1">
      <c r="A73" s="87" t="s">
        <v>0</v>
      </c>
      <c r="B73" s="480" t="s">
        <v>273</v>
      </c>
      <c r="C73" s="481"/>
    </row>
    <row r="74" spans="1:5">
      <c r="A74" s="90" t="str">
        <f t="shared" ref="A74:A82" si="6">A60</f>
        <v>Residential</v>
      </c>
      <c r="B74" s="477">
        <v>0.13</v>
      </c>
      <c r="C74" s="477"/>
    </row>
    <row r="75" spans="1:5">
      <c r="A75" s="90" t="str">
        <f t="shared" si="6"/>
        <v>GS &lt; 50 kW</v>
      </c>
      <c r="B75" s="477">
        <v>0.12</v>
      </c>
      <c r="C75" s="477"/>
    </row>
    <row r="76" spans="1:5">
      <c r="A76" s="90" t="str">
        <f t="shared" si="6"/>
        <v>GS &gt;50</v>
      </c>
      <c r="B76" s="477">
        <v>7.59</v>
      </c>
      <c r="C76" s="477"/>
    </row>
    <row r="77" spans="1:5">
      <c r="A77" s="90" t="str">
        <f t="shared" si="6"/>
        <v xml:space="preserve">   </v>
      </c>
      <c r="B77" s="477"/>
      <c r="C77" s="477"/>
    </row>
    <row r="78" spans="1:5">
      <c r="A78" s="90" t="str">
        <f t="shared" si="6"/>
        <v>Sentinel Lights</v>
      </c>
      <c r="B78" s="477">
        <v>0.32</v>
      </c>
      <c r="C78" s="477"/>
    </row>
    <row r="79" spans="1:5">
      <c r="A79" s="90" t="str">
        <f t="shared" si="6"/>
        <v>Street Lighting</v>
      </c>
      <c r="B79" s="477">
        <v>0.73</v>
      </c>
      <c r="C79" s="477"/>
    </row>
    <row r="80" spans="1:5">
      <c r="A80" s="90" t="str">
        <f t="shared" si="6"/>
        <v>USL</v>
      </c>
      <c r="B80" s="477">
        <v>0.04</v>
      </c>
      <c r="C80" s="477"/>
    </row>
    <row r="81" spans="1:3">
      <c r="A81" s="90" t="str">
        <f t="shared" si="6"/>
        <v xml:space="preserve">   </v>
      </c>
      <c r="B81" s="477"/>
      <c r="C81" s="477"/>
    </row>
    <row r="82" spans="1:3">
      <c r="A82" s="90" t="str">
        <f t="shared" si="6"/>
        <v xml:space="preserve">Hydro One </v>
      </c>
      <c r="B82" s="477"/>
      <c r="C82" s="477"/>
    </row>
  </sheetData>
  <mergeCells count="87">
    <mergeCell ref="B37:C37"/>
    <mergeCell ref="B42:C42"/>
    <mergeCell ref="B66:C66"/>
    <mergeCell ref="D66:E66"/>
    <mergeCell ref="B64:C64"/>
    <mergeCell ref="D64:E64"/>
    <mergeCell ref="B65:C65"/>
    <mergeCell ref="D65:E65"/>
    <mergeCell ref="B63:C63"/>
    <mergeCell ref="D63:E63"/>
    <mergeCell ref="B62:C62"/>
    <mergeCell ref="D62:E62"/>
    <mergeCell ref="B60:C60"/>
    <mergeCell ref="D60:E60"/>
    <mergeCell ref="B61:C61"/>
    <mergeCell ref="D61:E61"/>
    <mergeCell ref="D26:E26"/>
    <mergeCell ref="D27:E27"/>
    <mergeCell ref="D21:E21"/>
    <mergeCell ref="D22:E22"/>
    <mergeCell ref="D23:E23"/>
    <mergeCell ref="D24:E24"/>
    <mergeCell ref="A1:E1"/>
    <mergeCell ref="A3:E3"/>
    <mergeCell ref="A4:E4"/>
    <mergeCell ref="A2:E2"/>
    <mergeCell ref="A5:E5"/>
    <mergeCell ref="A6:E6"/>
    <mergeCell ref="A17:E17"/>
    <mergeCell ref="A19:E19"/>
    <mergeCell ref="B29:C29"/>
    <mergeCell ref="D29:E29"/>
    <mergeCell ref="A18:E18"/>
    <mergeCell ref="D20:E20"/>
    <mergeCell ref="B20:C20"/>
    <mergeCell ref="B25:C25"/>
    <mergeCell ref="B26:C26"/>
    <mergeCell ref="B27:C27"/>
    <mergeCell ref="B21:C21"/>
    <mergeCell ref="B22:C22"/>
    <mergeCell ref="B23:C23"/>
    <mergeCell ref="B24:C24"/>
    <mergeCell ref="D25:E25"/>
    <mergeCell ref="B28:C28"/>
    <mergeCell ref="D28:E28"/>
    <mergeCell ref="B41:C41"/>
    <mergeCell ref="D41:E41"/>
    <mergeCell ref="A44:E44"/>
    <mergeCell ref="D39:E39"/>
    <mergeCell ref="D34:E34"/>
    <mergeCell ref="D42:E42"/>
    <mergeCell ref="D35:E35"/>
    <mergeCell ref="D36:E36"/>
    <mergeCell ref="A32:E32"/>
    <mergeCell ref="D40:E40"/>
    <mergeCell ref="B34:C34"/>
    <mergeCell ref="A31:E31"/>
    <mergeCell ref="B33:C33"/>
    <mergeCell ref="D33:E33"/>
    <mergeCell ref="B35:C35"/>
    <mergeCell ref="D37:E37"/>
    <mergeCell ref="D38:E38"/>
    <mergeCell ref="B68:C68"/>
    <mergeCell ref="D68:E68"/>
    <mergeCell ref="B67:C67"/>
    <mergeCell ref="D67:E67"/>
    <mergeCell ref="A45:E45"/>
    <mergeCell ref="A57:E57"/>
    <mergeCell ref="A58:E58"/>
    <mergeCell ref="B59:C59"/>
    <mergeCell ref="D59:E59"/>
    <mergeCell ref="B36:C36"/>
    <mergeCell ref="B38:C38"/>
    <mergeCell ref="B39:C39"/>
    <mergeCell ref="B40:C40"/>
    <mergeCell ref="A71:E71"/>
    <mergeCell ref="A72:E72"/>
    <mergeCell ref="B73:C73"/>
    <mergeCell ref="B75:C75"/>
    <mergeCell ref="B74:C74"/>
    <mergeCell ref="B76:C76"/>
    <mergeCell ref="B77:C77"/>
    <mergeCell ref="B78:C78"/>
    <mergeCell ref="B79:C79"/>
    <mergeCell ref="B82:C82"/>
    <mergeCell ref="B80:C80"/>
    <mergeCell ref="B81:C81"/>
  </mergeCells>
  <phoneticPr fontId="0" type="noConversion"/>
  <pageMargins left="0.75" right="0.75" top="1" bottom="1" header="0.5" footer="0.5"/>
  <pageSetup orientation="portrait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M24"/>
  <sheetViews>
    <sheetView view="pageBreakPreview" topLeftCell="A2" zoomScale="60" zoomScaleNormal="85" workbookViewId="0">
      <selection activeCell="G24" sqref="G24"/>
    </sheetView>
  </sheetViews>
  <sheetFormatPr defaultRowHeight="12.75"/>
  <cols>
    <col min="1" max="1" width="33.140625" bestFit="1" customWidth="1"/>
    <col min="2" max="2" width="16.140625" customWidth="1"/>
    <col min="3" max="3" width="12.7109375" customWidth="1"/>
    <col min="4" max="4" width="13.28515625" customWidth="1"/>
    <col min="5" max="6" width="13" customWidth="1"/>
    <col min="7" max="11" width="14.7109375" customWidth="1"/>
    <col min="12" max="12" width="17.5703125" customWidth="1"/>
    <col min="13" max="13" width="15" customWidth="1"/>
  </cols>
  <sheetData>
    <row r="1" spans="1:13">
      <c r="A1" s="470" t="str">
        <f>+'Revenue Input'!A1</f>
        <v xml:space="preserve">E.L.K. Energy Inc., 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</row>
    <row r="2" spans="1:13">
      <c r="A2" s="470" t="str">
        <f>+'Revenue Input'!A2</f>
        <v>ED-2003-0015 , EB-2011-099</v>
      </c>
      <c r="B2" s="470"/>
      <c r="C2" s="470"/>
      <c r="D2" s="470"/>
      <c r="E2" s="470"/>
      <c r="F2" s="470"/>
      <c r="G2" s="470"/>
      <c r="H2" s="470"/>
      <c r="I2" s="470"/>
      <c r="J2" s="470"/>
      <c r="K2" s="470"/>
      <c r="L2" s="470"/>
    </row>
    <row r="3" spans="1:13">
      <c r="A3" s="470">
        <f>+'Revenue Input'!A3</f>
        <v>0</v>
      </c>
      <c r="B3" s="470"/>
      <c r="C3" s="470"/>
      <c r="D3" s="470"/>
      <c r="E3" s="470"/>
      <c r="F3" s="470"/>
      <c r="G3" s="470"/>
      <c r="H3" s="470"/>
      <c r="I3" s="470"/>
      <c r="J3" s="470"/>
      <c r="K3" s="470"/>
      <c r="L3" s="470"/>
    </row>
    <row r="4" spans="1:13">
      <c r="A4" s="471"/>
      <c r="B4" s="471"/>
      <c r="C4" s="471"/>
      <c r="D4" s="471"/>
      <c r="E4" s="471"/>
      <c r="F4" s="471"/>
      <c r="G4" s="471"/>
      <c r="H4" s="471"/>
      <c r="I4" s="471"/>
      <c r="J4" s="471"/>
      <c r="K4" s="471"/>
      <c r="L4" s="471"/>
    </row>
    <row r="5" spans="1:13" ht="18" customHeight="1">
      <c r="A5" s="478" t="s">
        <v>237</v>
      </c>
      <c r="B5" s="478"/>
      <c r="C5" s="478"/>
      <c r="D5" s="478"/>
      <c r="E5" s="478"/>
      <c r="F5" s="478"/>
      <c r="G5" s="478"/>
      <c r="H5" s="478"/>
      <c r="I5" s="478"/>
      <c r="J5" s="478"/>
      <c r="K5" s="478"/>
      <c r="L5" s="478"/>
    </row>
    <row r="6" spans="1:13" ht="18" customHeight="1">
      <c r="A6" s="478" t="s">
        <v>28</v>
      </c>
      <c r="B6" s="478"/>
      <c r="C6" s="478"/>
      <c r="D6" s="478"/>
      <c r="E6" s="478"/>
      <c r="F6" s="478"/>
      <c r="G6" s="478"/>
      <c r="H6" s="478"/>
      <c r="I6" s="478"/>
      <c r="J6" s="478"/>
      <c r="K6" s="478"/>
      <c r="L6" s="478"/>
    </row>
    <row r="7" spans="1:13" ht="18" customHeight="1">
      <c r="A7" s="478"/>
      <c r="B7" s="478"/>
      <c r="C7" s="478"/>
      <c r="D7" s="478"/>
      <c r="E7" s="478"/>
      <c r="F7" s="478"/>
      <c r="G7" s="478"/>
      <c r="H7" s="478"/>
      <c r="I7" s="478"/>
      <c r="J7" s="478"/>
      <c r="K7" s="478"/>
      <c r="L7" s="478"/>
    </row>
    <row r="8" spans="1:13" s="2" customFormat="1" ht="38.25">
      <c r="A8" s="91" t="s">
        <v>24</v>
      </c>
      <c r="B8" s="91" t="s">
        <v>7</v>
      </c>
      <c r="C8" s="91" t="s">
        <v>8</v>
      </c>
      <c r="D8" s="91" t="s">
        <v>10</v>
      </c>
      <c r="E8" s="91" t="s">
        <v>27</v>
      </c>
      <c r="F8" s="91" t="s">
        <v>11</v>
      </c>
      <c r="G8" s="91" t="s">
        <v>12</v>
      </c>
      <c r="H8" s="91" t="s">
        <v>189</v>
      </c>
      <c r="I8" s="91" t="s">
        <v>6</v>
      </c>
      <c r="J8" s="91" t="s">
        <v>190</v>
      </c>
      <c r="K8" s="91" t="s">
        <v>129</v>
      </c>
      <c r="M8"/>
    </row>
    <row r="9" spans="1:13" ht="18" customHeight="1">
      <c r="A9" s="90" t="str">
        <f>'Cost Allocation Study'!A7</f>
        <v>Residential</v>
      </c>
      <c r="B9" s="96">
        <f>+'Forecast Data For 2012'!$C$8</f>
        <v>95979438.068175137</v>
      </c>
      <c r="C9" s="96"/>
      <c r="D9" s="96">
        <f>+'Forecast Data For 2012'!$C$7*12</f>
        <v>120281.1081442729</v>
      </c>
      <c r="E9" s="96"/>
      <c r="F9" s="96">
        <f>+D9*'2011 Existing Rates'!$C$8</f>
        <v>1338728.7336457574</v>
      </c>
      <c r="G9" s="96">
        <f>+B9*'2011 Existing Rates'!$B$60</f>
        <v>758237.56073858368</v>
      </c>
      <c r="H9" s="96">
        <f t="shared" ref="H9:H15" si="0">+F9+G9</f>
        <v>2096966.2943843412</v>
      </c>
      <c r="I9" s="96"/>
      <c r="J9" s="96">
        <f>H9-I9</f>
        <v>2096966.2943843412</v>
      </c>
      <c r="K9" s="97">
        <f t="shared" ref="K9:K17" si="1">+J9/$J$18</f>
        <v>0.64978110531437672</v>
      </c>
    </row>
    <row r="10" spans="1:13" ht="18" customHeight="1">
      <c r="A10" s="90" t="str">
        <f>'Cost Allocation Study'!A8</f>
        <v>GS &lt; 50 kW</v>
      </c>
      <c r="B10" s="96">
        <f>+'Forecast Data For 2012'!$C$10</f>
        <v>32594961.595119234</v>
      </c>
      <c r="C10" s="96"/>
      <c r="D10" s="96">
        <f>+'Forecast Data For 2012'!$C$9*12</f>
        <v>14573.761495825383</v>
      </c>
      <c r="E10" s="96"/>
      <c r="F10" s="96">
        <f>+D10*'2011 Existing Rates'!$C$9</f>
        <v>161185.80214382874</v>
      </c>
      <c r="G10" s="96">
        <f>+B10*'2011 Existing Rates'!$B$61</f>
        <v>55411.434711702692</v>
      </c>
      <c r="H10" s="96">
        <f t="shared" si="0"/>
        <v>216597.23685553143</v>
      </c>
      <c r="I10" s="96"/>
      <c r="J10" s="96">
        <f t="shared" ref="J10:J15" si="2">H10-I10</f>
        <v>216597.23685553143</v>
      </c>
      <c r="K10" s="97">
        <f t="shared" si="1"/>
        <v>6.7116382532675795E-2</v>
      </c>
    </row>
    <row r="11" spans="1:13" ht="18" customHeight="1">
      <c r="A11" s="90" t="str">
        <f>'Cost Allocation Study'!A9</f>
        <v>GS &gt;50</v>
      </c>
      <c r="B11" s="96">
        <f>+'Forecast Data For 2012'!$C$13</f>
        <v>66668106.413480408</v>
      </c>
      <c r="C11" s="96">
        <f>+'Forecast Data For 2012'!$C$12-C12</f>
        <v>156921.91291445112</v>
      </c>
      <c r="D11" s="96">
        <f>+'Forecast Data For 2012'!$C$11*12-D12</f>
        <v>1109.5493849685997</v>
      </c>
      <c r="E11" s="96"/>
      <c r="F11" s="96">
        <f>+D11*'2011 Existing Rates'!$C$10</f>
        <v>484861.98573742842</v>
      </c>
      <c r="G11" s="96">
        <f>+C11*'2011 Existing Rates'!$D$62</f>
        <v>444214.55107822822</v>
      </c>
      <c r="H11" s="96">
        <f t="shared" si="0"/>
        <v>929076.53681565658</v>
      </c>
      <c r="I11" s="96">
        <f>-'Transformer Allowance'!C12</f>
        <v>88617.524155018124</v>
      </c>
      <c r="J11" s="96">
        <f t="shared" si="2"/>
        <v>840459.01266063843</v>
      </c>
      <c r="K11" s="97">
        <f t="shared" si="1"/>
        <v>0.26043069346443448</v>
      </c>
    </row>
    <row r="12" spans="1:13" ht="18" customHeight="1">
      <c r="A12" s="90" t="str">
        <f>'Cost Allocation Study'!A10</f>
        <v xml:space="preserve">   </v>
      </c>
      <c r="B12" s="96">
        <f>'Forecast Data For 2012'!C16</f>
        <v>0</v>
      </c>
      <c r="C12" s="426">
        <v>57145</v>
      </c>
      <c r="D12" s="426">
        <v>12</v>
      </c>
      <c r="E12" s="96"/>
      <c r="F12" s="96">
        <f>+D12*'2011 Existing Rates'!$C$11</f>
        <v>10109.400000000001</v>
      </c>
      <c r="G12" s="96">
        <f>+C12*'2011 Existing Rates'!$D$63</f>
        <v>7160.2685000000001</v>
      </c>
      <c r="H12" s="96">
        <f t="shared" si="0"/>
        <v>17269.6685</v>
      </c>
      <c r="I12" s="96">
        <f>-'Transformer Allowance'!C13</f>
        <v>0</v>
      </c>
      <c r="J12" s="96">
        <f t="shared" si="2"/>
        <v>17269.6685</v>
      </c>
      <c r="K12" s="97">
        <f t="shared" si="1"/>
        <v>5.3513040798004114E-3</v>
      </c>
    </row>
    <row r="13" spans="1:13" ht="18" customHeight="1">
      <c r="A13" s="90" t="str">
        <f>'Cost Allocation Study'!A11</f>
        <v>Sentinel Lights</v>
      </c>
      <c r="B13" s="96">
        <f>+'Forecast Data For 2012'!$C$19</f>
        <v>5564.2966477781893</v>
      </c>
      <c r="C13" s="96">
        <f>+'Forecast Data For 2012'!$C$18</f>
        <v>15.091686685374189</v>
      </c>
      <c r="D13" s="96"/>
      <c r="E13" s="96">
        <f>+'Forecast Data For 2012'!$C$17*12</f>
        <v>84</v>
      </c>
      <c r="F13" s="96">
        <f>+E13*'2011 Existing Rates'!$B$12</f>
        <v>33.6</v>
      </c>
      <c r="G13" s="96">
        <f>+C13*'2011 Existing Rates'!$D$64</f>
        <v>11.330838363378941</v>
      </c>
      <c r="H13" s="96">
        <f t="shared" si="0"/>
        <v>44.930838363378939</v>
      </c>
      <c r="I13" s="96"/>
      <c r="J13" s="96">
        <f t="shared" si="2"/>
        <v>44.930838363378939</v>
      </c>
      <c r="K13" s="97">
        <f t="shared" si="1"/>
        <v>1.3922593745375167E-5</v>
      </c>
    </row>
    <row r="14" spans="1:13" ht="18" customHeight="1">
      <c r="A14" s="90" t="str">
        <f>'Cost Allocation Study'!A12</f>
        <v>Street Lighting</v>
      </c>
      <c r="B14" s="96">
        <f>+'Forecast Data For 2012'!$C$22</f>
        <v>2225083.8466967554</v>
      </c>
      <c r="C14" s="96">
        <f>+'Forecast Data For 2012'!$C$21</f>
        <v>6082.8591488972397</v>
      </c>
      <c r="D14" s="96"/>
      <c r="E14" s="96">
        <f>+'Forecast Data For 2012'!$C$20*12</f>
        <v>33614.323674894018</v>
      </c>
      <c r="F14" s="96">
        <f>+E14*'2011 Existing Rates'!$B$13</f>
        <v>336.14323674894018</v>
      </c>
      <c r="G14" s="96">
        <f>+C14*'2011 Existing Rates'!$D$65</f>
        <v>592.47048110259118</v>
      </c>
      <c r="H14" s="96">
        <f t="shared" si="0"/>
        <v>928.61371785153142</v>
      </c>
      <c r="I14" s="96"/>
      <c r="J14" s="96">
        <f t="shared" si="2"/>
        <v>928.61371785153142</v>
      </c>
      <c r="K14" s="97">
        <f t="shared" si="1"/>
        <v>2.8774694643950621E-4</v>
      </c>
    </row>
    <row r="15" spans="1:13" ht="18" customHeight="1">
      <c r="A15" s="90" t="str">
        <f>'Cost Allocation Study'!A13</f>
        <v>USL</v>
      </c>
      <c r="B15" s="96">
        <f>+'Forecast Data For 2012'!$C$24</f>
        <v>188991.4155690055</v>
      </c>
      <c r="C15" s="96"/>
      <c r="D15" s="96"/>
      <c r="E15" s="96">
        <f>+'Forecast Data For 2012'!$C$23*12</f>
        <v>384.34303532151273</v>
      </c>
      <c r="F15" s="96">
        <f>+E15*'2011 Existing Rates'!$C$14</f>
        <v>2129.2604156811803</v>
      </c>
      <c r="G15" s="96">
        <f>+B15*'2011 Existing Rates'!$B$66</f>
        <v>321.28540646730931</v>
      </c>
      <c r="H15" s="96">
        <f t="shared" si="0"/>
        <v>2450.5458221484896</v>
      </c>
      <c r="I15" s="96"/>
      <c r="J15" s="96">
        <f t="shared" si="2"/>
        <v>2450.5458221484896</v>
      </c>
      <c r="K15" s="97">
        <f t="shared" si="1"/>
        <v>7.5934380881723725E-4</v>
      </c>
    </row>
    <row r="16" spans="1:13" ht="18" customHeight="1">
      <c r="A16" s="90" t="str">
        <f>'Cost Allocation Study'!A14</f>
        <v xml:space="preserve">   </v>
      </c>
      <c r="B16" s="96"/>
      <c r="C16" s="96">
        <f>'Forecast Data For 2012'!C26</f>
        <v>0</v>
      </c>
      <c r="D16" s="96"/>
      <c r="E16" s="96"/>
      <c r="F16" s="96">
        <f>+E16*'2011 Existing Rates'!$B$14</f>
        <v>0</v>
      </c>
      <c r="G16" s="96">
        <f>+C16*'2011 Existing Rates'!$D$67</f>
        <v>0</v>
      </c>
      <c r="H16" s="96">
        <f>+F16+G16</f>
        <v>0</v>
      </c>
      <c r="I16" s="96"/>
      <c r="J16" s="96">
        <f>H16-I16</f>
        <v>0</v>
      </c>
      <c r="K16" s="97">
        <f t="shared" si="1"/>
        <v>0</v>
      </c>
    </row>
    <row r="17" spans="1:12" ht="18" customHeight="1">
      <c r="A17" s="90" t="str">
        <f>'Cost Allocation Study'!A15</f>
        <v xml:space="preserve">Hydro One </v>
      </c>
      <c r="B17" s="96">
        <f>'Forecast Data For 2012'!C29</f>
        <v>42996782.152953438</v>
      </c>
      <c r="C17" s="96">
        <f>'Forecast Data For 2012'!C28</f>
        <v>96048.524183723959</v>
      </c>
      <c r="D17" s="96">
        <f>'Forecast Data For 2012'!C27*12</f>
        <v>48</v>
      </c>
      <c r="E17" s="96"/>
      <c r="F17" s="96">
        <f>D17*'2011 Existing Rates'!C16</f>
        <v>40437.600000000006</v>
      </c>
      <c r="G17" s="96">
        <f>C17*'2011 Existing Rates'!D68</f>
        <v>12034.880080220611</v>
      </c>
      <c r="H17" s="96">
        <f>+F17+G17</f>
        <v>52472.480080220615</v>
      </c>
      <c r="I17" s="96"/>
      <c r="J17" s="96">
        <f>H17-I17</f>
        <v>52472.480080220615</v>
      </c>
      <c r="K17" s="97">
        <f t="shared" si="1"/>
        <v>1.6259501259710363E-2</v>
      </c>
    </row>
    <row r="18" spans="1:12" ht="18" customHeight="1" thickBot="1">
      <c r="A18" s="8"/>
      <c r="B18" s="277">
        <f>SUM(B9:B17)</f>
        <v>240658927.78864178</v>
      </c>
      <c r="C18" s="277">
        <f t="shared" ref="C18:K18" si="3">SUM(C9:C17)</f>
        <v>316213.38793375768</v>
      </c>
      <c r="D18" s="277">
        <f t="shared" si="3"/>
        <v>136024.41902506689</v>
      </c>
      <c r="E18" s="277">
        <f t="shared" si="3"/>
        <v>34082.666710215533</v>
      </c>
      <c r="F18" s="277">
        <f t="shared" si="3"/>
        <v>2037822.5251794448</v>
      </c>
      <c r="G18" s="277">
        <f t="shared" si="3"/>
        <v>1277983.7818346685</v>
      </c>
      <c r="H18" s="277">
        <f t="shared" si="3"/>
        <v>3315806.3070141133</v>
      </c>
      <c r="I18" s="277">
        <f t="shared" si="3"/>
        <v>88617.524155018124</v>
      </c>
      <c r="J18" s="277">
        <f t="shared" si="3"/>
        <v>3227188.7828590954</v>
      </c>
      <c r="K18" s="406">
        <f t="shared" si="3"/>
        <v>0.99999999999999989</v>
      </c>
    </row>
    <row r="19" spans="1:12" ht="13.5" thickTop="1"/>
    <row r="20" spans="1:12">
      <c r="G20" s="22"/>
      <c r="H20" s="22"/>
      <c r="I20" s="22"/>
      <c r="J20" s="22"/>
      <c r="K20" s="22"/>
      <c r="L20" s="22"/>
    </row>
    <row r="21" spans="1:12">
      <c r="C21" s="315">
        <f>C11+C12</f>
        <v>214066.91291445112</v>
      </c>
      <c r="D21" s="315">
        <f>D11+D12</f>
        <v>1121.5493849685997</v>
      </c>
      <c r="F21" s="315">
        <f>F11+F12</f>
        <v>494971.38573742844</v>
      </c>
      <c r="G21" s="315">
        <f>G11+G12</f>
        <v>451374.81957822823</v>
      </c>
      <c r="H21" s="3"/>
      <c r="I21" s="3"/>
      <c r="J21" s="3"/>
      <c r="K21" s="1"/>
      <c r="L21" s="1"/>
    </row>
    <row r="22" spans="1:12">
      <c r="F22" s="427">
        <f>F21/D21</f>
        <v>441.32821289121057</v>
      </c>
      <c r="G22" s="428">
        <f>G21/C21</f>
        <v>2.1085688275357803</v>
      </c>
      <c r="H22" s="55"/>
      <c r="I22" s="55"/>
      <c r="J22" s="55"/>
      <c r="K22" s="55"/>
      <c r="L22" s="55"/>
    </row>
    <row r="24" spans="1:12">
      <c r="G24">
        <f>G18/'Forecast Data For 2012'!D32</f>
        <v>5.3103526786966128E-3</v>
      </c>
    </row>
  </sheetData>
  <mergeCells count="7">
    <mergeCell ref="A7:L7"/>
    <mergeCell ref="A5:L5"/>
    <mergeCell ref="A6:L6"/>
    <mergeCell ref="A1:L1"/>
    <mergeCell ref="A2:L2"/>
    <mergeCell ref="A3:L3"/>
    <mergeCell ref="A4:L4"/>
  </mergeCells>
  <phoneticPr fontId="0" type="noConversion"/>
  <pageMargins left="0.74803149606299213" right="0.74803149606299213" top="0.98425196850393704" bottom="0.98425196850393704" header="0.51181102362204722" footer="0.51181102362204722"/>
  <pageSetup scale="64" orientation="landscape" horizontalDpi="355" verticalDpi="355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J36"/>
  <sheetViews>
    <sheetView view="pageBreakPreview" zoomScale="60" zoomScaleNormal="100" workbookViewId="0">
      <selection activeCell="G31" sqref="G31"/>
    </sheetView>
  </sheetViews>
  <sheetFormatPr defaultRowHeight="12.75"/>
  <cols>
    <col min="1" max="1" width="35.7109375" customWidth="1"/>
    <col min="2" max="2" width="16.140625" bestFit="1" customWidth="1"/>
    <col min="3" max="3" width="13.7109375" bestFit="1" customWidth="1"/>
    <col min="4" max="4" width="13.5703125" bestFit="1" customWidth="1"/>
    <col min="5" max="5" width="13.85546875" customWidth="1"/>
    <col min="6" max="10" width="10.140625" customWidth="1"/>
  </cols>
  <sheetData>
    <row r="1" spans="1:10">
      <c r="A1" s="320" t="str">
        <f>+'Revenue Input'!A1</f>
        <v xml:space="preserve">E.L.K. Energy Inc., </v>
      </c>
      <c r="B1" s="320"/>
      <c r="C1" s="320"/>
    </row>
    <row r="2" spans="1:10">
      <c r="A2" s="320" t="str">
        <f>+'Revenue Input'!A2</f>
        <v>ED-2003-0015 , EB-2011-099</v>
      </c>
      <c r="B2" s="320"/>
      <c r="C2" s="320"/>
    </row>
    <row r="3" spans="1:10">
      <c r="A3" s="320">
        <f>+'Revenue Input'!A3</f>
        <v>0</v>
      </c>
      <c r="B3" s="320"/>
      <c r="C3" s="320"/>
    </row>
    <row r="4" spans="1:10" ht="27" customHeight="1">
      <c r="A4" s="488" t="s">
        <v>243</v>
      </c>
      <c r="B4" s="489"/>
      <c r="C4" s="490"/>
    </row>
    <row r="5" spans="1:10" ht="18.75" customHeight="1">
      <c r="A5" s="294" t="s">
        <v>30</v>
      </c>
      <c r="B5" s="294"/>
      <c r="C5" s="321"/>
    </row>
    <row r="6" spans="1:10" ht="39" thickBot="1">
      <c r="A6" s="76" t="s">
        <v>24</v>
      </c>
      <c r="B6" s="77" t="s">
        <v>172</v>
      </c>
      <c r="C6" s="76" t="s">
        <v>244</v>
      </c>
      <c r="E6" s="16"/>
      <c r="F6" s="16"/>
      <c r="G6" s="16"/>
      <c r="H6" s="16"/>
      <c r="I6" s="16"/>
      <c r="J6" s="16"/>
    </row>
    <row r="7" spans="1:10" ht="15" customHeight="1">
      <c r="A7" s="270" t="s">
        <v>205</v>
      </c>
      <c r="B7" s="70" t="s">
        <v>173</v>
      </c>
      <c r="C7" s="305">
        <f>[2]Summary!$J$12</f>
        <v>10023.425678689409</v>
      </c>
      <c r="E7" s="65"/>
      <c r="F7" s="16"/>
      <c r="G7" s="16"/>
      <c r="H7" s="16"/>
      <c r="I7" s="16"/>
      <c r="J7" s="16"/>
    </row>
    <row r="8" spans="1:10" ht="15" customHeight="1" thickBot="1">
      <c r="A8" s="73"/>
      <c r="B8" s="74" t="s">
        <v>16</v>
      </c>
      <c r="C8" s="306">
        <f>[2]Summary!$J$13</f>
        <v>95979438.068175137</v>
      </c>
      <c r="E8" s="16"/>
      <c r="F8" s="16"/>
      <c r="G8" s="16"/>
      <c r="H8" s="16"/>
      <c r="I8" s="16"/>
      <c r="J8" s="16"/>
    </row>
    <row r="9" spans="1:10" ht="15" customHeight="1">
      <c r="A9" s="270" t="s">
        <v>206</v>
      </c>
      <c r="B9" s="70" t="s">
        <v>173</v>
      </c>
      <c r="C9" s="69">
        <f>[2]Summary!$J$16</f>
        <v>1214.4801246521154</v>
      </c>
      <c r="E9" s="65"/>
      <c r="F9" s="16"/>
      <c r="G9" s="16"/>
      <c r="H9" s="16"/>
      <c r="I9" s="16"/>
      <c r="J9" s="16"/>
    </row>
    <row r="10" spans="1:10" ht="15" customHeight="1" thickBot="1">
      <c r="A10" s="73"/>
      <c r="B10" s="74" t="s">
        <v>16</v>
      </c>
      <c r="C10" s="75">
        <f>[2]Summary!$J$17</f>
        <v>32594961.595119234</v>
      </c>
      <c r="E10" s="16"/>
      <c r="F10" s="16"/>
      <c r="G10" s="16"/>
      <c r="H10" s="16"/>
      <c r="I10" s="16"/>
      <c r="J10" s="16"/>
    </row>
    <row r="11" spans="1:10" ht="15" customHeight="1">
      <c r="A11" s="270" t="s">
        <v>207</v>
      </c>
      <c r="B11" s="70" t="s">
        <v>173</v>
      </c>
      <c r="C11" s="71">
        <f>[2]Summary!$J$20</f>
        <v>93.462448747383306</v>
      </c>
      <c r="E11" s="16"/>
      <c r="F11" s="16"/>
      <c r="G11" s="16"/>
      <c r="H11" s="16"/>
      <c r="I11" s="16"/>
      <c r="J11" s="16"/>
    </row>
    <row r="12" spans="1:10" ht="15" customHeight="1">
      <c r="A12" s="72"/>
      <c r="B12" s="68" t="s">
        <v>17</v>
      </c>
      <c r="C12" s="69">
        <f>[2]Summary!$J$22</f>
        <v>214066.91291445112</v>
      </c>
      <c r="E12" s="16"/>
      <c r="F12" s="16"/>
      <c r="G12" s="16"/>
      <c r="H12" s="16"/>
      <c r="I12" s="16"/>
      <c r="J12" s="16"/>
    </row>
    <row r="13" spans="1:10" ht="15" customHeight="1" thickBot="1">
      <c r="A13" s="73"/>
      <c r="B13" s="74" t="s">
        <v>16</v>
      </c>
      <c r="C13" s="75">
        <f>[2]Summary!$J$21</f>
        <v>66668106.413480408</v>
      </c>
    </row>
    <row r="14" spans="1:10" ht="15" customHeight="1">
      <c r="A14" s="270" t="s">
        <v>264</v>
      </c>
      <c r="B14" s="326" t="s">
        <v>173</v>
      </c>
      <c r="C14" s="324"/>
      <c r="E14" s="16"/>
      <c r="F14" s="16"/>
      <c r="G14" s="16"/>
      <c r="H14" s="16"/>
      <c r="I14" s="16"/>
      <c r="J14" s="16"/>
    </row>
    <row r="15" spans="1:10" ht="15" customHeight="1">
      <c r="A15" s="72"/>
      <c r="B15" s="327" t="s">
        <v>17</v>
      </c>
      <c r="C15" s="323"/>
      <c r="E15" s="16"/>
      <c r="F15" s="16"/>
      <c r="G15" s="16"/>
      <c r="H15" s="16"/>
      <c r="I15" s="16"/>
      <c r="J15" s="16"/>
    </row>
    <row r="16" spans="1:10" ht="15" customHeight="1" thickBot="1">
      <c r="A16" s="73"/>
      <c r="B16" s="328" t="s">
        <v>16</v>
      </c>
      <c r="C16" s="325"/>
    </row>
    <row r="17" spans="1:8" ht="15" customHeight="1">
      <c r="A17" s="270" t="s">
        <v>208</v>
      </c>
      <c r="B17" s="326" t="s">
        <v>174</v>
      </c>
      <c r="C17" s="324">
        <f>[2]Summary!$J$34</f>
        <v>7</v>
      </c>
    </row>
    <row r="18" spans="1:8" ht="15" customHeight="1">
      <c r="A18" s="72"/>
      <c r="B18" s="327" t="s">
        <v>17</v>
      </c>
      <c r="C18" s="323">
        <f>[2]Summary!$J$36</f>
        <v>15.091686685374189</v>
      </c>
      <c r="E18" s="16"/>
      <c r="H18" s="16"/>
    </row>
    <row r="19" spans="1:8" ht="15" customHeight="1" thickBot="1">
      <c r="A19" s="73"/>
      <c r="B19" s="74" t="s">
        <v>16</v>
      </c>
      <c r="C19" s="75">
        <f>[2]Summary!$J$35</f>
        <v>5564.2966477781893</v>
      </c>
    </row>
    <row r="20" spans="1:8" ht="15" customHeight="1">
      <c r="A20" s="270" t="s">
        <v>209</v>
      </c>
      <c r="B20" s="70" t="s">
        <v>174</v>
      </c>
      <c r="C20" s="71">
        <f>[2]Summary!$J$25</f>
        <v>2801.1936395745015</v>
      </c>
      <c r="H20" s="16"/>
    </row>
    <row r="21" spans="1:8" ht="15" customHeight="1">
      <c r="A21" s="72"/>
      <c r="B21" s="68" t="s">
        <v>17</v>
      </c>
      <c r="C21" s="69">
        <f>[2]Summary!$J$27</f>
        <v>6082.8591488972397</v>
      </c>
      <c r="E21" s="16"/>
      <c r="H21" s="16"/>
    </row>
    <row r="22" spans="1:8" ht="15" customHeight="1" thickBot="1">
      <c r="A22" s="73"/>
      <c r="B22" s="74" t="s">
        <v>16</v>
      </c>
      <c r="C22" s="75">
        <f>[2]Summary!$J$26</f>
        <v>2225083.8466967554</v>
      </c>
    </row>
    <row r="23" spans="1:8" ht="15" customHeight="1">
      <c r="A23" s="270" t="s">
        <v>210</v>
      </c>
      <c r="B23" s="70" t="s">
        <v>174</v>
      </c>
      <c r="C23" s="71">
        <f>[2]Summary!$J$30</f>
        <v>32.02858627679273</v>
      </c>
      <c r="H23" s="16"/>
    </row>
    <row r="24" spans="1:8" ht="15" customHeight="1" thickBot="1">
      <c r="A24" s="73"/>
      <c r="B24" s="74" t="s">
        <v>16</v>
      </c>
      <c r="C24" s="69">
        <f>[2]Summary!$J$31</f>
        <v>188991.4155690055</v>
      </c>
      <c r="E24" s="16"/>
    </row>
    <row r="25" spans="1:8" ht="15" customHeight="1">
      <c r="A25" s="270" t="s">
        <v>264</v>
      </c>
      <c r="B25" s="70"/>
      <c r="C25" s="71"/>
    </row>
    <row r="26" spans="1:8" ht="15" customHeight="1" thickBot="1">
      <c r="A26" s="73"/>
      <c r="B26" s="74" t="s">
        <v>17</v>
      </c>
      <c r="C26" s="69"/>
    </row>
    <row r="27" spans="1:8" ht="15" customHeight="1">
      <c r="A27" s="270" t="s">
        <v>263</v>
      </c>
      <c r="B27" s="326" t="s">
        <v>173</v>
      </c>
      <c r="C27" s="324">
        <f>[2]Summary!$J$39</f>
        <v>4</v>
      </c>
    </row>
    <row r="28" spans="1:8" ht="15" customHeight="1">
      <c r="A28" s="72"/>
      <c r="B28" s="327" t="s">
        <v>17</v>
      </c>
      <c r="C28" s="323">
        <f>[2]Summary!$J$41</f>
        <v>96048.524183723959</v>
      </c>
      <c r="E28" s="16"/>
      <c r="H28" s="16"/>
    </row>
    <row r="29" spans="1:8" ht="15" customHeight="1" thickBot="1">
      <c r="A29" s="73"/>
      <c r="B29" s="328" t="s">
        <v>16</v>
      </c>
      <c r="C29" s="325">
        <f>[2]Summary!$J$40</f>
        <v>42996782.152953438</v>
      </c>
    </row>
    <row r="30" spans="1:8" ht="15" customHeight="1">
      <c r="A30" s="329" t="s">
        <v>211</v>
      </c>
      <c r="B30" s="70" t="s">
        <v>212</v>
      </c>
      <c r="C30" s="403">
        <f>C7+C9+C11+C14+C17+C20+C23+C27</f>
        <v>14175.590477940201</v>
      </c>
      <c r="D30" s="400">
        <f>[2]Summary!$J$49</f>
        <v>14175.590477940201</v>
      </c>
      <c r="E30" s="22"/>
      <c r="H30" s="16"/>
    </row>
    <row r="31" spans="1:8" ht="15" customHeight="1">
      <c r="A31" s="330"/>
      <c r="B31" s="68" t="s">
        <v>17</v>
      </c>
      <c r="C31" s="404">
        <f>C12+C15+C18+C21+C26+C28</f>
        <v>316213.38793375768</v>
      </c>
      <c r="D31" s="401">
        <f>[2]Summary!$J$51</f>
        <v>316213.38793375768</v>
      </c>
      <c r="E31" s="22"/>
    </row>
    <row r="32" spans="1:8" ht="15" customHeight="1" thickBot="1">
      <c r="A32" s="73"/>
      <c r="B32" s="74" t="s">
        <v>16</v>
      </c>
      <c r="C32" s="405">
        <f>C8+C10+C13+C16+C19+C22+C24+C29</f>
        <v>240658927.78864178</v>
      </c>
      <c r="D32" s="402">
        <f>[2]Summary!$J$50</f>
        <v>240658927.78864178</v>
      </c>
      <c r="E32" s="22"/>
    </row>
    <row r="33" spans="3:5">
      <c r="E33" s="3"/>
    </row>
    <row r="34" spans="3:5">
      <c r="C34" s="22"/>
    </row>
    <row r="35" spans="3:5">
      <c r="C35" s="22"/>
    </row>
    <row r="36" spans="3:5">
      <c r="C36" s="22"/>
    </row>
  </sheetData>
  <mergeCells count="1">
    <mergeCell ref="A4:C4"/>
  </mergeCells>
  <phoneticPr fontId="0" type="noConversion"/>
  <pageMargins left="0.74803149606299213" right="0.74803149606299213" top="0.98425196850393704" bottom="0.98425196850393704" header="0.51181102362204722" footer="0.51181102362204722"/>
  <pageSetup scale="94" orientation="landscape" horizontalDpi="355" verticalDpi="35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O20"/>
  <sheetViews>
    <sheetView view="pageBreakPreview" topLeftCell="A3" zoomScale="60" zoomScaleNormal="85" workbookViewId="0">
      <selection activeCell="A7" sqref="A7:A15"/>
    </sheetView>
  </sheetViews>
  <sheetFormatPr defaultRowHeight="12.75"/>
  <cols>
    <col min="1" max="1" width="33.140625" bestFit="1" customWidth="1"/>
    <col min="2" max="2" width="15.85546875" style="310" customWidth="1"/>
    <col min="3" max="3" width="16.140625" customWidth="1"/>
    <col min="4" max="4" width="20.42578125" customWidth="1"/>
    <col min="5" max="5" width="17.5703125" customWidth="1"/>
    <col min="6" max="6" width="17.85546875" customWidth="1"/>
    <col min="7" max="8" width="15.7109375" customWidth="1"/>
    <col min="9" max="9" width="16.7109375" bestFit="1" customWidth="1"/>
    <col min="10" max="10" width="14.42578125" customWidth="1"/>
    <col min="11" max="11" width="13.85546875" customWidth="1"/>
    <col min="12" max="12" width="15" customWidth="1"/>
    <col min="13" max="13" width="13.28515625" customWidth="1"/>
    <col min="15" max="15" width="13.5703125" customWidth="1"/>
    <col min="16" max="16" width="22.42578125" customWidth="1"/>
  </cols>
  <sheetData>
    <row r="1" spans="1:15">
      <c r="A1" s="492" t="str">
        <f>+'Revenue Input'!A1</f>
        <v xml:space="preserve">E.L.K. Energy Inc., 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</row>
    <row r="2" spans="1:15">
      <c r="A2" s="492" t="str">
        <f>+'Revenue Input'!A2</f>
        <v>ED-2003-0015 , EB-2011-099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</row>
    <row r="3" spans="1:15">
      <c r="A3" s="492">
        <f>+'Revenue Input'!A3</f>
        <v>0</v>
      </c>
      <c r="B3" s="492"/>
      <c r="C3" s="492"/>
      <c r="D3" s="492"/>
      <c r="E3" s="492"/>
      <c r="F3" s="492"/>
      <c r="G3" s="492"/>
      <c r="H3" s="492"/>
      <c r="I3" s="492"/>
      <c r="J3" s="492"/>
      <c r="K3" s="492"/>
      <c r="L3" s="492"/>
      <c r="M3" s="492"/>
    </row>
    <row r="4" spans="1:15" s="8" customFormat="1" ht="10.5" customHeight="1">
      <c r="A4" s="471"/>
      <c r="B4" s="471"/>
      <c r="C4" s="471"/>
      <c r="D4" s="471"/>
      <c r="E4" s="471"/>
      <c r="F4" s="471"/>
      <c r="G4" s="471"/>
      <c r="H4" s="471"/>
      <c r="I4" s="471"/>
      <c r="J4" s="471"/>
      <c r="K4" s="471"/>
      <c r="L4" s="471"/>
      <c r="M4" s="471"/>
    </row>
    <row r="5" spans="1:15" ht="36" customHeight="1">
      <c r="A5" s="491" t="s">
        <v>183</v>
      </c>
      <c r="B5" s="491"/>
      <c r="C5" s="491"/>
      <c r="D5" s="491"/>
      <c r="E5" s="491"/>
      <c r="F5" s="491"/>
      <c r="G5" s="491"/>
      <c r="H5" s="491"/>
      <c r="I5" s="491"/>
      <c r="J5" s="491"/>
      <c r="K5" s="491"/>
      <c r="N5" s="273"/>
    </row>
    <row r="6" spans="1:15" ht="76.5">
      <c r="A6" s="86" t="s">
        <v>24</v>
      </c>
      <c r="B6" s="307" t="s">
        <v>248</v>
      </c>
      <c r="C6" s="91" t="s">
        <v>245</v>
      </c>
      <c r="D6" s="91" t="s">
        <v>247</v>
      </c>
      <c r="E6" s="91" t="s">
        <v>198</v>
      </c>
      <c r="F6" s="91" t="s">
        <v>199</v>
      </c>
      <c r="G6" s="91" t="s">
        <v>246</v>
      </c>
      <c r="H6" s="91" t="s">
        <v>200</v>
      </c>
      <c r="I6" s="91" t="s">
        <v>201</v>
      </c>
      <c r="J6" s="91" t="s">
        <v>202</v>
      </c>
      <c r="K6" s="331" t="s">
        <v>203</v>
      </c>
      <c r="L6" s="333" t="s">
        <v>213</v>
      </c>
      <c r="M6" s="332" t="s">
        <v>214</v>
      </c>
    </row>
    <row r="7" spans="1:15" ht="18" customHeight="1">
      <c r="A7" s="90" t="str">
        <f>'2011 Existing Rates'!A8</f>
        <v>Residential</v>
      </c>
      <c r="B7" s="308">
        <f>'[3]O1 Revenue to cost|RR'!$D$40</f>
        <v>2496517.9829430152</v>
      </c>
      <c r="C7" s="276">
        <f>'2012 Test Yr On Existing Rates'!K9*'Cost Allocation Study'!$C$16</f>
        <v>2012553.9930712355</v>
      </c>
      <c r="D7" s="388">
        <f>'[3]O1 Revenue to cost|RR'!$D$24</f>
        <v>433230.37743655441</v>
      </c>
      <c r="E7" s="311">
        <f>C7+D7</f>
        <v>2445784.3705077898</v>
      </c>
      <c r="F7" s="312">
        <f>E7/B7</f>
        <v>0.97967825075491022</v>
      </c>
      <c r="G7" s="313">
        <f>'[3]O1 Revenue to cost|RR'!$D$75</f>
        <v>0.97967825075491033</v>
      </c>
      <c r="H7" s="317">
        <v>1.0089999999999999</v>
      </c>
      <c r="I7" s="114">
        <f t="shared" ref="I7:I15" si="0">B7*H7</f>
        <v>2518986.644789502</v>
      </c>
      <c r="J7" s="114">
        <f t="shared" ref="J7:J15" si="1">D7</f>
        <v>433230.37743655441</v>
      </c>
      <c r="K7" s="311">
        <f t="shared" ref="K7:K15" si="2">I7-J7</f>
        <v>2085756.2673529475</v>
      </c>
      <c r="L7" s="334">
        <v>0.85</v>
      </c>
      <c r="M7" s="335">
        <v>1.1499999999999999</v>
      </c>
      <c r="O7" s="1"/>
    </row>
    <row r="8" spans="1:15" ht="18" customHeight="1">
      <c r="A8" s="90" t="str">
        <f>'2011 Existing Rates'!A9</f>
        <v>GS &lt; 50 kW</v>
      </c>
      <c r="B8" s="308">
        <f>'[3]O1 Revenue to cost|RR'!$E$40</f>
        <v>531270.72028161248</v>
      </c>
      <c r="C8" s="276">
        <f>'2012 Test Yr On Existing Rates'!K10*'Cost Allocation Study'!$C$16</f>
        <v>207878.22631635482</v>
      </c>
      <c r="D8" s="388">
        <f>'[3]O1 Revenue to cost|RR'!$E$24</f>
        <v>82016.576199767384</v>
      </c>
      <c r="E8" s="311">
        <f t="shared" ref="E8:E15" si="3">C8+D8</f>
        <v>289894.80251612223</v>
      </c>
      <c r="F8" s="312">
        <f t="shared" ref="F8:F15" si="4">E8/B8</f>
        <v>0.54566305171581209</v>
      </c>
      <c r="G8" s="313">
        <f>'[3]O1 Revenue to cost|RR'!$E$75</f>
        <v>0.54566305171581209</v>
      </c>
      <c r="H8" s="317">
        <v>0.85</v>
      </c>
      <c r="I8" s="114">
        <f t="shared" si="0"/>
        <v>451580.11223937059</v>
      </c>
      <c r="J8" s="114">
        <f t="shared" si="1"/>
        <v>82016.576199767384</v>
      </c>
      <c r="K8" s="311">
        <f t="shared" si="2"/>
        <v>369563.53603960318</v>
      </c>
      <c r="L8" s="334">
        <v>0.8</v>
      </c>
      <c r="M8" s="335">
        <v>1.2</v>
      </c>
      <c r="O8" s="1"/>
    </row>
    <row r="9" spans="1:15" ht="18" customHeight="1">
      <c r="A9" s="90" t="str">
        <f>'2011 Existing Rates'!A10</f>
        <v>GS &gt;50</v>
      </c>
      <c r="B9" s="308">
        <f>'[3]O1 Revenue to cost|RR'!$F$40</f>
        <v>421995.55514393054</v>
      </c>
      <c r="C9" s="276">
        <f>'2012 Test Yr On Existing Rates'!K11*'Cost Allocation Study'!$C$16+'2012 Test Yr On Existing Rates'!K12*'Cost Allocation Study'!$C$16</f>
        <v>823201.25357493106</v>
      </c>
      <c r="D9" s="388">
        <f>'[3]O1 Revenue to cost|RR'!$F$19</f>
        <v>74996.893121371366</v>
      </c>
      <c r="E9" s="311">
        <f t="shared" si="3"/>
        <v>898198.14669630246</v>
      </c>
      <c r="F9" s="312">
        <f t="shared" si="4"/>
        <v>2.1284540458961776</v>
      </c>
      <c r="G9" s="313">
        <f>'[3]O1 Revenue to cost|RR'!$F$75</f>
        <v>2.128454045896178</v>
      </c>
      <c r="H9" s="317">
        <v>1.2</v>
      </c>
      <c r="I9" s="114">
        <f t="shared" si="0"/>
        <v>506394.66617271665</v>
      </c>
      <c r="J9" s="114">
        <f t="shared" si="1"/>
        <v>74996.893121371366</v>
      </c>
      <c r="K9" s="311">
        <f t="shared" si="2"/>
        <v>431397.77305134526</v>
      </c>
      <c r="L9" s="334">
        <v>0.8</v>
      </c>
      <c r="M9" s="335">
        <v>1.2</v>
      </c>
      <c r="O9" s="1"/>
    </row>
    <row r="10" spans="1:15" ht="18" hidden="1" customHeight="1">
      <c r="A10" s="90" t="str">
        <f>'2011 Existing Rates'!A11</f>
        <v xml:space="preserve">   </v>
      </c>
      <c r="B10" s="308"/>
      <c r="C10" s="276"/>
      <c r="D10" s="388"/>
      <c r="E10" s="311">
        <f t="shared" si="3"/>
        <v>0</v>
      </c>
      <c r="F10" s="312"/>
      <c r="G10" s="313"/>
      <c r="H10" s="317"/>
      <c r="I10" s="114">
        <f t="shared" si="0"/>
        <v>0</v>
      </c>
      <c r="J10" s="114">
        <f t="shared" si="1"/>
        <v>0</v>
      </c>
      <c r="K10" s="311">
        <f t="shared" si="2"/>
        <v>0</v>
      </c>
      <c r="L10" s="334">
        <v>0.85</v>
      </c>
      <c r="M10" s="335">
        <v>1.1499999999999999</v>
      </c>
      <c r="O10" s="1"/>
    </row>
    <row r="11" spans="1:15" ht="18" customHeight="1">
      <c r="A11" s="90" t="str">
        <f>'2011 Existing Rates'!A12</f>
        <v>Sentinel Lights</v>
      </c>
      <c r="B11" s="308">
        <f>'[3]O1 Revenue to cost|RR'!$K$40</f>
        <v>470.04477245160507</v>
      </c>
      <c r="C11" s="276">
        <f>'2012 Test Yr On Existing Rates'!K13*'Cost Allocation Study'!$C$16</f>
        <v>43.122170538656697</v>
      </c>
      <c r="D11" s="388">
        <f>'[3]O1 Revenue to cost|RR'!$K$24</f>
        <v>65.431459918364652</v>
      </c>
      <c r="E11" s="311">
        <f t="shared" si="3"/>
        <v>108.55363045702134</v>
      </c>
      <c r="F11" s="312">
        <f t="shared" si="4"/>
        <v>0.230943171415012</v>
      </c>
      <c r="G11" s="313">
        <f>'[3]O1 Revenue to cost|RR'!$K$75</f>
        <v>0.23094317141501203</v>
      </c>
      <c r="H11" s="317">
        <f>H8</f>
        <v>0.85</v>
      </c>
      <c r="I11" s="114">
        <f t="shared" si="0"/>
        <v>399.53805658386432</v>
      </c>
      <c r="J11" s="114">
        <f t="shared" si="1"/>
        <v>65.431459918364652</v>
      </c>
      <c r="K11" s="311">
        <f t="shared" si="2"/>
        <v>334.10659666549964</v>
      </c>
      <c r="L11" s="334">
        <v>0.8</v>
      </c>
      <c r="M11" s="335">
        <v>1.2</v>
      </c>
      <c r="O11" s="1"/>
    </row>
    <row r="12" spans="1:15" ht="18" customHeight="1">
      <c r="A12" s="90" t="str">
        <f>'2011 Existing Rates'!A13</f>
        <v>Street Lighting</v>
      </c>
      <c r="B12" s="308">
        <f>'[3]O1 Revenue to cost|RR'!$J$40</f>
        <v>143316.97721926565</v>
      </c>
      <c r="C12" s="276">
        <f>'2012 Test Yr On Existing Rates'!K14*'Cost Allocation Study'!$C$16</f>
        <v>891.23284951583855</v>
      </c>
      <c r="D12" s="388">
        <f>'[3]O1 Revenue to cost|RR'!$J$24</f>
        <v>18450.779499524469</v>
      </c>
      <c r="E12" s="311">
        <f t="shared" si="3"/>
        <v>19342.012349040309</v>
      </c>
      <c r="F12" s="312">
        <f t="shared" si="4"/>
        <v>0.13495967277797305</v>
      </c>
      <c r="G12" s="313">
        <f>'[3]O1 Revenue to cost|RR'!$J$75</f>
        <v>0.13495967277797305</v>
      </c>
      <c r="H12" s="317">
        <f>H8</f>
        <v>0.85</v>
      </c>
      <c r="I12" s="114">
        <f t="shared" si="0"/>
        <v>121819.43063637581</v>
      </c>
      <c r="J12" s="114">
        <f t="shared" si="1"/>
        <v>18450.779499524469</v>
      </c>
      <c r="K12" s="311">
        <f t="shared" si="2"/>
        <v>103368.65113685135</v>
      </c>
      <c r="L12" s="334">
        <v>0.7</v>
      </c>
      <c r="M12" s="335">
        <v>1.2</v>
      </c>
      <c r="O12" s="1"/>
    </row>
    <row r="13" spans="1:15" ht="18" customHeight="1">
      <c r="A13" s="90" t="str">
        <f>'2011 Existing Rates'!A14</f>
        <v>USL</v>
      </c>
      <c r="B13" s="308">
        <f>'[3]O1 Revenue to cost|RR'!$L$40</f>
        <v>3839.3326841773132</v>
      </c>
      <c r="C13" s="276">
        <f>'2012 Test Yr On Existing Rates'!K15*'Cost Allocation Study'!$C$16</f>
        <v>2351.9003585209957</v>
      </c>
      <c r="D13" s="388">
        <f>'[3]O1 Revenue to cost|RR'!$L$24</f>
        <v>574.96317779088724</v>
      </c>
      <c r="E13" s="311">
        <f t="shared" si="3"/>
        <v>2926.8635363118829</v>
      </c>
      <c r="F13" s="312">
        <f t="shared" si="4"/>
        <v>0.76233652487946535</v>
      </c>
      <c r="G13" s="313">
        <f>'[3]O1 Revenue to cost|RR'!$L$75</f>
        <v>0.76233652487946557</v>
      </c>
      <c r="H13" s="317">
        <f>H8</f>
        <v>0.85</v>
      </c>
      <c r="I13" s="114">
        <f t="shared" si="0"/>
        <v>3263.4327815507163</v>
      </c>
      <c r="J13" s="114">
        <f t="shared" si="1"/>
        <v>574.96317779088724</v>
      </c>
      <c r="K13" s="311">
        <f t="shared" si="2"/>
        <v>2688.4696037598292</v>
      </c>
      <c r="L13" s="334">
        <v>0.8</v>
      </c>
      <c r="M13" s="335">
        <v>1.2</v>
      </c>
      <c r="O13" s="1"/>
    </row>
    <row r="14" spans="1:15" ht="18" hidden="1" customHeight="1">
      <c r="A14" s="90" t="str">
        <f>'2011 Existing Rates'!A15</f>
        <v xml:space="preserve">   </v>
      </c>
      <c r="B14" s="390"/>
      <c r="C14" s="276">
        <f>'2012 Test Yr On Existing Rates'!K16*'Cost Allocation Study'!$C$16</f>
        <v>0</v>
      </c>
      <c r="D14" s="391"/>
      <c r="E14" s="311">
        <f t="shared" si="3"/>
        <v>0</v>
      </c>
      <c r="F14" s="312"/>
      <c r="G14" s="392"/>
      <c r="H14" s="317"/>
      <c r="I14" s="114">
        <f t="shared" si="0"/>
        <v>0</v>
      </c>
      <c r="J14" s="114">
        <f t="shared" si="1"/>
        <v>0</v>
      </c>
      <c r="K14" s="311">
        <f t="shared" si="2"/>
        <v>0</v>
      </c>
      <c r="L14" s="334">
        <v>0.8</v>
      </c>
      <c r="M14" s="335">
        <v>1.2</v>
      </c>
      <c r="O14" s="1"/>
    </row>
    <row r="15" spans="1:15" ht="18" customHeight="1">
      <c r="A15" s="90" t="str">
        <f>'2011 Existing Rates'!A16</f>
        <v xml:space="preserve">Hydro One </v>
      </c>
      <c r="B15" s="390">
        <f>'[3]O1 Revenue to cost|RR'!$M$40</f>
        <v>127674.46763773449</v>
      </c>
      <c r="C15" s="276">
        <f>'2012 Test Yr On Existing Rates'!K17*'Cost Allocation Study'!$C$16</f>
        <v>50360.227341090183</v>
      </c>
      <c r="D15" s="391">
        <f>'[3]O1 Revenue to cost|RR'!$M$24</f>
        <v>18470.104105073067</v>
      </c>
      <c r="E15" s="311">
        <f t="shared" si="3"/>
        <v>68830.331446163254</v>
      </c>
      <c r="F15" s="312">
        <f t="shared" si="4"/>
        <v>0.53910803561338128</v>
      </c>
      <c r="G15" s="392">
        <f>'[3]O1 Revenue to cost|RR'!$M$75</f>
        <v>0.53910803561338128</v>
      </c>
      <c r="H15" s="317">
        <v>1</v>
      </c>
      <c r="I15" s="114">
        <f t="shared" si="0"/>
        <v>127674.46763773449</v>
      </c>
      <c r="J15" s="114">
        <f t="shared" si="1"/>
        <v>18470.104105073067</v>
      </c>
      <c r="K15" s="311">
        <f t="shared" si="2"/>
        <v>109204.36353266142</v>
      </c>
      <c r="L15" s="334">
        <v>0.85</v>
      </c>
      <c r="M15" s="335">
        <v>1.1499999999999999</v>
      </c>
      <c r="O15" s="1"/>
    </row>
    <row r="16" spans="1:15" ht="18" customHeight="1" thickBot="1">
      <c r="A16" s="92" t="s">
        <v>1</v>
      </c>
      <c r="B16" s="309">
        <f>SUM(B7:B15)</f>
        <v>3725085.0806821878</v>
      </c>
      <c r="C16" s="93">
        <f>'Revenue Input'!B10</f>
        <v>3097279.9556821873</v>
      </c>
      <c r="D16" s="309">
        <f>SUM(D7:D15)</f>
        <v>627805.125</v>
      </c>
      <c r="E16" s="309">
        <f>SUM(E7:E15)</f>
        <v>3725085.0806821869</v>
      </c>
      <c r="F16" s="312">
        <f>E16/B16</f>
        <v>0.99999999999999978</v>
      </c>
      <c r="G16" s="314">
        <v>0.99999999645576809</v>
      </c>
      <c r="H16" s="94"/>
      <c r="I16" s="309">
        <f>SUM(I7:I15)</f>
        <v>3730118.2923138342</v>
      </c>
      <c r="J16" s="309">
        <f>SUM(J7:J15)</f>
        <v>627805.125</v>
      </c>
      <c r="K16" s="309">
        <f>SUM(K7:K15)</f>
        <v>3102313.1673138342</v>
      </c>
      <c r="L16" s="311"/>
      <c r="M16" s="336"/>
    </row>
    <row r="17" spans="2:12" ht="13.5" customHeight="1"/>
    <row r="18" spans="2:12">
      <c r="B18" s="310">
        <f>'Revenue Input'!B8</f>
        <v>3725085.0806821873</v>
      </c>
      <c r="K18" s="310">
        <f>'Revenue Input'!B10</f>
        <v>3097279.9556821873</v>
      </c>
    </row>
    <row r="19" spans="2:12">
      <c r="L19" t="s">
        <v>204</v>
      </c>
    </row>
    <row r="20" spans="2:12">
      <c r="B20" s="316">
        <f>B16-B18</f>
        <v>0</v>
      </c>
      <c r="C20" t="s">
        <v>197</v>
      </c>
      <c r="K20" s="316">
        <f>K16-K18</f>
        <v>5033.2116316468455</v>
      </c>
    </row>
  </sheetData>
  <mergeCells count="5">
    <mergeCell ref="A5:K5"/>
    <mergeCell ref="A1:M1"/>
    <mergeCell ref="A2:M2"/>
    <mergeCell ref="A3:M3"/>
    <mergeCell ref="A4:M4"/>
  </mergeCells>
  <phoneticPr fontId="0" type="noConversion"/>
  <pageMargins left="0.75" right="0.75" top="1" bottom="1" header="0.5" footer="0.5"/>
  <pageSetup scale="54" orientation="landscape" verticalDpi="35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M50"/>
  <sheetViews>
    <sheetView view="pageBreakPreview" zoomScale="60" zoomScaleNormal="100" workbookViewId="0">
      <selection activeCell="A7" sqref="A7:E17"/>
    </sheetView>
  </sheetViews>
  <sheetFormatPr defaultRowHeight="12.75"/>
  <cols>
    <col min="1" max="1" width="32.7109375" bestFit="1" customWidth="1"/>
    <col min="2" max="2" width="18.7109375" style="315" bestFit="1" customWidth="1"/>
    <col min="3" max="3" width="15" bestFit="1" customWidth="1"/>
    <col min="4" max="4" width="14" customWidth="1"/>
    <col min="5" max="5" width="19.28515625" customWidth="1"/>
    <col min="6" max="6" width="18.85546875" bestFit="1" customWidth="1"/>
    <col min="7" max="7" width="15" customWidth="1"/>
    <col min="8" max="8" width="13.28515625" bestFit="1" customWidth="1"/>
    <col min="9" max="9" width="15.5703125" bestFit="1" customWidth="1"/>
    <col min="10" max="10" width="14.140625" bestFit="1" customWidth="1"/>
    <col min="11" max="11" width="16.28515625" bestFit="1" customWidth="1"/>
    <col min="13" max="13" width="13.42578125" bestFit="1" customWidth="1"/>
  </cols>
  <sheetData>
    <row r="1" spans="1:11">
      <c r="A1" s="493" t="str">
        <f>+'Revenue Input'!A1</f>
        <v xml:space="preserve">E.L.K. Energy Inc., </v>
      </c>
      <c r="B1" s="493"/>
      <c r="C1" s="493"/>
      <c r="D1" s="493"/>
      <c r="E1" s="493"/>
      <c r="F1" s="493"/>
      <c r="G1" s="493"/>
      <c r="H1" s="493"/>
      <c r="I1" s="493"/>
      <c r="J1" s="493"/>
      <c r="K1" s="493"/>
    </row>
    <row r="2" spans="1:11">
      <c r="A2" s="493" t="str">
        <f>+'Revenue Input'!A2</f>
        <v>ED-2003-0015 , EB-2011-099</v>
      </c>
      <c r="B2" s="493"/>
      <c r="C2" s="493"/>
      <c r="D2" s="493"/>
      <c r="E2" s="493"/>
      <c r="F2" s="493"/>
      <c r="G2" s="493"/>
      <c r="H2" s="493"/>
      <c r="I2" s="493"/>
      <c r="J2" s="493"/>
      <c r="K2" s="493"/>
    </row>
    <row r="3" spans="1:11">
      <c r="A3" s="493">
        <f>+'Revenue Input'!A3</f>
        <v>0</v>
      </c>
      <c r="B3" s="493"/>
      <c r="C3" s="493"/>
      <c r="D3" s="493"/>
      <c r="E3" s="493"/>
      <c r="F3" s="493"/>
      <c r="G3" s="493"/>
      <c r="H3" s="493"/>
      <c r="I3" s="493"/>
      <c r="J3" s="493"/>
      <c r="K3" s="493"/>
    </row>
    <row r="4" spans="1:11">
      <c r="A4" s="471"/>
      <c r="B4" s="471"/>
      <c r="C4" s="471"/>
      <c r="D4" s="471"/>
      <c r="E4" s="471"/>
      <c r="F4" s="471"/>
      <c r="G4" s="471"/>
      <c r="H4" s="471"/>
      <c r="I4" s="471"/>
      <c r="J4" s="471"/>
      <c r="K4" s="471"/>
    </row>
    <row r="5" spans="1:11" ht="15.75">
      <c r="A5" s="495" t="s">
        <v>249</v>
      </c>
      <c r="B5" s="495"/>
      <c r="C5" s="495"/>
      <c r="D5" s="495"/>
      <c r="E5" s="495"/>
      <c r="F5" s="495"/>
      <c r="G5" s="495"/>
      <c r="H5" s="495"/>
      <c r="I5" s="495"/>
      <c r="J5" s="495"/>
      <c r="K5" s="495"/>
    </row>
    <row r="6" spans="1:11">
      <c r="A6" s="496"/>
      <c r="B6" s="496"/>
      <c r="C6" s="496"/>
      <c r="D6" s="496"/>
      <c r="E6" s="496"/>
      <c r="F6" s="496"/>
      <c r="G6" s="496"/>
      <c r="H6" s="496"/>
      <c r="I6" s="496"/>
      <c r="J6" s="496"/>
      <c r="K6" s="496"/>
    </row>
    <row r="7" spans="1:11" ht="38.25">
      <c r="A7" s="91" t="s">
        <v>0</v>
      </c>
      <c r="B7" s="307" t="s">
        <v>148</v>
      </c>
      <c r="C7" s="91" t="s">
        <v>130</v>
      </c>
      <c r="D7" s="91" t="s">
        <v>2</v>
      </c>
      <c r="E7" s="91" t="s">
        <v>3</v>
      </c>
      <c r="F7" s="91" t="s">
        <v>4</v>
      </c>
      <c r="G7" s="91" t="s">
        <v>5</v>
      </c>
      <c r="H7" s="91" t="s">
        <v>6</v>
      </c>
      <c r="I7" s="91" t="s">
        <v>149</v>
      </c>
      <c r="J7" s="91" t="s">
        <v>42</v>
      </c>
      <c r="K7" s="91" t="s">
        <v>41</v>
      </c>
    </row>
    <row r="8" spans="1:11" ht="18" customHeight="1">
      <c r="A8" s="104" t="str">
        <f>'Cost Allocation Study'!A7</f>
        <v>Residential</v>
      </c>
      <c r="B8" s="114">
        <f>'Cost Allocation Study'!K7</f>
        <v>2085756.2673529475</v>
      </c>
      <c r="C8" s="95">
        <f>+B8/$B$17</f>
        <v>0.67232292643070535</v>
      </c>
      <c r="D8" s="112">
        <f>MIN(E26,G26)</f>
        <v>11.070500903045732</v>
      </c>
      <c r="E8" s="105">
        <f>+G8/'Forecast Data For 2012'!C8</f>
        <v>7.8577679365733361E-3</v>
      </c>
      <c r="F8" s="106">
        <f>+D8*'Forecast Data For 2012'!C7*12</f>
        <v>1331572.1163305147</v>
      </c>
      <c r="G8" s="106">
        <f>+B8-F8</f>
        <v>754184.15102243284</v>
      </c>
      <c r="H8" s="107"/>
      <c r="I8" s="289">
        <f>+F8+G8+H8</f>
        <v>2085756.2673529475</v>
      </c>
      <c r="J8" s="289">
        <f>+'Allocation Low Voltage Costs'!F8</f>
        <v>115181.6884552167</v>
      </c>
      <c r="K8" s="289">
        <f>+I8+J8</f>
        <v>2200937.9558081641</v>
      </c>
    </row>
    <row r="9" spans="1:11" ht="18" customHeight="1">
      <c r="A9" s="104" t="str">
        <f>'Cost Allocation Study'!A8</f>
        <v>GS &lt; 50 kW</v>
      </c>
      <c r="B9" s="114">
        <f>'Cost Allocation Study'!K8</f>
        <v>369563.53603960318</v>
      </c>
      <c r="C9" s="95">
        <f t="shared" ref="C9:C16" si="0">+B9/$B$17</f>
        <v>0.1191251547178885</v>
      </c>
      <c r="D9" s="112">
        <f>MIN(E27,G27)</f>
        <v>14.955584350171449</v>
      </c>
      <c r="E9" s="105">
        <f>+G9/'Forecast Data For 2012'!C10</f>
        <v>4.6511610773674614E-3</v>
      </c>
      <c r="F9" s="106">
        <f>+D9*'Forecast Data For 2012'!C9*12</f>
        <v>217959.11935009737</v>
      </c>
      <c r="G9" s="106">
        <f t="shared" ref="G9:G16" si="1">+B9-F9</f>
        <v>151604.4166895058</v>
      </c>
      <c r="H9" s="107"/>
      <c r="I9" s="289">
        <f t="shared" ref="I9:I16" si="2">+F9+G9+H9</f>
        <v>369563.53603960318</v>
      </c>
      <c r="J9" s="289">
        <f>+'Allocation Low Voltage Costs'!F9</f>
        <v>35639.126758396196</v>
      </c>
      <c r="K9" s="289">
        <f t="shared" ref="K9:K16" si="3">+I9+J9</f>
        <v>405202.66279799939</v>
      </c>
    </row>
    <row r="10" spans="1:11" ht="18" customHeight="1">
      <c r="A10" s="104" t="str">
        <f>'Cost Allocation Study'!A9</f>
        <v>GS &gt;50</v>
      </c>
      <c r="B10" s="114">
        <f>'Cost Allocation Study'!K9</f>
        <v>431397.77305134526</v>
      </c>
      <c r="C10" s="95">
        <f t="shared" si="0"/>
        <v>0.13905681012367779</v>
      </c>
      <c r="D10" s="463">
        <f>(E28+G28)/2</f>
        <v>177.31503049704634</v>
      </c>
      <c r="E10" s="105">
        <f>(+G10+H10)/'Forecast Data For 2012'!C12</f>
        <v>1.5002212599527456</v>
      </c>
      <c r="F10" s="106">
        <f>+D10*'Forecast Data For 2012'!C11*12</f>
        <v>198867.5633996508</v>
      </c>
      <c r="G10" s="106">
        <f t="shared" si="1"/>
        <v>232530.20965169446</v>
      </c>
      <c r="H10" s="106">
        <f>-'Transformer Allowance'!C12</f>
        <v>88617.524155018124</v>
      </c>
      <c r="I10" s="289">
        <f t="shared" si="2"/>
        <v>520015.29720636341</v>
      </c>
      <c r="J10" s="289">
        <f>+'Allocation Low Voltage Costs'!F10</f>
        <v>92727.492149425598</v>
      </c>
      <c r="K10" s="289">
        <f t="shared" si="3"/>
        <v>612742.78935578896</v>
      </c>
    </row>
    <row r="11" spans="1:11" ht="18" hidden="1" customHeight="1">
      <c r="A11" s="104" t="str">
        <f>'Cost Allocation Study'!A10</f>
        <v xml:space="preserve">   </v>
      </c>
      <c r="B11" s="114">
        <f>'Cost Allocation Study'!K10</f>
        <v>0</v>
      </c>
      <c r="C11" s="95">
        <f t="shared" si="0"/>
        <v>0</v>
      </c>
      <c r="D11" s="112"/>
      <c r="E11" s="105" t="e">
        <f>(+G11+H11)/'Forecast Data For 2012'!C15</f>
        <v>#DIV/0!</v>
      </c>
      <c r="F11" s="106">
        <f>+D11*'Forecast Data For 2012'!C14*12</f>
        <v>0</v>
      </c>
      <c r="G11" s="106">
        <f t="shared" si="1"/>
        <v>0</v>
      </c>
      <c r="H11" s="106"/>
      <c r="I11" s="289">
        <f t="shared" si="2"/>
        <v>0</v>
      </c>
      <c r="J11" s="289"/>
      <c r="K11" s="289">
        <f t="shared" si="3"/>
        <v>0</v>
      </c>
    </row>
    <row r="12" spans="1:11" ht="18" customHeight="1">
      <c r="A12" s="104" t="str">
        <f>'Cost Allocation Study'!A11</f>
        <v>Sentinel Lights</v>
      </c>
      <c r="B12" s="114">
        <f>'Cost Allocation Study'!K11</f>
        <v>334.10659666549964</v>
      </c>
      <c r="C12" s="95">
        <f t="shared" si="0"/>
        <v>1.0769596060954376E-4</v>
      </c>
      <c r="D12" s="112">
        <f>MIN(E30,G30)</f>
        <v>2.9744078573687562</v>
      </c>
      <c r="E12" s="105">
        <f>(+G12+H12)/'Forecast Data For 2012'!C18</f>
        <v>5.5829635482811533</v>
      </c>
      <c r="F12" s="106">
        <f>+D12*'Forecast Data For 2012'!C17*12</f>
        <v>249.85026001897552</v>
      </c>
      <c r="G12" s="106">
        <f t="shared" si="1"/>
        <v>84.256336646524119</v>
      </c>
      <c r="H12" s="107"/>
      <c r="I12" s="289">
        <f t="shared" si="2"/>
        <v>334.10659666549964</v>
      </c>
      <c r="J12" s="289">
        <f>+'Allocation Low Voltage Costs'!F12</f>
        <v>5.1632518504817453</v>
      </c>
      <c r="K12" s="289">
        <f t="shared" si="3"/>
        <v>339.26984851598138</v>
      </c>
    </row>
    <row r="13" spans="1:11" ht="18" customHeight="1">
      <c r="A13" s="104" t="str">
        <f>'Cost Allocation Study'!A12</f>
        <v>Street Lighting</v>
      </c>
      <c r="B13" s="114">
        <f>'Cost Allocation Study'!K12</f>
        <v>103368.65113685135</v>
      </c>
      <c r="C13" s="95">
        <f t="shared" si="0"/>
        <v>3.3319863457354958E-2</v>
      </c>
      <c r="D13" s="112">
        <f>MIN(E31,G31)</f>
        <v>1.1131501629763576</v>
      </c>
      <c r="E13" s="105">
        <f>+G13/'Forecast Data For 2012'!C21</f>
        <v>10.842082587389722</v>
      </c>
      <c r="F13" s="106">
        <f>+D13*'Forecast Data For 2012'!C20*12</f>
        <v>37417.789877048315</v>
      </c>
      <c r="G13" s="106">
        <f t="shared" si="1"/>
        <v>65950.86125980303</v>
      </c>
      <c r="H13" s="107"/>
      <c r="I13" s="289">
        <f t="shared" si="2"/>
        <v>103368.65113685135</v>
      </c>
      <c r="J13" s="289">
        <f>+'Allocation Low Voltage Costs'!F11</f>
        <v>2038.2759356097679</v>
      </c>
      <c r="K13" s="289">
        <f t="shared" si="3"/>
        <v>105406.92707246111</v>
      </c>
    </row>
    <row r="14" spans="1:11" ht="18" customHeight="1">
      <c r="A14" s="104" t="str">
        <f>'Cost Allocation Study'!A13</f>
        <v>USL</v>
      </c>
      <c r="B14" s="114">
        <f>'Cost Allocation Study'!K13</f>
        <v>2688.4696037598292</v>
      </c>
      <c r="C14" s="95">
        <f t="shared" si="0"/>
        <v>8.6660161587995472E-4</v>
      </c>
      <c r="D14" s="112">
        <f>MIN(E32,G32)</f>
        <v>6.0778792504974213</v>
      </c>
      <c r="E14" s="105">
        <f>+G14/'Forecast Data For 2012'!C24</f>
        <v>1.8650531996111258E-3</v>
      </c>
      <c r="F14" s="106">
        <f>+D14*'Forecast Data For 2012'!C23*12</f>
        <v>2335.9905594538195</v>
      </c>
      <c r="G14" s="106">
        <f t="shared" si="1"/>
        <v>352.47904430600965</v>
      </c>
      <c r="H14" s="107"/>
      <c r="I14" s="289">
        <f t="shared" si="2"/>
        <v>2688.4696037598292</v>
      </c>
      <c r="J14" s="289">
        <f>+'Allocation Low Voltage Costs'!F13</f>
        <v>206.64202950682696</v>
      </c>
      <c r="K14" s="289">
        <f t="shared" si="3"/>
        <v>2895.1116332666561</v>
      </c>
    </row>
    <row r="15" spans="1:11" ht="18" hidden="1" customHeight="1">
      <c r="A15" s="104" t="str">
        <f>'Cost Allocation Study'!A14</f>
        <v xml:space="preserve">   </v>
      </c>
      <c r="B15" s="114">
        <f>'Cost Allocation Study'!K14</f>
        <v>0</v>
      </c>
      <c r="C15" s="95">
        <f t="shared" si="0"/>
        <v>0</v>
      </c>
      <c r="D15" s="395"/>
      <c r="E15" s="105" t="e">
        <f>+G15/'Forecast Data For 2012'!C26</f>
        <v>#DIV/0!</v>
      </c>
      <c r="F15" s="106">
        <f>+D15*'Forecast Data For 2012'!C24*12</f>
        <v>0</v>
      </c>
      <c r="G15" s="106">
        <f t="shared" si="1"/>
        <v>0</v>
      </c>
      <c r="H15" s="396"/>
      <c r="I15" s="289">
        <f t="shared" si="2"/>
        <v>0</v>
      </c>
      <c r="J15" s="289">
        <f>+'Allocation Low Voltage Costs'!F15</f>
        <v>0</v>
      </c>
      <c r="K15" s="289">
        <f t="shared" si="3"/>
        <v>0</v>
      </c>
    </row>
    <row r="16" spans="1:11" ht="18" customHeight="1">
      <c r="A16" s="104" t="str">
        <f>'Cost Allocation Study'!A15</f>
        <v xml:space="preserve">Hydro One </v>
      </c>
      <c r="B16" s="114">
        <f>'Cost Allocation Study'!K15</f>
        <v>109204.36353266142</v>
      </c>
      <c r="C16" s="95">
        <f t="shared" si="0"/>
        <v>3.5200947693883849E-2</v>
      </c>
      <c r="D16" s="395">
        <f>E34</f>
        <v>1753.2850728122821</v>
      </c>
      <c r="E16" s="105">
        <f>+G16/'Forecast Data For 2012'!C28</f>
        <v>0.26077110763057615</v>
      </c>
      <c r="F16" s="407">
        <f>D16*'Forecast Data For 2012'!C27*12</f>
        <v>84157.683494989542</v>
      </c>
      <c r="G16" s="106">
        <f t="shared" si="1"/>
        <v>25046.680037671875</v>
      </c>
      <c r="H16" s="396"/>
      <c r="I16" s="289">
        <f t="shared" si="2"/>
        <v>109204.36353266142</v>
      </c>
      <c r="J16" s="289">
        <f>+'Allocation Low Voltage Costs'!F14</f>
        <v>41605.396419994489</v>
      </c>
      <c r="K16" s="289">
        <f t="shared" si="3"/>
        <v>150809.75995265591</v>
      </c>
    </row>
    <row r="17" spans="1:13" ht="18" customHeight="1" thickBot="1">
      <c r="A17" s="98" t="s">
        <v>1</v>
      </c>
      <c r="B17" s="318">
        <f>SUM(B8:B16)</f>
        <v>3102313.1673138342</v>
      </c>
      <c r="C17" s="397">
        <f>SUM(C8:C16)</f>
        <v>0.99999999999999989</v>
      </c>
      <c r="D17" s="102"/>
      <c r="E17" s="103"/>
      <c r="F17" s="101">
        <f t="shared" ref="F17:K17" si="4">SUM(F8:F16)</f>
        <v>1872560.1132717736</v>
      </c>
      <c r="G17" s="101">
        <f t="shared" si="4"/>
        <v>1229753.0540420606</v>
      </c>
      <c r="H17" s="101">
        <f t="shared" si="4"/>
        <v>88617.524155018124</v>
      </c>
      <c r="I17" s="101">
        <f t="shared" si="4"/>
        <v>3190930.6914688526</v>
      </c>
      <c r="J17" s="101">
        <f t="shared" si="4"/>
        <v>287403.78500000003</v>
      </c>
      <c r="K17" s="101">
        <f t="shared" si="4"/>
        <v>3478334.4764688527</v>
      </c>
      <c r="M17" s="408"/>
    </row>
    <row r="18" spans="1:13" ht="18" customHeight="1" thickTop="1" thickBot="1">
      <c r="D18" s="99" t="s">
        <v>138</v>
      </c>
      <c r="E18" s="99"/>
      <c r="F18" s="100">
        <f>+F17/I17</f>
        <v>0.58683822819410558</v>
      </c>
      <c r="G18" s="100">
        <f>+G17/I17</f>
        <v>0.38539008613690051</v>
      </c>
      <c r="H18" s="100">
        <f>+H17/I17</f>
        <v>2.7771685668993837E-2</v>
      </c>
      <c r="I18" s="100">
        <f>F18+G18+H18</f>
        <v>0.99999999999999989</v>
      </c>
    </row>
    <row r="19" spans="1:13" ht="18" customHeight="1">
      <c r="D19" s="16"/>
      <c r="E19" s="16"/>
      <c r="F19" s="302"/>
      <c r="G19" s="302"/>
      <c r="H19" s="302"/>
      <c r="I19" s="302"/>
      <c r="J19" s="8"/>
    </row>
    <row r="20" spans="1:13">
      <c r="G20" s="443">
        <f>E10-H20</f>
        <v>1.0862501191140261</v>
      </c>
      <c r="H20">
        <f>H10/'Forecast Data For 2012'!C12</f>
        <v>0.41397114083871939</v>
      </c>
    </row>
    <row r="21" spans="1:13">
      <c r="D21" s="56"/>
      <c r="E21" s="56"/>
      <c r="F21" s="17"/>
      <c r="G21" s="17"/>
      <c r="H21" s="17"/>
      <c r="I21" s="17"/>
    </row>
    <row r="24" spans="1:13" ht="18">
      <c r="A24" s="494" t="s">
        <v>184</v>
      </c>
      <c r="B24" s="494"/>
      <c r="C24" s="494"/>
      <c r="D24" s="494"/>
      <c r="E24" s="494"/>
      <c r="F24" s="494"/>
      <c r="G24" s="494"/>
      <c r="H24" s="494"/>
    </row>
    <row r="25" spans="1:13" ht="102">
      <c r="A25" s="91" t="s">
        <v>0</v>
      </c>
      <c r="B25" s="307" t="s">
        <v>185</v>
      </c>
      <c r="C25" s="91" t="s">
        <v>186</v>
      </c>
      <c r="D25" s="91" t="s">
        <v>41</v>
      </c>
      <c r="E25" s="91" t="s">
        <v>187</v>
      </c>
      <c r="F25" s="91" t="s">
        <v>250</v>
      </c>
      <c r="G25" s="91" t="s">
        <v>150</v>
      </c>
      <c r="H25" s="91" t="s">
        <v>230</v>
      </c>
      <c r="I25" s="91" t="s">
        <v>231</v>
      </c>
    </row>
    <row r="26" spans="1:13" ht="18" customHeight="1">
      <c r="A26" s="104" t="str">
        <f t="shared" ref="A26:A34" si="5">A8</f>
        <v>Residential</v>
      </c>
      <c r="B26" s="97">
        <f>('2012 Test Yr On Existing Rates'!G9-'2012 Test Yr On Existing Rates'!I9)/'2012 Test Yr On Existing Rates'!J9</f>
        <v>0.3615878627945226</v>
      </c>
      <c r="C26" s="97">
        <f>1-B26</f>
        <v>0.6384121372054774</v>
      </c>
      <c r="D26" s="97">
        <f>SUM(B26:C26)</f>
        <v>1</v>
      </c>
      <c r="E26" s="108">
        <f>+$B$8*$C$26/'Forecast Data For 2012'!$C$7/12</f>
        <v>11.070500903045732</v>
      </c>
      <c r="F26" s="108">
        <f>+'2011 Existing Rates'!C8</f>
        <v>11.13</v>
      </c>
      <c r="G26" s="108">
        <f>'[3]O2 Fixed Charge|Floor|Ceiling'!$D$17</f>
        <v>14.516585930260378</v>
      </c>
      <c r="H26" s="413"/>
      <c r="I26" s="108">
        <f>+B8*H26/'Forecast Data For 2012'!C7/12</f>
        <v>0</v>
      </c>
    </row>
    <row r="27" spans="1:13" ht="18" customHeight="1">
      <c r="A27" s="104" t="str">
        <f t="shared" si="5"/>
        <v>GS &lt; 50 kW</v>
      </c>
      <c r="B27" s="97">
        <f>('2012 Test Yr On Existing Rates'!G10-'2012 Test Yr On Existing Rates'!I10)/'2012 Test Yr On Existing Rates'!J10</f>
        <v>0.25582706185980414</v>
      </c>
      <c r="C27" s="97">
        <f t="shared" ref="C27:C34" si="6">1-B27</f>
        <v>0.74417293814019581</v>
      </c>
      <c r="D27" s="97">
        <f t="shared" ref="D27:D34" si="7">SUM(B27:C27)</f>
        <v>1</v>
      </c>
      <c r="E27" s="108">
        <f>+B9*C27/'Forecast Data For 2012'!C9/12</f>
        <v>18.870844189597182</v>
      </c>
      <c r="F27" s="108">
        <f>+'2011 Existing Rates'!C9</f>
        <v>11.06</v>
      </c>
      <c r="G27" s="108">
        <f>'[3]O2 Fixed Charge|Floor|Ceiling'!$E$17</f>
        <v>14.955584350171449</v>
      </c>
      <c r="H27" s="413"/>
      <c r="I27" s="108">
        <f>+B9*H27/'Forecast Data For 2012'!C9/12</f>
        <v>0</v>
      </c>
    </row>
    <row r="28" spans="1:13" ht="18" customHeight="1">
      <c r="A28" s="104" t="str">
        <f t="shared" si="5"/>
        <v>GS &gt;50</v>
      </c>
      <c r="B28" s="97">
        <f>('2012 Test Yr On Existing Rates'!G11+'2012 Test Yr On Existing Rates'!G12-'2012 Test Yr On Existing Rates'!I11)/('2012 Test Yr On Existing Rates'!J11+'2012 Test Yr On Existing Rates'!J12)</f>
        <v>0.42292778986047647</v>
      </c>
      <c r="C28" s="97">
        <f t="shared" si="6"/>
        <v>0.57707221013952359</v>
      </c>
      <c r="D28" s="97">
        <f t="shared" si="7"/>
        <v>1</v>
      </c>
      <c r="E28" s="108">
        <f>+B10*C28/'Forecast Data For 2012'!C11/12</f>
        <v>221.96763662883939</v>
      </c>
      <c r="F28" s="108">
        <f>'2012 Test Yr On Existing Rates'!F22</f>
        <v>441.32821289121057</v>
      </c>
      <c r="G28" s="108">
        <f>'[3]O2 Fixed Charge|Floor|Ceiling'!$F$17</f>
        <v>132.66242436525329</v>
      </c>
      <c r="H28" s="413"/>
      <c r="I28" s="108">
        <f>+B10*H28/'Forecast Data For 2012'!C11/12</f>
        <v>0</v>
      </c>
    </row>
    <row r="29" spans="1:13" ht="18" customHeight="1">
      <c r="A29" s="104"/>
      <c r="B29" s="97"/>
      <c r="C29" s="97"/>
      <c r="D29" s="97"/>
      <c r="E29" s="108"/>
      <c r="F29" s="108"/>
      <c r="G29" s="108"/>
      <c r="H29" s="413"/>
      <c r="I29" s="108"/>
    </row>
    <row r="30" spans="1:13" ht="18" customHeight="1">
      <c r="A30" s="104" t="str">
        <f t="shared" si="5"/>
        <v>Sentinel Lights</v>
      </c>
      <c r="B30" s="97">
        <f>('2012 Test Yr On Existing Rates'!G13-'2012 Test Yr On Existing Rates'!I13)/'2012 Test Yr On Existing Rates'!J13</f>
        <v>0.25218399602830882</v>
      </c>
      <c r="C30" s="97">
        <f t="shared" si="6"/>
        <v>0.74781600397169123</v>
      </c>
      <c r="D30" s="97">
        <f t="shared" si="7"/>
        <v>1</v>
      </c>
      <c r="E30" s="108">
        <f>+B12*C30/'Forecast Data For 2012'!C17/12</f>
        <v>2.9744078573687562</v>
      </c>
      <c r="F30" s="108">
        <f>'2011 Existing Rates'!B12</f>
        <v>0.4</v>
      </c>
      <c r="G30" s="108">
        <f>'[3]O2 Fixed Charge|Floor|Ceiling'!$K$17</f>
        <v>5.5613677483578847</v>
      </c>
      <c r="H30" s="413"/>
      <c r="I30" s="108">
        <f>+B12*H30/'Forecast Data For 2012'!C17/12</f>
        <v>0</v>
      </c>
    </row>
    <row r="31" spans="1:13" ht="18" customHeight="1">
      <c r="A31" s="104" t="str">
        <f t="shared" si="5"/>
        <v>Street Lighting</v>
      </c>
      <c r="B31" s="97">
        <f>('2012 Test Yr On Existing Rates'!G14-'2012 Test Yr On Existing Rates'!I14)/'2012 Test Yr On Existing Rates'!J14</f>
        <v>0.6380160767744727</v>
      </c>
      <c r="C31" s="97">
        <f t="shared" si="6"/>
        <v>0.3619839232255273</v>
      </c>
      <c r="D31" s="97">
        <f t="shared" si="7"/>
        <v>1</v>
      </c>
      <c r="E31" s="108">
        <f>+B13*C31/'Forecast Data For 2012'!C20/12</f>
        <v>1.1131501629763576</v>
      </c>
      <c r="F31" s="108">
        <f>'2011 Existing Rates'!B13</f>
        <v>0.01</v>
      </c>
      <c r="G31" s="108">
        <f>'[3]O2 Fixed Charge|Floor|Ceiling'!$J$17</f>
        <v>4.2371183212828036</v>
      </c>
      <c r="H31" s="413"/>
      <c r="I31" s="108">
        <f>+B13*H31/'Forecast Data For 2012'!C20/12</f>
        <v>0</v>
      </c>
    </row>
    <row r="32" spans="1:13" ht="18" customHeight="1">
      <c r="A32" s="104" t="str">
        <f t="shared" si="5"/>
        <v>USL</v>
      </c>
      <c r="B32" s="97">
        <f>('2012 Test Yr On Existing Rates'!G15-'2012 Test Yr On Existing Rates'!I15)/'2012 Test Yr On Existing Rates'!J15</f>
        <v>0.13110769183072277</v>
      </c>
      <c r="C32" s="97">
        <f t="shared" si="6"/>
        <v>0.86889230816927721</v>
      </c>
      <c r="D32" s="97">
        <f t="shared" si="7"/>
        <v>1</v>
      </c>
      <c r="E32" s="108">
        <f>+B14*C32/'Forecast Data For 2012'!C23/12</f>
        <v>6.0778792504974213</v>
      </c>
      <c r="F32" s="108">
        <f>'2011 Existing Rates'!C14</f>
        <v>5.54</v>
      </c>
      <c r="G32" s="108">
        <f>'[3]O2 Fixed Charge|Floor|Ceiling'!$L$17</f>
        <v>7.5046996130955392</v>
      </c>
      <c r="H32" s="413"/>
      <c r="I32" s="108">
        <f>+B14*H32/'Forecast Data For 2012'!C23/12</f>
        <v>0</v>
      </c>
    </row>
    <row r="33" spans="1:9" ht="18" customHeight="1">
      <c r="A33" s="104"/>
      <c r="B33" s="97"/>
      <c r="C33" s="97"/>
      <c r="D33" s="97"/>
      <c r="E33" s="108"/>
      <c r="F33" s="108"/>
      <c r="G33" s="108"/>
      <c r="H33" s="413"/>
      <c r="I33" s="108"/>
    </row>
    <row r="34" spans="1:9" ht="18" customHeight="1">
      <c r="A34" s="104" t="str">
        <f t="shared" si="5"/>
        <v xml:space="preserve">Hydro One </v>
      </c>
      <c r="B34" s="97">
        <f>('2012 Test Yr On Existing Rates'!G17-'2012 Test Yr On Existing Rates'!I17)/'2012 Test Yr On Existing Rates'!J17</f>
        <v>0.22935603695158926</v>
      </c>
      <c r="C34" s="97">
        <f t="shared" si="6"/>
        <v>0.77064396304841076</v>
      </c>
      <c r="D34" s="97">
        <f t="shared" si="7"/>
        <v>1</v>
      </c>
      <c r="E34" s="108">
        <f>+B16*C34/'Forecast Data For 2012'!C27/12</f>
        <v>1753.2850728122821</v>
      </c>
      <c r="F34" s="429">
        <f>'2011 Existing Rates'!C16</f>
        <v>842.45</v>
      </c>
      <c r="G34" s="429">
        <f>'[3]O2 Fixed Charge|Floor|Ceiling'!$M$17</f>
        <v>64.902036637454458</v>
      </c>
      <c r="H34" s="430"/>
      <c r="I34" s="429"/>
    </row>
    <row r="35" spans="1:9" ht="18" customHeight="1" thickBot="1">
      <c r="A35" s="110" t="s">
        <v>1</v>
      </c>
      <c r="B35" s="319"/>
      <c r="C35" s="111"/>
      <c r="D35" s="111"/>
      <c r="E35" s="111"/>
      <c r="F35" s="111"/>
      <c r="G35" s="111"/>
      <c r="H35" s="111"/>
      <c r="I35" s="111"/>
    </row>
    <row r="36" spans="1:9" ht="13.5" thickTop="1">
      <c r="F36" s="1"/>
    </row>
    <row r="37" spans="1:9">
      <c r="C37" s="10"/>
      <c r="F37" s="67"/>
    </row>
    <row r="38" spans="1:9">
      <c r="F38" s="67"/>
    </row>
    <row r="39" spans="1:9">
      <c r="C39" s="3"/>
      <c r="F39" s="67"/>
    </row>
    <row r="40" spans="1:9">
      <c r="C40" s="3"/>
      <c r="F40" s="67"/>
    </row>
    <row r="41" spans="1:9" ht="10.5" customHeight="1">
      <c r="C41" s="3"/>
      <c r="F41" s="67"/>
    </row>
    <row r="42" spans="1:9">
      <c r="C42" s="1"/>
      <c r="F42" s="67"/>
    </row>
    <row r="43" spans="1:9">
      <c r="C43" s="1"/>
      <c r="F43" s="67"/>
    </row>
    <row r="44" spans="1:9">
      <c r="C44" s="1"/>
      <c r="F44" s="62"/>
    </row>
    <row r="45" spans="1:9">
      <c r="C45" s="1"/>
      <c r="F45" s="62"/>
    </row>
    <row r="46" spans="1:9">
      <c r="C46" s="1"/>
    </row>
    <row r="47" spans="1:9">
      <c r="C47" s="1"/>
    </row>
    <row r="48" spans="1:9">
      <c r="C48" s="1"/>
    </row>
    <row r="49" spans="3:3">
      <c r="C49" s="1"/>
    </row>
    <row r="50" spans="3:3">
      <c r="C50" s="1"/>
    </row>
  </sheetData>
  <mergeCells count="7">
    <mergeCell ref="A1:K1"/>
    <mergeCell ref="A2:K2"/>
    <mergeCell ref="A3:K3"/>
    <mergeCell ref="A24:H24"/>
    <mergeCell ref="A4:K4"/>
    <mergeCell ref="A5:K5"/>
    <mergeCell ref="A6:K6"/>
  </mergeCells>
  <phoneticPr fontId="4" type="noConversion"/>
  <pageMargins left="0.75" right="0.75" top="1" bottom="1" header="0.5" footer="0.5"/>
  <pageSetup scale="64" orientation="landscape" horizontalDpi="355" verticalDpi="35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F19"/>
  <sheetViews>
    <sheetView view="pageBreakPreview" zoomScale="60" zoomScaleNormal="100" workbookViewId="0">
      <selection activeCell="D14" sqref="D14"/>
    </sheetView>
  </sheetViews>
  <sheetFormatPr defaultRowHeight="12.75"/>
  <cols>
    <col min="1" max="1" width="32.5703125" bestFit="1" customWidth="1"/>
    <col min="2" max="2" width="10" bestFit="1" customWidth="1"/>
    <col min="3" max="3" width="7.42578125" bestFit="1" customWidth="1"/>
    <col min="4" max="4" width="12.85546875" bestFit="1" customWidth="1"/>
    <col min="5" max="5" width="12.28515625" bestFit="1" customWidth="1"/>
    <col min="6" max="6" width="11.140625" bestFit="1" customWidth="1"/>
    <col min="15" max="15" width="12.140625" bestFit="1" customWidth="1"/>
  </cols>
  <sheetData>
    <row r="1" spans="1:6">
      <c r="A1" s="493" t="str">
        <f>+'Revenue Input'!A1</f>
        <v xml:space="preserve">E.L.K. Energy Inc., </v>
      </c>
      <c r="B1" s="493"/>
      <c r="C1" s="493"/>
      <c r="D1" s="493"/>
      <c r="E1" s="493"/>
      <c r="F1" s="493"/>
    </row>
    <row r="2" spans="1:6">
      <c r="A2" s="493" t="str">
        <f>+'Revenue Input'!A2</f>
        <v>ED-2003-0015 , EB-2011-099</v>
      </c>
      <c r="B2" s="493"/>
      <c r="C2" s="493"/>
      <c r="D2" s="493"/>
      <c r="E2" s="493"/>
      <c r="F2" s="493"/>
    </row>
    <row r="3" spans="1:6">
      <c r="A3" s="493">
        <f>+'Revenue Input'!A3</f>
        <v>0</v>
      </c>
      <c r="B3" s="493"/>
      <c r="C3" s="493"/>
      <c r="D3" s="493"/>
      <c r="E3" s="493"/>
      <c r="F3" s="493"/>
    </row>
    <row r="4" spans="1:6" ht="13.5" thickBot="1">
      <c r="A4" s="471"/>
      <c r="B4" s="471"/>
      <c r="C4" s="471"/>
      <c r="D4" s="471"/>
      <c r="E4" s="471"/>
      <c r="F4" s="471"/>
    </row>
    <row r="5" spans="1:6" s="58" customFormat="1" ht="15">
      <c r="A5" s="498" t="s">
        <v>276</v>
      </c>
      <c r="B5" s="499"/>
      <c r="C5" s="499"/>
      <c r="D5" s="499"/>
      <c r="E5" s="499"/>
      <c r="F5" s="500"/>
    </row>
    <row r="6" spans="1:6" ht="38.25" customHeight="1">
      <c r="A6" s="497" t="s">
        <v>0</v>
      </c>
      <c r="B6" s="497" t="s">
        <v>19</v>
      </c>
      <c r="C6" s="497"/>
      <c r="D6" s="501" t="s">
        <v>177</v>
      </c>
      <c r="E6" s="501" t="s">
        <v>20</v>
      </c>
      <c r="F6" s="501" t="s">
        <v>21</v>
      </c>
    </row>
    <row r="7" spans="1:6">
      <c r="A7" s="497"/>
      <c r="B7" s="444" t="s">
        <v>22</v>
      </c>
      <c r="C7" s="445" t="s">
        <v>23</v>
      </c>
      <c r="D7" s="501"/>
      <c r="E7" s="501"/>
      <c r="F7" s="501"/>
    </row>
    <row r="8" spans="1:6" ht="18" customHeight="1">
      <c r="A8" s="104" t="str">
        <f>'[4]Exhibit 8 Tables'!B75</f>
        <v>Residential</v>
      </c>
      <c r="B8" s="115">
        <f>'[5]13. Final 2012 RTS Rates'!$H$26</f>
        <v>4.5937175038774482E-3</v>
      </c>
      <c r="C8" s="115"/>
      <c r="D8" s="114">
        <f>+B8*'Forecast Data For 2012'!C8</f>
        <v>440902.42466609762</v>
      </c>
      <c r="E8" s="95">
        <f t="shared" ref="E8:E15" si="0">D8/$D$17</f>
        <v>0.40076608056924751</v>
      </c>
      <c r="F8" s="114">
        <f t="shared" ref="F8:F15" si="1">+$F$17*E8</f>
        <v>115181.6884552167</v>
      </c>
    </row>
    <row r="9" spans="1:6" ht="18" customHeight="1">
      <c r="A9" s="104" t="str">
        <f>'[4]Exhibit 8 Tables'!B76</f>
        <v>General Service &lt; 50 kW</v>
      </c>
      <c r="B9" s="115">
        <f>'[5]13. Final 2012 RTS Rates'!$H$27</f>
        <v>4.1853870590883432E-3</v>
      </c>
      <c r="C9" s="115"/>
      <c r="D9" s="114">
        <f>+B9*'Forecast Data For 2012'!C10</f>
        <v>136422.53045169357</v>
      </c>
      <c r="E9" s="95">
        <f t="shared" si="0"/>
        <v>0.12400367920831729</v>
      </c>
      <c r="F9" s="114">
        <f t="shared" si="1"/>
        <v>35639.126758396196</v>
      </c>
    </row>
    <row r="10" spans="1:6" ht="18" customHeight="1">
      <c r="A10" s="104" t="str">
        <f>'[4]Exhibit 8 Tables'!B77</f>
        <v>General Service 50 to 4,999 kW</v>
      </c>
      <c r="B10" s="115"/>
      <c r="C10" s="115">
        <f>'[5]13. Final 2012 RTS Rates'!$H$28</f>
        <v>1.6581278536773647</v>
      </c>
      <c r="D10" s="114">
        <f>+C10*'Forecast Data For 2012'!C12</f>
        <v>354950.31085417821</v>
      </c>
      <c r="E10" s="95">
        <f t="shared" si="0"/>
        <v>0.3226383819177106</v>
      </c>
      <c r="F10" s="114">
        <f t="shared" si="1"/>
        <v>92727.492149425598</v>
      </c>
    </row>
    <row r="11" spans="1:6" ht="18" customHeight="1">
      <c r="A11" s="104" t="str">
        <f>'[4]Exhibit 8 Tables'!B78</f>
        <v>Street Lighting</v>
      </c>
      <c r="B11" s="115"/>
      <c r="C11" s="115">
        <f>'[5]13. Final 2012 RTS Rates'!$H$32</f>
        <v>1.2826680096937813</v>
      </c>
      <c r="D11" s="114">
        <f>+C11*'Forecast Data For 2012'!C21</f>
        <v>7802.2888377636309</v>
      </c>
      <c r="E11" s="95">
        <f t="shared" si="0"/>
        <v>7.0920288527507305E-3</v>
      </c>
      <c r="F11" s="114">
        <f t="shared" si="1"/>
        <v>2038.2759356097679</v>
      </c>
    </row>
    <row r="12" spans="1:6" ht="18" customHeight="1">
      <c r="A12" s="104" t="str">
        <f>'[4]Exhibit 8 Tables'!B79</f>
        <v>Sentinel Lighting</v>
      </c>
      <c r="B12" s="115"/>
      <c r="C12" s="115">
        <f>'[5]13. Final 2012 RTS Rates'!$H$31</f>
        <v>1.309617819049862</v>
      </c>
      <c r="D12" s="114">
        <f>+C12*'Forecast Data For 2012'!C18</f>
        <v>19.764341802683585</v>
      </c>
      <c r="E12" s="95">
        <f t="shared" si="0"/>
        <v>1.7965149103661751E-5</v>
      </c>
      <c r="F12" s="114">
        <f t="shared" si="1"/>
        <v>5.1632518504817453</v>
      </c>
    </row>
    <row r="13" spans="1:6" ht="18" customHeight="1">
      <c r="A13" s="104" t="str">
        <f>'[4]Exhibit 8 Tables'!B80</f>
        <v>Unmetered Scattered Load</v>
      </c>
      <c r="B13" s="115">
        <f>'[5]13. Final 2012 RTS Rates'!$H$30</f>
        <v>4.1853870590883432E-3</v>
      </c>
      <c r="C13" s="115"/>
      <c r="D13" s="114">
        <f>+B13*'Forecast Data For 2012'!C24</f>
        <v>791.00222500130292</v>
      </c>
      <c r="E13" s="95">
        <f t="shared" si="0"/>
        <v>7.1899550490202118E-4</v>
      </c>
      <c r="F13" s="114">
        <f t="shared" si="1"/>
        <v>206.64202950682696</v>
      </c>
    </row>
    <row r="14" spans="1:6" ht="18" customHeight="1">
      <c r="A14" s="104" t="str">
        <f>'[4]Exhibit 8 Tables'!B81</f>
        <v>Embedded Distributor - Hydro One</v>
      </c>
      <c r="B14" s="115"/>
      <c r="C14" s="115">
        <f>C10</f>
        <v>1.6581278536773647</v>
      </c>
      <c r="D14" s="393">
        <f>C14*'Forecast Data For 2012'!C28</f>
        <v>159260.73325363666</v>
      </c>
      <c r="E14" s="95">
        <f t="shared" si="0"/>
        <v>0.14476286879796829</v>
      </c>
      <c r="F14" s="114">
        <f t="shared" si="1"/>
        <v>41605.396419994489</v>
      </c>
    </row>
    <row r="15" spans="1:6" ht="18" hidden="1" customHeight="1">
      <c r="A15" s="104" t="str">
        <f>'Rates By Rate Class'!A15</f>
        <v xml:space="preserve">   </v>
      </c>
      <c r="B15" s="115"/>
      <c r="C15" s="115"/>
      <c r="D15" s="393"/>
      <c r="E15" s="95">
        <f t="shared" si="0"/>
        <v>0</v>
      </c>
      <c r="F15" s="114">
        <f t="shared" si="1"/>
        <v>0</v>
      </c>
    </row>
    <row r="16" spans="1:6" ht="18" hidden="1" customHeight="1">
      <c r="A16" s="104" t="str">
        <f>'Rates By Rate Class'!A16</f>
        <v xml:space="preserve">Hydro One </v>
      </c>
      <c r="B16" s="25"/>
      <c r="C16" s="25"/>
      <c r="D16" s="25"/>
      <c r="E16" s="25"/>
      <c r="F16" s="447"/>
    </row>
    <row r="17" spans="1:6" ht="18" customHeight="1">
      <c r="A17" s="92" t="s">
        <v>18</v>
      </c>
      <c r="B17" s="451"/>
      <c r="C17" s="452"/>
      <c r="D17" s="453">
        <f>SUM(D8:D15)</f>
        <v>1100149.0546301736</v>
      </c>
      <c r="E17" s="454">
        <f>SUM(E8:E15)</f>
        <v>1.0000000000000002</v>
      </c>
      <c r="F17" s="455">
        <f>'Revenue Input'!B12</f>
        <v>287403.78500000003</v>
      </c>
    </row>
    <row r="19" spans="1:6">
      <c r="B19" s="56"/>
      <c r="C19" s="56"/>
    </row>
  </sheetData>
  <mergeCells count="10">
    <mergeCell ref="B6:C6"/>
    <mergeCell ref="A5:F5"/>
    <mergeCell ref="A1:F1"/>
    <mergeCell ref="A2:F2"/>
    <mergeCell ref="A3:F3"/>
    <mergeCell ref="A4:F4"/>
    <mergeCell ref="A6:A7"/>
    <mergeCell ref="D6:D7"/>
    <mergeCell ref="E6:E7"/>
    <mergeCell ref="F6:F7"/>
  </mergeCells>
  <phoneticPr fontId="0" type="noConversion"/>
  <pageMargins left="0.75" right="0.75" top="1" bottom="1" header="0.5" footer="0.5"/>
  <pageSetup orientation="landscape" horizontalDpi="355" verticalDpi="35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1:O18"/>
  <sheetViews>
    <sheetView view="pageBreakPreview" zoomScale="60" zoomScaleNormal="100" workbookViewId="0">
      <selection activeCell="E21" sqref="E21"/>
    </sheetView>
  </sheetViews>
  <sheetFormatPr defaultRowHeight="12.75"/>
  <cols>
    <col min="1" max="1" width="32.7109375" bestFit="1" customWidth="1"/>
    <col min="2" max="2" width="12" bestFit="1" customWidth="1"/>
    <col min="3" max="3" width="16.140625" bestFit="1" customWidth="1"/>
    <col min="4" max="4" width="14.42578125" bestFit="1" customWidth="1"/>
    <col min="5" max="5" width="10.85546875" bestFit="1" customWidth="1"/>
    <col min="6" max="6" width="10.7109375" bestFit="1" customWidth="1"/>
    <col min="7" max="7" width="10.140625" bestFit="1" customWidth="1"/>
  </cols>
  <sheetData>
    <row r="1" spans="1:15">
      <c r="A1" s="493" t="str">
        <f>+'Revenue Input'!A1</f>
        <v xml:space="preserve">E.L.K. Energy Inc., </v>
      </c>
      <c r="B1" s="493"/>
      <c r="C1" s="493"/>
      <c r="D1" s="493"/>
      <c r="E1" s="493"/>
      <c r="F1" s="493"/>
      <c r="G1" s="493"/>
    </row>
    <row r="2" spans="1:15">
      <c r="A2" s="493" t="str">
        <f>+'Revenue Input'!A2</f>
        <v>ED-2003-0015 , EB-2011-099</v>
      </c>
      <c r="B2" s="493"/>
      <c r="C2" s="493"/>
      <c r="D2" s="493"/>
      <c r="E2" s="493"/>
      <c r="F2" s="493"/>
      <c r="G2" s="493"/>
    </row>
    <row r="3" spans="1:15">
      <c r="A3" s="493">
        <f>+'Revenue Input'!A3</f>
        <v>0</v>
      </c>
      <c r="B3" s="493"/>
      <c r="C3" s="493"/>
      <c r="D3" s="493"/>
      <c r="E3" s="493"/>
      <c r="F3" s="493"/>
      <c r="G3" s="493"/>
    </row>
    <row r="4" spans="1:15" ht="6.75" customHeight="1" thickBot="1">
      <c r="A4" s="471"/>
      <c r="B4" s="471"/>
      <c r="C4" s="471"/>
      <c r="D4" s="471"/>
      <c r="E4" s="471"/>
      <c r="F4" s="471"/>
      <c r="G4" s="471"/>
    </row>
    <row r="5" spans="1:15" ht="15">
      <c r="A5" s="502" t="s">
        <v>275</v>
      </c>
      <c r="B5" s="503"/>
      <c r="C5" s="503"/>
      <c r="D5" s="503"/>
      <c r="E5" s="503"/>
      <c r="F5" s="503"/>
      <c r="G5" s="504"/>
    </row>
    <row r="6" spans="1:15" ht="38.25">
      <c r="A6" s="110" t="s">
        <v>0</v>
      </c>
      <c r="B6" s="446" t="s">
        <v>133</v>
      </c>
      <c r="C6" s="446" t="s">
        <v>13</v>
      </c>
      <c r="D6" s="446" t="s">
        <v>14</v>
      </c>
      <c r="E6" s="446" t="s">
        <v>15</v>
      </c>
      <c r="F6" s="446" t="s">
        <v>131</v>
      </c>
      <c r="G6" s="446" t="s">
        <v>132</v>
      </c>
    </row>
    <row r="7" spans="1:15" ht="18" customHeight="1">
      <c r="A7" s="104" t="str">
        <f>'Allocation Low Voltage Costs'!A8</f>
        <v>Residential</v>
      </c>
      <c r="B7" s="114">
        <f>+'Allocation Low Voltage Costs'!F8</f>
        <v>115181.6884552167</v>
      </c>
      <c r="C7" s="114">
        <f>'Forecast Data For 2012'!C8</f>
        <v>95979438.068175137</v>
      </c>
      <c r="D7" s="114">
        <f>+'2012 Test Yr On Existing Rates'!C9</f>
        <v>0</v>
      </c>
      <c r="E7" s="113" t="s">
        <v>16</v>
      </c>
      <c r="F7" s="115">
        <f>+B7/C7</f>
        <v>1.2000662930887554E-3</v>
      </c>
      <c r="G7" s="115"/>
      <c r="I7" s="315"/>
    </row>
    <row r="8" spans="1:15" ht="18" customHeight="1">
      <c r="A8" s="104" t="str">
        <f>'Allocation Low Voltage Costs'!A9</f>
        <v>General Service &lt; 50 kW</v>
      </c>
      <c r="B8" s="114">
        <f>+'Allocation Low Voltage Costs'!F9</f>
        <v>35639.126758396196</v>
      </c>
      <c r="C8" s="114">
        <f>'Forecast Data For 2012'!C10</f>
        <v>32594961.595119234</v>
      </c>
      <c r="D8" s="114">
        <f>+'2012 Test Yr On Existing Rates'!C10</f>
        <v>0</v>
      </c>
      <c r="E8" s="113" t="s">
        <v>16</v>
      </c>
      <c r="F8" s="115">
        <f>+B8/C8</f>
        <v>1.0933937337030885E-3</v>
      </c>
      <c r="G8" s="115"/>
      <c r="I8" s="315"/>
    </row>
    <row r="9" spans="1:15" ht="18" customHeight="1">
      <c r="A9" s="104" t="str">
        <f>'Allocation Low Voltage Costs'!A10</f>
        <v>General Service 50 to 4,999 kW</v>
      </c>
      <c r="B9" s="114">
        <f>+'Allocation Low Voltage Costs'!F10</f>
        <v>92727.492149425598</v>
      </c>
      <c r="C9" s="114">
        <f>'Forecast Data For 2012'!C13</f>
        <v>66668106.413480408</v>
      </c>
      <c r="D9" s="114">
        <f>'Forecast Data For 2012'!C12</f>
        <v>214066.91291445112</v>
      </c>
      <c r="E9" s="113" t="s">
        <v>17</v>
      </c>
      <c r="F9" s="115"/>
      <c r="G9" s="115">
        <f>+B9/D9</f>
        <v>0.43317059552534798</v>
      </c>
      <c r="I9" s="315"/>
    </row>
    <row r="10" spans="1:15" ht="18" customHeight="1">
      <c r="A10" s="104" t="str">
        <f>'Allocation Low Voltage Costs'!A11</f>
        <v>Street Lighting</v>
      </c>
      <c r="B10" s="114">
        <f>+'Allocation Low Voltage Costs'!F11</f>
        <v>2038.2759356097679</v>
      </c>
      <c r="C10" s="114">
        <f>'Forecast Data For 2012'!C22</f>
        <v>2225083.8466967554</v>
      </c>
      <c r="D10" s="114">
        <f>'Forecast Data For 2012'!C21</f>
        <v>6082.8591488972397</v>
      </c>
      <c r="E10" s="113" t="s">
        <v>17</v>
      </c>
      <c r="F10" s="115"/>
      <c r="G10" s="115">
        <f>+B10/D10</f>
        <v>0.33508517717022701</v>
      </c>
      <c r="I10" s="315"/>
    </row>
    <row r="11" spans="1:15" ht="18" customHeight="1">
      <c r="A11" s="104" t="str">
        <f>'Allocation Low Voltage Costs'!A12</f>
        <v>Sentinel Lighting</v>
      </c>
      <c r="B11" s="114">
        <f>+'Allocation Low Voltage Costs'!F12</f>
        <v>5.1632518504817453</v>
      </c>
      <c r="C11" s="114">
        <f>'Forecast Data For 2012'!C19</f>
        <v>5564.2966477781893</v>
      </c>
      <c r="D11" s="114">
        <f>'Forecast Data For 2012'!C18</f>
        <v>15.091686685374189</v>
      </c>
      <c r="E11" s="113" t="s">
        <v>17</v>
      </c>
      <c r="F11" s="115"/>
      <c r="G11" s="115">
        <f>+B11/D11</f>
        <v>0.34212556608968098</v>
      </c>
      <c r="I11" s="315"/>
    </row>
    <row r="12" spans="1:15" ht="18" customHeight="1">
      <c r="A12" s="104" t="str">
        <f>'Allocation Low Voltage Costs'!A13</f>
        <v>Unmetered Scattered Load</v>
      </c>
      <c r="B12" s="114">
        <f>+'Allocation Low Voltage Costs'!F13</f>
        <v>206.64202950682696</v>
      </c>
      <c r="C12" s="114">
        <f>'Forecast Data For 2012'!C24</f>
        <v>188991.4155690055</v>
      </c>
      <c r="D12" s="114">
        <f>+'2012 Test Yr On Existing Rates'!C15</f>
        <v>0</v>
      </c>
      <c r="E12" s="113" t="s">
        <v>16</v>
      </c>
      <c r="F12" s="115">
        <f>+B12/C12</f>
        <v>1.0933937337030885E-3</v>
      </c>
      <c r="G12" s="115"/>
      <c r="I12" s="315"/>
      <c r="O12" s="336"/>
    </row>
    <row r="13" spans="1:15" ht="21" customHeight="1">
      <c r="A13" s="104" t="str">
        <f>'Allocation Low Voltage Costs'!A14</f>
        <v>Embedded Distributor - Hydro One</v>
      </c>
      <c r="B13" s="114">
        <f>+'Allocation Low Voltage Costs'!F14</f>
        <v>41605.396419994489</v>
      </c>
      <c r="C13" s="409">
        <f>'Forecast Data For 2012'!C29</f>
        <v>42996782.152953438</v>
      </c>
      <c r="D13" s="409">
        <f>'Forecast Data For 2012'!C28</f>
        <v>96048.524183723959</v>
      </c>
      <c r="E13" s="113" t="s">
        <v>17</v>
      </c>
      <c r="F13" s="411"/>
      <c r="G13" s="115">
        <f>+B13/D13</f>
        <v>0.43317059552534792</v>
      </c>
      <c r="I13" s="315"/>
    </row>
    <row r="14" spans="1:15" ht="21" hidden="1" customHeight="1">
      <c r="A14" s="104" t="str">
        <f>'Allocation Low Voltage Costs'!A15</f>
        <v xml:space="preserve">   </v>
      </c>
      <c r="B14" s="114">
        <f>+'Allocation Low Voltage Costs'!F15</f>
        <v>0</v>
      </c>
      <c r="C14" s="409"/>
      <c r="D14" s="409">
        <f>'Forecast Data For 2012'!C26</f>
        <v>0</v>
      </c>
      <c r="E14" s="410" t="s">
        <v>17</v>
      </c>
      <c r="F14" s="411"/>
      <c r="G14" s="411"/>
    </row>
    <row r="15" spans="1:15" ht="21" hidden="1" customHeight="1">
      <c r="A15" s="104" t="str">
        <f>'Allocation Low Voltage Costs'!A16</f>
        <v xml:space="preserve">Hydro One </v>
      </c>
      <c r="B15" s="25"/>
      <c r="C15" s="25"/>
      <c r="D15" s="25"/>
      <c r="E15" s="25"/>
      <c r="F15" s="25"/>
      <c r="G15" s="447"/>
    </row>
    <row r="16" spans="1:15" ht="18" customHeight="1">
      <c r="A16" s="109" t="s">
        <v>18</v>
      </c>
      <c r="B16" s="448">
        <f>SUM(B7:B14)</f>
        <v>287403.78500000003</v>
      </c>
      <c r="C16" s="448">
        <f>SUM(C7:C14)</f>
        <v>240658927.78864178</v>
      </c>
      <c r="D16" s="448">
        <f>SUM(D7:D14)</f>
        <v>316213.38793375768</v>
      </c>
      <c r="E16" s="449"/>
      <c r="F16" s="450"/>
      <c r="G16" s="449"/>
    </row>
    <row r="18" spans="3:4">
      <c r="C18" s="315"/>
      <c r="D18" s="315"/>
    </row>
  </sheetData>
  <mergeCells count="5">
    <mergeCell ref="A5:G5"/>
    <mergeCell ref="A1:G1"/>
    <mergeCell ref="A2:G2"/>
    <mergeCell ref="A3:G3"/>
    <mergeCell ref="A4:G4"/>
  </mergeCells>
  <phoneticPr fontId="0" type="noConversion"/>
  <pageMargins left="0.75" right="0.75" top="1" bottom="1" header="0.5" footer="0.5"/>
  <pageSetup orientation="landscape" horizontalDpi="355" verticalDpi="35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6</vt:i4>
      </vt:variant>
    </vt:vector>
  </HeadingPairs>
  <TitlesOfParts>
    <vt:vector size="25" baseType="lpstr">
      <vt:lpstr>Revenue Input</vt:lpstr>
      <vt:lpstr>Transformer Allowance</vt:lpstr>
      <vt:lpstr>2011 Existing Rates</vt:lpstr>
      <vt:lpstr>2012 Test Yr On Existing Rates</vt:lpstr>
      <vt:lpstr>Forecast Data For 2012</vt:lpstr>
      <vt:lpstr>Cost Allocation Study</vt:lpstr>
      <vt:lpstr>Rates By Rate Class</vt:lpstr>
      <vt:lpstr>Allocation Low Voltage Costs</vt:lpstr>
      <vt:lpstr>Low Voltage Rates</vt:lpstr>
      <vt:lpstr>LRAM and SSM Rate Rider</vt:lpstr>
      <vt:lpstr>2012 Rate Rider</vt:lpstr>
      <vt:lpstr>Distribution Rate Schedule</vt:lpstr>
      <vt:lpstr>Other Electriciy Rates</vt:lpstr>
      <vt:lpstr>BILL IMPACTS </vt:lpstr>
      <vt:lpstr>Rate Schedule (Part 1)</vt:lpstr>
      <vt:lpstr>Rate Schedule (Part 2)</vt:lpstr>
      <vt:lpstr>Dist. Rev. Reconciliation</vt:lpstr>
      <vt:lpstr>Revenue Deficiency Analysis</vt:lpstr>
      <vt:lpstr>Sheet1</vt:lpstr>
      <vt:lpstr>'Cost Allocation Study'!Print_Area</vt:lpstr>
      <vt:lpstr>'Distribution Rate Schedule'!Print_Area</vt:lpstr>
      <vt:lpstr>'Low Voltage Rates'!Print_Area</vt:lpstr>
      <vt:lpstr>'LRAM and SSM Rate Rider'!Print_Area</vt:lpstr>
      <vt:lpstr>'Rate Schedule (Part 2)'!Print_Area</vt:lpstr>
      <vt:lpstr>'Revenue Deficiency Analysis'!Print_Area</vt:lpstr>
    </vt:vector>
  </TitlesOfParts>
  <Company>Hamilton Utilities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mdanelon</cp:lastModifiedBy>
  <cp:lastPrinted>2014-03-25T20:35:00Z</cp:lastPrinted>
  <dcterms:created xsi:type="dcterms:W3CDTF">2007-07-20T14:53:09Z</dcterms:created>
  <dcterms:modified xsi:type="dcterms:W3CDTF">2014-03-26T14:13:28Z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